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5480" windowHeight="6840" tabRatio="686" firstSheet="17" activeTab="17"/>
  </bookViews>
  <sheets>
    <sheet name="Титул" sheetId="10" state="hidden" r:id="rId1"/>
    <sheet name="Исп. коэффициенты" sheetId="1" state="hidden" r:id="rId2"/>
    <sheet name="Заработная плата" sheetId="4" state="hidden" r:id="rId3"/>
    <sheet name="КМУ гинекол.каб." sheetId="16" state="hidden" r:id="rId4"/>
    <sheet name="КМУ массаж" sheetId="11" state="hidden" r:id="rId5"/>
    <sheet name="медосмотр" sheetId="13" state="hidden" r:id="rId6"/>
    <sheet name="КМУ дневной стационар" sheetId="6" state="hidden" r:id="rId7"/>
    <sheet name="Расчет 1УЕТ" sheetId="12" state="hidden" r:id="rId8"/>
    <sheet name="Прейскурант ЖАСО" sheetId="18" state="hidden" r:id="rId9"/>
    <sheet name="Лист1" sheetId="22" state="hidden" r:id="rId10"/>
    <sheet name="КМУ поликл. прием" sheetId="2" state="hidden" r:id="rId11"/>
    <sheet name="КМУ рентгенкабинет" sheetId="5" state="hidden" r:id="rId12"/>
    <sheet name="КМУ хирург.каб." sheetId="15" state="hidden" r:id="rId13"/>
    <sheet name="КМУ параклиника " sheetId="7" state="hidden" r:id="rId14"/>
    <sheet name="КМУ стом." sheetId="14" state="hidden" r:id="rId15"/>
    <sheet name="КМУ УЗИ" sheetId="25" state="hidden" r:id="rId16"/>
    <sheet name="КМУ рефлексотерапия" sheetId="26" state="hidden" r:id="rId17"/>
    <sheet name="Прейскурант" sheetId="17" r:id="rId18"/>
    <sheet name="Сводный расчет стоимости" sheetId="8" state="hidden" r:id="rId19"/>
    <sheet name="по нов. номенкл" sheetId="20" state="hidden" r:id="rId20"/>
    <sheet name="нет в номен." sheetId="21" state="hidden" r:id="rId21"/>
    <sheet name="Лист3" sheetId="24" state="hidden" r:id="rId22"/>
  </sheets>
  <definedNames>
    <definedName name="_xlnm.Print_Area" localSheetId="2">'Заработная плата'!$A$1:$K$158</definedName>
    <definedName name="_xlnm.Print_Area" localSheetId="1">'Исп. коэффициенты'!$A$1:$H$131</definedName>
    <definedName name="_xlnm.Print_Area" localSheetId="18">'Сводный расчет стоимости'!$A$1:$M$333</definedName>
    <definedName name="_xlnm.Print_Area" localSheetId="0">Титул!$A$1:$A$27</definedName>
  </definedNames>
  <calcPr calcId="144525"/>
</workbook>
</file>

<file path=xl/calcChain.xml><?xml version="1.0" encoding="utf-8"?>
<calcChain xmlns="http://schemas.openxmlformats.org/spreadsheetml/2006/main">
  <c r="M125" i="8" l="1"/>
  <c r="C96" i="17"/>
  <c r="C97" i="17"/>
  <c r="J89" i="8"/>
  <c r="I89" i="8"/>
  <c r="H89" i="8"/>
  <c r="G89" i="8"/>
  <c r="F89" i="8"/>
  <c r="E89" i="8"/>
  <c r="D89" i="8"/>
  <c r="M88" i="8"/>
  <c r="K88" i="8"/>
  <c r="J88" i="8"/>
  <c r="I88" i="8"/>
  <c r="H88" i="8"/>
  <c r="G88" i="8"/>
  <c r="F88" i="8"/>
  <c r="E88" i="8"/>
  <c r="D88" i="8"/>
  <c r="M86" i="8"/>
  <c r="L87" i="8"/>
  <c r="L88" i="8"/>
  <c r="K87" i="8"/>
  <c r="M87" i="8"/>
  <c r="J87" i="8"/>
  <c r="I87" i="8"/>
  <c r="H87" i="8"/>
  <c r="G87" i="8"/>
  <c r="F87" i="8"/>
  <c r="E87" i="8"/>
  <c r="D87" i="8"/>
  <c r="Y380" i="25"/>
  <c r="W380" i="25"/>
  <c r="X380" i="25" s="1"/>
  <c r="V380" i="25"/>
  <c r="V360" i="25"/>
  <c r="V370" i="25"/>
  <c r="S380" i="25"/>
  <c r="S379" i="25" s="1"/>
  <c r="N382" i="25"/>
  <c r="N381" i="25"/>
  <c r="N380" i="25"/>
  <c r="Y370" i="25"/>
  <c r="W370" i="25"/>
  <c r="X370" i="25" s="1"/>
  <c r="S370" i="25"/>
  <c r="N372" i="25"/>
  <c r="N371" i="25"/>
  <c r="N370" i="25"/>
  <c r="Y360" i="25"/>
  <c r="W360" i="25"/>
  <c r="S360" i="25"/>
  <c r="S359" i="25" s="1"/>
  <c r="N362" i="25"/>
  <c r="N361" i="25"/>
  <c r="N360" i="25"/>
  <c r="I383" i="25"/>
  <c r="I382" i="25"/>
  <c r="C382" i="25"/>
  <c r="I381" i="25"/>
  <c r="C381" i="25"/>
  <c r="C386" i="25" s="1"/>
  <c r="I380" i="25"/>
  <c r="I379" i="25"/>
  <c r="I373" i="25"/>
  <c r="I372" i="25"/>
  <c r="C372" i="25"/>
  <c r="I371" i="25"/>
  <c r="C371" i="25"/>
  <c r="C376" i="25" s="1"/>
  <c r="I370" i="25"/>
  <c r="S369" i="25"/>
  <c r="I369" i="25"/>
  <c r="I363" i="25"/>
  <c r="I362" i="25"/>
  <c r="C362" i="25"/>
  <c r="I361" i="25"/>
  <c r="C361" i="25"/>
  <c r="C366" i="25" s="1"/>
  <c r="X360" i="25"/>
  <c r="I360" i="25"/>
  <c r="I359" i="25"/>
  <c r="K89" i="8" l="1"/>
  <c r="Y379" i="25"/>
  <c r="N379" i="25"/>
  <c r="Y369" i="25"/>
  <c r="N369" i="25"/>
  <c r="Y359" i="25"/>
  <c r="C379" i="25"/>
  <c r="C369" i="25"/>
  <c r="N359" i="25"/>
  <c r="C359" i="25"/>
  <c r="M89" i="8" l="1"/>
  <c r="C98" i="17" s="1"/>
  <c r="D379" i="25"/>
  <c r="D369" i="25"/>
  <c r="D359" i="25"/>
  <c r="S125" i="26"/>
  <c r="S124" i="26"/>
  <c r="S123" i="26"/>
  <c r="S122" i="26"/>
  <c r="S121" i="26"/>
  <c r="S120" i="26"/>
  <c r="R125" i="26"/>
  <c r="R124" i="26"/>
  <c r="R123" i="26"/>
  <c r="R122" i="26"/>
  <c r="R121" i="26"/>
  <c r="R120" i="26"/>
  <c r="Z379" i="25" l="1"/>
  <c r="AA379" i="25" s="1"/>
  <c r="AC379" i="25" s="1"/>
  <c r="Z369" i="25"/>
  <c r="AA369" i="25" s="1"/>
  <c r="AC369" i="25" s="1"/>
  <c r="Z359" i="25"/>
  <c r="AA359" i="25" s="1"/>
  <c r="AC359" i="25" s="1"/>
  <c r="N30" i="26"/>
  <c r="N31" i="26"/>
  <c r="R36" i="26"/>
  <c r="S36" i="26" s="1"/>
  <c r="R35" i="26"/>
  <c r="S35" i="26" s="1"/>
  <c r="R34" i="26"/>
  <c r="S34" i="26" s="1"/>
  <c r="R33" i="26"/>
  <c r="S33" i="26" s="1"/>
  <c r="R32" i="26"/>
  <c r="S32" i="26" s="1"/>
  <c r="S31" i="26"/>
  <c r="R31" i="26"/>
  <c r="S30" i="26"/>
  <c r="R30" i="26"/>
  <c r="S20" i="26"/>
  <c r="R20" i="26"/>
  <c r="S10" i="26"/>
  <c r="R10" i="26"/>
  <c r="S29" i="26" l="1"/>
  <c r="S110" i="26"/>
  <c r="R110" i="26"/>
  <c r="S130" i="26"/>
  <c r="R130" i="26"/>
  <c r="S140" i="26"/>
  <c r="R140" i="26"/>
  <c r="Y140" i="26"/>
  <c r="Y130" i="26"/>
  <c r="Y120" i="26"/>
  <c r="Y110" i="26"/>
  <c r="Y100" i="26"/>
  <c r="Y90" i="26"/>
  <c r="Y80" i="26"/>
  <c r="Y70" i="26"/>
  <c r="Y60" i="26"/>
  <c r="Y50" i="26"/>
  <c r="Y40" i="26"/>
  <c r="Y30" i="26"/>
  <c r="Y20" i="26"/>
  <c r="Y10" i="26"/>
  <c r="N142" i="26"/>
  <c r="N141" i="26"/>
  <c r="N140" i="26"/>
  <c r="N132" i="26"/>
  <c r="N131" i="26"/>
  <c r="N130" i="26"/>
  <c r="N122" i="26"/>
  <c r="N121" i="26"/>
  <c r="N120" i="26"/>
  <c r="N112" i="26"/>
  <c r="N111" i="26"/>
  <c r="N110" i="26"/>
  <c r="N102" i="26"/>
  <c r="N101" i="26"/>
  <c r="N100" i="26"/>
  <c r="N92" i="26"/>
  <c r="N91" i="26"/>
  <c r="N90" i="26"/>
  <c r="N82" i="26"/>
  <c r="N81" i="26"/>
  <c r="N80" i="26"/>
  <c r="N72" i="26"/>
  <c r="N71" i="26"/>
  <c r="N70" i="26"/>
  <c r="N62" i="26"/>
  <c r="N61" i="26"/>
  <c r="N60" i="26"/>
  <c r="N52" i="26"/>
  <c r="N51" i="26"/>
  <c r="N50" i="26"/>
  <c r="N42" i="26"/>
  <c r="N41" i="26"/>
  <c r="N40" i="26"/>
  <c r="N32" i="26"/>
  <c r="N22" i="26"/>
  <c r="N21" i="26"/>
  <c r="N20" i="26"/>
  <c r="N12" i="26"/>
  <c r="N11" i="26"/>
  <c r="N10" i="26"/>
  <c r="A132" i="17"/>
  <c r="B132" i="17"/>
  <c r="A133" i="17"/>
  <c r="B133" i="17"/>
  <c r="A134" i="17"/>
  <c r="B134" i="17"/>
  <c r="A135" i="17"/>
  <c r="B135" i="17"/>
  <c r="A136" i="17"/>
  <c r="B136" i="17"/>
  <c r="B137" i="17"/>
  <c r="B138" i="17"/>
  <c r="B139" i="17"/>
  <c r="B140" i="17"/>
  <c r="B141" i="17"/>
  <c r="B142" i="17"/>
  <c r="B143" i="17"/>
  <c r="B144" i="17"/>
  <c r="B131" i="17"/>
  <c r="A131" i="17"/>
  <c r="F135" i="8"/>
  <c r="B135" i="8"/>
  <c r="A144" i="17" s="1"/>
  <c r="F134" i="8"/>
  <c r="B134" i="8"/>
  <c r="A143" i="17" s="1"/>
  <c r="F133" i="8"/>
  <c r="B133" i="8"/>
  <c r="A142" i="17" s="1"/>
  <c r="F132" i="8"/>
  <c r="B132" i="8"/>
  <c r="A141" i="17" s="1"/>
  <c r="H131" i="8"/>
  <c r="F131" i="8"/>
  <c r="B131" i="8"/>
  <c r="A140" i="17" s="1"/>
  <c r="F130" i="8"/>
  <c r="B130" i="8"/>
  <c r="A139" i="17" s="1"/>
  <c r="H129" i="8"/>
  <c r="F129" i="8"/>
  <c r="B129" i="8"/>
  <c r="A138" i="17" s="1"/>
  <c r="H128" i="8"/>
  <c r="B128" i="8"/>
  <c r="A137" i="17" s="1"/>
  <c r="H127" i="8"/>
  <c r="F127" i="8"/>
  <c r="H126" i="8"/>
  <c r="F126" i="8"/>
  <c r="I143" i="26"/>
  <c r="I142" i="26"/>
  <c r="I141" i="26"/>
  <c r="W140" i="26"/>
  <c r="X140" i="26" s="1"/>
  <c r="Y139" i="26" s="1"/>
  <c r="I135" i="8" s="1"/>
  <c r="V140" i="26"/>
  <c r="S139" i="26"/>
  <c r="H135" i="8" s="1"/>
  <c r="N139" i="26"/>
  <c r="G135" i="8" s="1"/>
  <c r="I140" i="26"/>
  <c r="I139" i="26"/>
  <c r="I132" i="26"/>
  <c r="I131" i="26"/>
  <c r="W130" i="26"/>
  <c r="X130" i="26" s="1"/>
  <c r="Y129" i="26" s="1"/>
  <c r="I134" i="8" s="1"/>
  <c r="V130" i="26"/>
  <c r="S129" i="26"/>
  <c r="H134" i="8" s="1"/>
  <c r="N129" i="26"/>
  <c r="G134" i="8" s="1"/>
  <c r="I130" i="26"/>
  <c r="I129" i="26"/>
  <c r="I122" i="26"/>
  <c r="I121" i="26"/>
  <c r="X120" i="26"/>
  <c r="Y119" i="26" s="1"/>
  <c r="I133" i="8" s="1"/>
  <c r="W120" i="26"/>
  <c r="V120" i="26"/>
  <c r="N119" i="26"/>
  <c r="G133" i="8" s="1"/>
  <c r="I120" i="26"/>
  <c r="S119" i="26"/>
  <c r="H133" i="8" s="1"/>
  <c r="I119" i="26"/>
  <c r="I112" i="26"/>
  <c r="I111" i="26"/>
  <c r="X110" i="26"/>
  <c r="Y109" i="26" s="1"/>
  <c r="I132" i="8" s="1"/>
  <c r="W110" i="26"/>
  <c r="V110" i="26"/>
  <c r="S109" i="26"/>
  <c r="H132" i="8" s="1"/>
  <c r="N109" i="26"/>
  <c r="G132" i="8" s="1"/>
  <c r="I110" i="26"/>
  <c r="I109" i="26"/>
  <c r="I102" i="26"/>
  <c r="I101" i="26"/>
  <c r="W100" i="26"/>
  <c r="X100" i="26" s="1"/>
  <c r="Y99" i="26" s="1"/>
  <c r="I131" i="8" s="1"/>
  <c r="V100" i="26"/>
  <c r="S100" i="26"/>
  <c r="S99" i="26" s="1"/>
  <c r="N99" i="26"/>
  <c r="G131" i="8" s="1"/>
  <c r="I100" i="26"/>
  <c r="I99" i="26"/>
  <c r="I92" i="26"/>
  <c r="I91" i="26"/>
  <c r="W90" i="26"/>
  <c r="X90" i="26" s="1"/>
  <c r="Y89" i="26" s="1"/>
  <c r="I130" i="8" s="1"/>
  <c r="V90" i="26"/>
  <c r="N89" i="26"/>
  <c r="G130" i="8" s="1"/>
  <c r="I90" i="26"/>
  <c r="S89" i="26"/>
  <c r="H130" i="8" s="1"/>
  <c r="I89" i="26"/>
  <c r="I82" i="26"/>
  <c r="I81" i="26"/>
  <c r="X80" i="26"/>
  <c r="Y79" i="26" s="1"/>
  <c r="I129" i="8" s="1"/>
  <c r="W80" i="26"/>
  <c r="V80" i="26"/>
  <c r="S80" i="26"/>
  <c r="N79" i="26"/>
  <c r="G129" i="8" s="1"/>
  <c r="I80" i="26"/>
  <c r="S79" i="26"/>
  <c r="I79" i="26"/>
  <c r="I72" i="26"/>
  <c r="N69" i="26"/>
  <c r="G128" i="8" s="1"/>
  <c r="I71" i="26"/>
  <c r="W70" i="26"/>
  <c r="X70" i="26" s="1"/>
  <c r="Y69" i="26" s="1"/>
  <c r="I128" i="8" s="1"/>
  <c r="V70" i="26"/>
  <c r="S70" i="26"/>
  <c r="S69" i="26" s="1"/>
  <c r="I70" i="26"/>
  <c r="I69" i="26" s="1"/>
  <c r="F128" i="8" s="1"/>
  <c r="I62" i="26"/>
  <c r="I61" i="26"/>
  <c r="W60" i="26"/>
  <c r="X60" i="26" s="1"/>
  <c r="Y59" i="26" s="1"/>
  <c r="I127" i="8" s="1"/>
  <c r="V60" i="26"/>
  <c r="S60" i="26"/>
  <c r="S59" i="26" s="1"/>
  <c r="I60" i="26"/>
  <c r="I59" i="26" s="1"/>
  <c r="N59" i="26"/>
  <c r="G127" i="8" s="1"/>
  <c r="I52" i="26"/>
  <c r="I51" i="26"/>
  <c r="W50" i="26"/>
  <c r="X50" i="26" s="1"/>
  <c r="Y49" i="26" s="1"/>
  <c r="I126" i="8" s="1"/>
  <c r="V50" i="26"/>
  <c r="S50" i="26"/>
  <c r="S49" i="26" s="1"/>
  <c r="N49" i="26"/>
  <c r="G126" i="8" s="1"/>
  <c r="I50" i="26"/>
  <c r="I49" i="26" s="1"/>
  <c r="I42" i="26"/>
  <c r="I41" i="26"/>
  <c r="W40" i="26"/>
  <c r="X40" i="26" s="1"/>
  <c r="Y39" i="26" s="1"/>
  <c r="I125" i="8" s="1"/>
  <c r="V40" i="26"/>
  <c r="S40" i="26"/>
  <c r="S39" i="26" s="1"/>
  <c r="H125" i="8" s="1"/>
  <c r="N39" i="26"/>
  <c r="G125" i="8" s="1"/>
  <c r="I40" i="26"/>
  <c r="I39" i="26"/>
  <c r="F125" i="8" s="1"/>
  <c r="I32" i="26"/>
  <c r="I31" i="26"/>
  <c r="W30" i="26"/>
  <c r="X30" i="26" s="1"/>
  <c r="Y29" i="26" s="1"/>
  <c r="I124" i="8" s="1"/>
  <c r="V30" i="26"/>
  <c r="N29" i="26"/>
  <c r="G124" i="8" s="1"/>
  <c r="I30" i="26"/>
  <c r="H124" i="8"/>
  <c r="I29" i="26"/>
  <c r="F124" i="8" s="1"/>
  <c r="I22" i="26"/>
  <c r="I21" i="26"/>
  <c r="W20" i="26"/>
  <c r="X20" i="26" s="1"/>
  <c r="Y19" i="26" s="1"/>
  <c r="I123" i="8" s="1"/>
  <c r="V20" i="26"/>
  <c r="S19" i="26"/>
  <c r="H123" i="8" s="1"/>
  <c r="N19" i="26"/>
  <c r="G123" i="8" s="1"/>
  <c r="I20" i="26"/>
  <c r="I19" i="26"/>
  <c r="F123" i="8" s="1"/>
  <c r="I12" i="26"/>
  <c r="I11" i="26"/>
  <c r="X10" i="26"/>
  <c r="Y9" i="26" s="1"/>
  <c r="I122" i="8" s="1"/>
  <c r="W10" i="26"/>
  <c r="V10" i="26"/>
  <c r="S9" i="26"/>
  <c r="H122" i="8" s="1"/>
  <c r="N9" i="26"/>
  <c r="G122" i="8" s="1"/>
  <c r="I10" i="26"/>
  <c r="I9" i="26"/>
  <c r="F122" i="8" s="1"/>
  <c r="Z5" i="26"/>
  <c r="C22" i="26"/>
  <c r="C42" i="26" s="1"/>
  <c r="C62" i="26" s="1"/>
  <c r="C82" i="26" s="1"/>
  <c r="C102" i="26" s="1"/>
  <c r="C122" i="26" s="1"/>
  <c r="C142" i="26" s="1"/>
  <c r="C12" i="26" l="1"/>
  <c r="C32" i="26" s="1"/>
  <c r="C52" i="26" s="1"/>
  <c r="C72" i="26" s="1"/>
  <c r="C92" i="26" s="1"/>
  <c r="C112" i="26" s="1"/>
  <c r="C132" i="26" s="1"/>
  <c r="F228" i="8"/>
  <c r="F227" i="8"/>
  <c r="F226" i="8"/>
  <c r="F225" i="8"/>
  <c r="F224" i="8"/>
  <c r="F223" i="8"/>
  <c r="F222" i="8"/>
  <c r="F221" i="8"/>
  <c r="F219" i="8"/>
  <c r="F218" i="8"/>
  <c r="F217" i="8"/>
  <c r="F216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4" i="8"/>
  <c r="F187" i="8"/>
  <c r="F182" i="8"/>
  <c r="F181" i="8"/>
  <c r="F174" i="8"/>
  <c r="F173" i="8"/>
  <c r="F172" i="8"/>
  <c r="F170" i="8"/>
  <c r="F169" i="8"/>
  <c r="F168" i="8"/>
  <c r="F167" i="8"/>
  <c r="F166" i="8"/>
  <c r="Y697" i="14"/>
  <c r="S697" i="14"/>
  <c r="N699" i="14"/>
  <c r="N698" i="14"/>
  <c r="N697" i="14"/>
  <c r="X697" i="14"/>
  <c r="W697" i="14"/>
  <c r="R697" i="14"/>
  <c r="I159" i="8"/>
  <c r="I161" i="8" s="1"/>
  <c r="H159" i="8"/>
  <c r="H161" i="8" s="1"/>
  <c r="G159" i="8"/>
  <c r="G161" i="8" s="1"/>
  <c r="Y160" i="14"/>
  <c r="W160" i="14"/>
  <c r="S160" i="14"/>
  <c r="N162" i="14"/>
  <c r="N161" i="14"/>
  <c r="N160" i="14"/>
  <c r="X160" i="14"/>
  <c r="R160" i="14"/>
  <c r="I154" i="8"/>
  <c r="H154" i="8"/>
  <c r="G154" i="8"/>
  <c r="Y197" i="14"/>
  <c r="W197" i="14"/>
  <c r="S197" i="14"/>
  <c r="N199" i="14"/>
  <c r="N198" i="14"/>
  <c r="N197" i="14"/>
  <c r="X197" i="14"/>
  <c r="R197" i="14"/>
  <c r="I153" i="8"/>
  <c r="H153" i="8"/>
  <c r="G153" i="8"/>
  <c r="Y32" i="14"/>
  <c r="W32" i="14"/>
  <c r="S32" i="14"/>
  <c r="N34" i="14"/>
  <c r="N33" i="14"/>
  <c r="N32" i="14"/>
  <c r="X32" i="14"/>
  <c r="R32" i="14"/>
  <c r="I152" i="8"/>
  <c r="H152" i="8"/>
  <c r="G152" i="8"/>
  <c r="Y52" i="14"/>
  <c r="W52" i="14"/>
  <c r="S52" i="14"/>
  <c r="N54" i="14"/>
  <c r="N53" i="14"/>
  <c r="N52" i="14"/>
  <c r="X52" i="14"/>
  <c r="R52" i="14"/>
  <c r="I150" i="8"/>
  <c r="H150" i="8"/>
  <c r="G150" i="8"/>
  <c r="Y132" i="14"/>
  <c r="W132" i="14"/>
  <c r="S132" i="14"/>
  <c r="N134" i="14"/>
  <c r="N133" i="14"/>
  <c r="N132" i="14"/>
  <c r="X132" i="14"/>
  <c r="R132" i="14"/>
  <c r="I149" i="8"/>
  <c r="H149" i="8"/>
  <c r="G149" i="8"/>
  <c r="Y178" i="14"/>
  <c r="W178" i="14"/>
  <c r="S178" i="14"/>
  <c r="N180" i="14"/>
  <c r="N179" i="14"/>
  <c r="N178" i="14"/>
  <c r="X178" i="14"/>
  <c r="R178" i="14"/>
  <c r="I148" i="8"/>
  <c r="H148" i="8"/>
  <c r="G148" i="8"/>
  <c r="Y102" i="14"/>
  <c r="W102" i="14"/>
  <c r="S102" i="14"/>
  <c r="N104" i="14"/>
  <c r="N103" i="14"/>
  <c r="N102" i="14"/>
  <c r="X102" i="14"/>
  <c r="R102" i="14"/>
  <c r="I146" i="8"/>
  <c r="H146" i="8"/>
  <c r="G146" i="8"/>
  <c r="Y72" i="14"/>
  <c r="W72" i="14"/>
  <c r="S72" i="14"/>
  <c r="N74" i="14"/>
  <c r="N73" i="14"/>
  <c r="N72" i="14"/>
  <c r="X72" i="14"/>
  <c r="R72" i="14"/>
  <c r="I145" i="8"/>
  <c r="H145" i="8"/>
  <c r="G145" i="8"/>
  <c r="F145" i="8"/>
  <c r="Y92" i="14"/>
  <c r="W92" i="14"/>
  <c r="S92" i="14"/>
  <c r="N94" i="14"/>
  <c r="N93" i="14"/>
  <c r="N92" i="14"/>
  <c r="X92" i="14"/>
  <c r="R92" i="14"/>
  <c r="I144" i="8"/>
  <c r="H144" i="8"/>
  <c r="G144" i="8"/>
  <c r="F144" i="8"/>
  <c r="Y22" i="14"/>
  <c r="W22" i="14"/>
  <c r="S22" i="14"/>
  <c r="N24" i="14"/>
  <c r="N23" i="14"/>
  <c r="N22" i="14"/>
  <c r="X22" i="14"/>
  <c r="R22" i="14"/>
  <c r="I143" i="8"/>
  <c r="H143" i="8"/>
  <c r="G143" i="8"/>
  <c r="F143" i="8"/>
  <c r="Y12" i="14"/>
  <c r="X12" i="14"/>
  <c r="W12" i="14"/>
  <c r="S12" i="14"/>
  <c r="N14" i="14"/>
  <c r="N13" i="14"/>
  <c r="N12" i="14"/>
  <c r="I330" i="8"/>
  <c r="H330" i="8"/>
  <c r="G330" i="8"/>
  <c r="Y8" i="6"/>
  <c r="X8" i="6"/>
  <c r="V8" i="6"/>
  <c r="S8" i="6"/>
  <c r="N11" i="6"/>
  <c r="N10" i="6"/>
  <c r="N9" i="6"/>
  <c r="N8" i="6"/>
  <c r="I328" i="8"/>
  <c r="H328" i="8"/>
  <c r="G328" i="8"/>
  <c r="F328" i="8"/>
  <c r="Y453" i="7"/>
  <c r="W453" i="7"/>
  <c r="V453" i="7"/>
  <c r="S453" i="7"/>
  <c r="N455" i="7"/>
  <c r="N454" i="7"/>
  <c r="N453" i="7"/>
  <c r="X453" i="7"/>
  <c r="R453" i="7"/>
  <c r="I326" i="8"/>
  <c r="H326" i="8"/>
  <c r="G326" i="8"/>
  <c r="F326" i="8"/>
  <c r="I321" i="8"/>
  <c r="H321" i="8"/>
  <c r="G321" i="8"/>
  <c r="Y483" i="7"/>
  <c r="W483" i="7"/>
  <c r="V483" i="7"/>
  <c r="S483" i="7"/>
  <c r="N485" i="7"/>
  <c r="N484" i="7"/>
  <c r="N483" i="7"/>
  <c r="X483" i="7"/>
  <c r="R483" i="7"/>
  <c r="F321" i="8"/>
  <c r="I325" i="8"/>
  <c r="H325" i="8"/>
  <c r="G325" i="8"/>
  <c r="F325" i="8"/>
  <c r="Y313" i="7"/>
  <c r="W313" i="7"/>
  <c r="V313" i="7"/>
  <c r="S313" i="7"/>
  <c r="N315" i="7"/>
  <c r="N314" i="7"/>
  <c r="N313" i="7"/>
  <c r="X313" i="7"/>
  <c r="R313" i="7"/>
  <c r="I323" i="8"/>
  <c r="H323" i="8"/>
  <c r="G323" i="8"/>
  <c r="F323" i="8"/>
  <c r="Y283" i="7"/>
  <c r="W283" i="7"/>
  <c r="V283" i="7"/>
  <c r="S283" i="7"/>
  <c r="N285" i="7"/>
  <c r="N284" i="7"/>
  <c r="N283" i="7"/>
  <c r="X283" i="7"/>
  <c r="R283" i="7"/>
  <c r="Y273" i="7"/>
  <c r="W273" i="7"/>
  <c r="V273" i="7"/>
  <c r="X273" i="7"/>
  <c r="S273" i="7"/>
  <c r="N273" i="7"/>
  <c r="N275" i="7"/>
  <c r="N274" i="7"/>
  <c r="I320" i="8"/>
  <c r="H320" i="8"/>
  <c r="G320" i="8"/>
  <c r="F320" i="8"/>
  <c r="Y473" i="7"/>
  <c r="W473" i="7"/>
  <c r="V473" i="7"/>
  <c r="S473" i="7"/>
  <c r="N475" i="7"/>
  <c r="N474" i="7"/>
  <c r="N473" i="7"/>
  <c r="X473" i="7"/>
  <c r="R473" i="7"/>
  <c r="I319" i="8"/>
  <c r="G319" i="8"/>
  <c r="H319" i="8"/>
  <c r="F319" i="8"/>
  <c r="Y463" i="7"/>
  <c r="W463" i="7"/>
  <c r="V463" i="7"/>
  <c r="S463" i="7"/>
  <c r="N465" i="7"/>
  <c r="N464" i="7"/>
  <c r="N463" i="7"/>
  <c r="X463" i="7"/>
  <c r="R463" i="7"/>
  <c r="I318" i="8"/>
  <c r="H318" i="8"/>
  <c r="G318" i="8"/>
  <c r="F318" i="8"/>
  <c r="Y493" i="7"/>
  <c r="W493" i="7"/>
  <c r="V493" i="7"/>
  <c r="S493" i="7"/>
  <c r="N495" i="7"/>
  <c r="N494" i="7"/>
  <c r="N493" i="7"/>
  <c r="X493" i="7"/>
  <c r="R493" i="7"/>
  <c r="I316" i="8"/>
  <c r="H316" i="8"/>
  <c r="G316" i="8"/>
  <c r="F316" i="8"/>
  <c r="Y533" i="7"/>
  <c r="W533" i="7"/>
  <c r="V533" i="7"/>
  <c r="S533" i="7"/>
  <c r="N535" i="7"/>
  <c r="N534" i="7"/>
  <c r="N533" i="7"/>
  <c r="X533" i="7"/>
  <c r="R533" i="7"/>
  <c r="I315" i="8"/>
  <c r="H315" i="8"/>
  <c r="G315" i="8"/>
  <c r="F315" i="8"/>
  <c r="Y523" i="7"/>
  <c r="W523" i="7"/>
  <c r="V523" i="7"/>
  <c r="S523" i="7"/>
  <c r="N525" i="7"/>
  <c r="N524" i="7"/>
  <c r="N523" i="7"/>
  <c r="X523" i="7"/>
  <c r="R523" i="7"/>
  <c r="I314" i="8"/>
  <c r="H314" i="8"/>
  <c r="G314" i="8"/>
  <c r="F314" i="8"/>
  <c r="Y293" i="7"/>
  <c r="W293" i="7"/>
  <c r="V293" i="7"/>
  <c r="S293" i="7"/>
  <c r="N295" i="7"/>
  <c r="N294" i="7"/>
  <c r="N293" i="7"/>
  <c r="X293" i="7"/>
  <c r="R293" i="7"/>
  <c r="Y263" i="7"/>
  <c r="H313" i="8"/>
  <c r="G313" i="8"/>
  <c r="F313" i="8"/>
  <c r="I312" i="8"/>
  <c r="H312" i="8"/>
  <c r="G312" i="8"/>
  <c r="F312" i="8"/>
  <c r="Y543" i="7"/>
  <c r="W543" i="7"/>
  <c r="V543" i="7"/>
  <c r="S543" i="7"/>
  <c r="N545" i="7"/>
  <c r="N544" i="7"/>
  <c r="N543" i="7"/>
  <c r="X543" i="7"/>
  <c r="R543" i="7"/>
  <c r="I311" i="8"/>
  <c r="Y373" i="7"/>
  <c r="H309" i="8"/>
  <c r="G309" i="8"/>
  <c r="H311" i="8"/>
  <c r="G311" i="8"/>
  <c r="F311" i="8"/>
  <c r="Y513" i="7"/>
  <c r="W513" i="7"/>
  <c r="V513" i="7"/>
  <c r="S513" i="7"/>
  <c r="N515" i="7"/>
  <c r="N514" i="7"/>
  <c r="N513" i="7"/>
  <c r="X513" i="7"/>
  <c r="R513" i="7"/>
  <c r="I310" i="8"/>
  <c r="H310" i="8"/>
  <c r="G310" i="8"/>
  <c r="F310" i="8"/>
  <c r="F309" i="8"/>
  <c r="Y503" i="7"/>
  <c r="W503" i="7"/>
  <c r="V503" i="7"/>
  <c r="S503" i="7"/>
  <c r="N505" i="7"/>
  <c r="N504" i="7"/>
  <c r="N503" i="7"/>
  <c r="X503" i="7"/>
  <c r="R503" i="7"/>
  <c r="W373" i="7"/>
  <c r="V373" i="7"/>
  <c r="S373" i="7"/>
  <c r="N375" i="7"/>
  <c r="N374" i="7"/>
  <c r="N373" i="7"/>
  <c r="X373" i="7"/>
  <c r="R373" i="7"/>
  <c r="I308" i="8"/>
  <c r="H308" i="8"/>
  <c r="G308" i="8"/>
  <c r="F308" i="8"/>
  <c r="Y383" i="7"/>
  <c r="W383" i="7"/>
  <c r="V383" i="7"/>
  <c r="S383" i="7"/>
  <c r="N385" i="7"/>
  <c r="N384" i="7"/>
  <c r="N383" i="7"/>
  <c r="X383" i="7"/>
  <c r="R383" i="7"/>
  <c r="I307" i="8"/>
  <c r="H307" i="8"/>
  <c r="G307" i="8"/>
  <c r="F307" i="8"/>
  <c r="Y303" i="7"/>
  <c r="W303" i="7"/>
  <c r="V303" i="7"/>
  <c r="S303" i="7"/>
  <c r="N305" i="7"/>
  <c r="N304" i="7"/>
  <c r="N303" i="7"/>
  <c r="X303" i="7"/>
  <c r="R303" i="7"/>
  <c r="I306" i="8"/>
  <c r="H306" i="8"/>
  <c r="G306" i="8"/>
  <c r="F306" i="8"/>
  <c r="Y413" i="7"/>
  <c r="W413" i="7"/>
  <c r="V413" i="7"/>
  <c r="S413" i="7"/>
  <c r="N415" i="7"/>
  <c r="N414" i="7"/>
  <c r="N413" i="7"/>
  <c r="X413" i="7"/>
  <c r="R413" i="7"/>
  <c r="I305" i="8"/>
  <c r="H305" i="8"/>
  <c r="G305" i="8"/>
  <c r="F305" i="8"/>
  <c r="Y343" i="7"/>
  <c r="W343" i="7"/>
  <c r="V343" i="7"/>
  <c r="S343" i="7"/>
  <c r="N345" i="7"/>
  <c r="N344" i="7"/>
  <c r="N343" i="7"/>
  <c r="X343" i="7"/>
  <c r="R343" i="7"/>
  <c r="I304" i="8"/>
  <c r="H304" i="8"/>
  <c r="G304" i="8"/>
  <c r="F304" i="8"/>
  <c r="Y403" i="7"/>
  <c r="W403" i="7"/>
  <c r="V403" i="7"/>
  <c r="S403" i="7"/>
  <c r="N405" i="7"/>
  <c r="N404" i="7"/>
  <c r="N403" i="7"/>
  <c r="X403" i="7"/>
  <c r="R403" i="7"/>
  <c r="Y7" i="11"/>
  <c r="Y16" i="11"/>
  <c r="Y24" i="11"/>
  <c r="Y33" i="11"/>
  <c r="Y41" i="11"/>
  <c r="Y50" i="11"/>
  <c r="Y59" i="11"/>
  <c r="Y68" i="11"/>
  <c r="Y77" i="11"/>
  <c r="Y86" i="11"/>
  <c r="Y95" i="11"/>
  <c r="Y104" i="11"/>
  <c r="Y113" i="11"/>
  <c r="Y122" i="11"/>
  <c r="Y131" i="11"/>
  <c r="Y140" i="11"/>
  <c r="Y149" i="11"/>
  <c r="Y158" i="11"/>
  <c r="Y167" i="11"/>
  <c r="Y176" i="11"/>
  <c r="Y185" i="11"/>
  <c r="Y194" i="11"/>
  <c r="Y203" i="11"/>
  <c r="G163" i="8" l="1"/>
  <c r="G162" i="8"/>
  <c r="G164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G204" i="8" s="1"/>
  <c r="G205" i="8" s="1"/>
  <c r="G206" i="8" s="1"/>
  <c r="G207" i="8" s="1"/>
  <c r="G208" i="8" s="1"/>
  <c r="G209" i="8" s="1"/>
  <c r="G210" i="8" s="1"/>
  <c r="G211" i="8" s="1"/>
  <c r="G212" i="8" s="1"/>
  <c r="G213" i="8" s="1"/>
  <c r="G214" i="8" s="1"/>
  <c r="G215" i="8" s="1"/>
  <c r="G216" i="8" s="1"/>
  <c r="G217" i="8" s="1"/>
  <c r="G218" i="8" s="1"/>
  <c r="G219" i="8" s="1"/>
  <c r="G220" i="8" s="1"/>
  <c r="G221" i="8" s="1"/>
  <c r="G222" i="8" s="1"/>
  <c r="G223" i="8" s="1"/>
  <c r="G224" i="8" s="1"/>
  <c r="G225" i="8" s="1"/>
  <c r="G226" i="8" s="1"/>
  <c r="G227" i="8" s="1"/>
  <c r="G228" i="8" s="1"/>
  <c r="I162" i="8"/>
  <c r="I164" i="8" s="1"/>
  <c r="I166" i="8" s="1"/>
  <c r="I167" i="8" s="1"/>
  <c r="I168" i="8" s="1"/>
  <c r="I169" i="8" s="1"/>
  <c r="I170" i="8" s="1"/>
  <c r="I171" i="8" s="1"/>
  <c r="I172" i="8" s="1"/>
  <c r="I173" i="8" s="1"/>
  <c r="I174" i="8" s="1"/>
  <c r="I175" i="8" s="1"/>
  <c r="I176" i="8" s="1"/>
  <c r="I177" i="8" s="1"/>
  <c r="I178" i="8" s="1"/>
  <c r="I179" i="8" s="1"/>
  <c r="I180" i="8" s="1"/>
  <c r="I181" i="8" s="1"/>
  <c r="I182" i="8" s="1"/>
  <c r="I183" i="8" s="1"/>
  <c r="I184" i="8" s="1"/>
  <c r="I185" i="8" s="1"/>
  <c r="I186" i="8" s="1"/>
  <c r="I187" i="8" s="1"/>
  <c r="I188" i="8" s="1"/>
  <c r="I189" i="8" s="1"/>
  <c r="I190" i="8" s="1"/>
  <c r="I191" i="8" s="1"/>
  <c r="I192" i="8" s="1"/>
  <c r="I193" i="8" s="1"/>
  <c r="I194" i="8" s="1"/>
  <c r="I195" i="8" s="1"/>
  <c r="I196" i="8" s="1"/>
  <c r="I197" i="8" s="1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163" i="8"/>
  <c r="H162" i="8"/>
  <c r="H164" i="8" s="1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204" i="8" s="1"/>
  <c r="H205" i="8" s="1"/>
  <c r="H206" i="8" s="1"/>
  <c r="H207" i="8" s="1"/>
  <c r="H208" i="8" s="1"/>
  <c r="H209" i="8" s="1"/>
  <c r="H210" i="8" s="1"/>
  <c r="H211" i="8" s="1"/>
  <c r="H212" i="8" s="1"/>
  <c r="H213" i="8" s="1"/>
  <c r="H214" i="8" s="1"/>
  <c r="H215" i="8" s="1"/>
  <c r="H216" i="8" s="1"/>
  <c r="H217" i="8" s="1"/>
  <c r="H218" i="8" s="1"/>
  <c r="H219" i="8" s="1"/>
  <c r="H220" i="8" s="1"/>
  <c r="H221" i="8" s="1"/>
  <c r="H222" i="8" s="1"/>
  <c r="H223" i="8" s="1"/>
  <c r="H224" i="8" s="1"/>
  <c r="H225" i="8" s="1"/>
  <c r="H226" i="8" s="1"/>
  <c r="H227" i="8" s="1"/>
  <c r="H228" i="8" s="1"/>
  <c r="H163" i="8"/>
  <c r="I303" i="8"/>
  <c r="H303" i="8"/>
  <c r="G303" i="8"/>
  <c r="F303" i="8"/>
  <c r="Y423" i="7"/>
  <c r="W423" i="7"/>
  <c r="V423" i="7"/>
  <c r="X423" i="7"/>
  <c r="S423" i="7"/>
  <c r="N425" i="7"/>
  <c r="N423" i="7"/>
  <c r="N424" i="7"/>
  <c r="Y333" i="7"/>
  <c r="H302" i="8"/>
  <c r="G302" i="8"/>
  <c r="F302" i="8"/>
  <c r="X333" i="7"/>
  <c r="W333" i="7"/>
  <c r="V333" i="7"/>
  <c r="N335" i="7"/>
  <c r="N334" i="7"/>
  <c r="N333" i="7"/>
  <c r="B330" i="8"/>
  <c r="B328" i="8"/>
  <c r="B324" i="8"/>
  <c r="B325" i="8"/>
  <c r="B326" i="8"/>
  <c r="B323" i="8"/>
  <c r="B319" i="8"/>
  <c r="B320" i="8"/>
  <c r="B321" i="8"/>
  <c r="B318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02" i="8"/>
  <c r="W263" i="7"/>
  <c r="V263" i="7"/>
  <c r="X263" i="7"/>
  <c r="W252" i="7"/>
  <c r="V252" i="7"/>
  <c r="X252" i="7"/>
  <c r="Y252" i="7" s="1"/>
  <c r="Y242" i="7"/>
  <c r="W242" i="7"/>
  <c r="V242" i="7"/>
  <c r="X242" i="7"/>
  <c r="Y232" i="7"/>
  <c r="W232" i="7"/>
  <c r="V232" i="7"/>
  <c r="X232" i="7"/>
  <c r="Y222" i="7"/>
  <c r="S222" i="7"/>
  <c r="N224" i="7"/>
  <c r="N223" i="7"/>
  <c r="N222" i="7"/>
  <c r="Y212" i="7"/>
  <c r="N214" i="7"/>
  <c r="N213" i="7"/>
  <c r="N212" i="7"/>
  <c r="W222" i="7"/>
  <c r="V222" i="7"/>
  <c r="X222" i="7"/>
  <c r="W212" i="7"/>
  <c r="V212" i="7"/>
  <c r="X212" i="7"/>
  <c r="S263" i="7"/>
  <c r="N265" i="7"/>
  <c r="N264" i="7"/>
  <c r="N263" i="7"/>
  <c r="I282" i="8"/>
  <c r="H282" i="8"/>
  <c r="G282" i="8"/>
  <c r="F282" i="8"/>
  <c r="Y200" i="7"/>
  <c r="W200" i="7"/>
  <c r="V200" i="7"/>
  <c r="S200" i="7"/>
  <c r="N202" i="7"/>
  <c r="N201" i="7"/>
  <c r="N200" i="7"/>
  <c r="I205" i="7"/>
  <c r="I204" i="7"/>
  <c r="I201" i="7"/>
  <c r="X200" i="7"/>
  <c r="R200" i="7"/>
  <c r="S199" i="7" s="1"/>
  <c r="I200" i="7"/>
  <c r="I199" i="7"/>
  <c r="I8" i="7"/>
  <c r="I9" i="7"/>
  <c r="I10" i="7"/>
  <c r="Y190" i="7"/>
  <c r="Y180" i="7"/>
  <c r="Y170" i="7"/>
  <c r="Y160" i="7"/>
  <c r="Y150" i="7"/>
  <c r="Y140" i="7"/>
  <c r="Y130" i="7"/>
  <c r="Y120" i="7"/>
  <c r="Y110" i="7"/>
  <c r="Y100" i="7"/>
  <c r="Y79" i="7"/>
  <c r="Y69" i="7"/>
  <c r="Y59" i="7"/>
  <c r="Y39" i="7"/>
  <c r="Y19" i="7"/>
  <c r="Y9" i="7"/>
  <c r="H281" i="8"/>
  <c r="G281" i="8"/>
  <c r="W190" i="7"/>
  <c r="X190" i="7" s="1"/>
  <c r="V190" i="7"/>
  <c r="S190" i="7"/>
  <c r="N192" i="7"/>
  <c r="N191" i="7"/>
  <c r="N190" i="7"/>
  <c r="I195" i="7"/>
  <c r="I194" i="7"/>
  <c r="I191" i="7"/>
  <c r="R190" i="7"/>
  <c r="S189" i="7" s="1"/>
  <c r="I190" i="7"/>
  <c r="I189" i="7"/>
  <c r="F281" i="8" s="1"/>
  <c r="H280" i="8"/>
  <c r="G280" i="8"/>
  <c r="F280" i="8"/>
  <c r="W180" i="7"/>
  <c r="X180" i="7" s="1"/>
  <c r="V180" i="7"/>
  <c r="S180" i="7"/>
  <c r="N182" i="7"/>
  <c r="N181" i="7"/>
  <c r="N180" i="7"/>
  <c r="I185" i="7"/>
  <c r="I184" i="7"/>
  <c r="I181" i="7"/>
  <c r="R180" i="7"/>
  <c r="S179" i="7" s="1"/>
  <c r="I180" i="7"/>
  <c r="I179" i="7"/>
  <c r="H279" i="8"/>
  <c r="G279" i="8"/>
  <c r="W170" i="7"/>
  <c r="X170" i="7" s="1"/>
  <c r="V170" i="7"/>
  <c r="S170" i="7"/>
  <c r="N172" i="7"/>
  <c r="N171" i="7"/>
  <c r="N170" i="7"/>
  <c r="I175" i="7"/>
  <c r="I174" i="7"/>
  <c r="I171" i="7"/>
  <c r="R170" i="7"/>
  <c r="S169" i="7" s="1"/>
  <c r="I170" i="7"/>
  <c r="I169" i="7" s="1"/>
  <c r="F279" i="8" s="1"/>
  <c r="H277" i="8"/>
  <c r="H278" i="8" s="1"/>
  <c r="G277" i="8"/>
  <c r="G278" i="8" s="1"/>
  <c r="Y199" i="7" l="1"/>
  <c r="N199" i="7"/>
  <c r="Y189" i="7"/>
  <c r="I281" i="8" s="1"/>
  <c r="N189" i="7"/>
  <c r="Y179" i="7"/>
  <c r="I280" i="8" s="1"/>
  <c r="N179" i="7"/>
  <c r="Y169" i="7"/>
  <c r="I279" i="8" s="1"/>
  <c r="N169" i="7"/>
  <c r="W160" i="7" l="1"/>
  <c r="V160" i="7"/>
  <c r="S160" i="7"/>
  <c r="N160" i="7"/>
  <c r="N162" i="7"/>
  <c r="N161" i="7"/>
  <c r="I165" i="7"/>
  <c r="I164" i="7"/>
  <c r="I161" i="7"/>
  <c r="X160" i="7"/>
  <c r="R160" i="7"/>
  <c r="I160" i="7"/>
  <c r="N159" i="7"/>
  <c r="I159" i="7"/>
  <c r="F277" i="8" s="1"/>
  <c r="F278" i="8" s="1"/>
  <c r="Y159" i="7" l="1"/>
  <c r="I277" i="8" s="1"/>
  <c r="S159" i="7"/>
  <c r="B276" i="8"/>
  <c r="B277" i="8" s="1"/>
  <c r="B278" i="8" s="1"/>
  <c r="B279" i="8" s="1"/>
  <c r="B280" i="8" s="1"/>
  <c r="B281" i="8" s="1"/>
  <c r="W120" i="7"/>
  <c r="V120" i="7"/>
  <c r="X120" i="7"/>
  <c r="S120" i="7"/>
  <c r="N122" i="7"/>
  <c r="N121" i="7"/>
  <c r="N120" i="7"/>
  <c r="W100" i="7"/>
  <c r="V100" i="7"/>
  <c r="X100" i="7"/>
  <c r="S100" i="7"/>
  <c r="R100" i="7"/>
  <c r="N102" i="7"/>
  <c r="N101" i="7"/>
  <c r="N100" i="7"/>
  <c r="W110" i="7"/>
  <c r="V110" i="7"/>
  <c r="X110" i="7"/>
  <c r="N112" i="7"/>
  <c r="N111" i="7"/>
  <c r="N110" i="7"/>
  <c r="W69" i="7"/>
  <c r="V69" i="7"/>
  <c r="X69" i="7"/>
  <c r="S69" i="7"/>
  <c r="N71" i="7"/>
  <c r="N70" i="7"/>
  <c r="N69" i="7"/>
  <c r="W39" i="7"/>
  <c r="V39" i="7"/>
  <c r="X39" i="7"/>
  <c r="S39" i="7"/>
  <c r="N41" i="7"/>
  <c r="N40" i="7"/>
  <c r="N39" i="7"/>
  <c r="W150" i="7"/>
  <c r="V150" i="7"/>
  <c r="X150" i="7"/>
  <c r="N152" i="7"/>
  <c r="N151" i="7"/>
  <c r="N150" i="7"/>
  <c r="W140" i="7"/>
  <c r="X140" i="7" s="1"/>
  <c r="V140" i="7"/>
  <c r="S140" i="7"/>
  <c r="N142" i="7"/>
  <c r="N141" i="7"/>
  <c r="N140" i="7"/>
  <c r="I145" i="7"/>
  <c r="I144" i="7"/>
  <c r="I141" i="7"/>
  <c r="R140" i="7"/>
  <c r="I140" i="7"/>
  <c r="I139" i="7"/>
  <c r="F269" i="8" s="1"/>
  <c r="B269" i="8"/>
  <c r="W79" i="7"/>
  <c r="V79" i="7"/>
  <c r="X79" i="7"/>
  <c r="S79" i="7"/>
  <c r="R79" i="7"/>
  <c r="N81" i="7"/>
  <c r="N80" i="7"/>
  <c r="N79" i="7"/>
  <c r="W19" i="7"/>
  <c r="X19" i="7" s="1"/>
  <c r="V19" i="7"/>
  <c r="S19" i="7"/>
  <c r="N21" i="7"/>
  <c r="N20" i="7"/>
  <c r="N19" i="7"/>
  <c r="R19" i="7"/>
  <c r="W130" i="7"/>
  <c r="V130" i="7"/>
  <c r="X130" i="7"/>
  <c r="I278" i="8" l="1"/>
  <c r="Y139" i="7"/>
  <c r="I269" i="8" s="1"/>
  <c r="S139" i="7"/>
  <c r="H269" i="8" s="1"/>
  <c r="N139" i="7"/>
  <c r="G269" i="8" s="1"/>
  <c r="N132" i="7"/>
  <c r="N131" i="7"/>
  <c r="N130" i="7"/>
  <c r="W59" i="7"/>
  <c r="V59" i="7"/>
  <c r="X59" i="7"/>
  <c r="S59" i="7"/>
  <c r="N61" i="7"/>
  <c r="N60" i="7"/>
  <c r="N59" i="7"/>
  <c r="X9" i="7"/>
  <c r="W9" i="7"/>
  <c r="V9" i="7"/>
  <c r="S9" i="7"/>
  <c r="N11" i="7"/>
  <c r="N10" i="7"/>
  <c r="N9" i="7"/>
  <c r="B261" i="8"/>
  <c r="B262" i="8"/>
  <c r="B263" i="8"/>
  <c r="B264" i="8"/>
  <c r="B265" i="8"/>
  <c r="B266" i="8"/>
  <c r="B267" i="8"/>
  <c r="B268" i="8"/>
  <c r="B270" i="8"/>
  <c r="B271" i="8"/>
  <c r="B272" i="8"/>
  <c r="B273" i="8"/>
  <c r="B274" i="8"/>
  <c r="B275" i="8"/>
  <c r="B260" i="8"/>
  <c r="I243" i="8"/>
  <c r="H243" i="8"/>
  <c r="G243" i="8"/>
  <c r="F243" i="8"/>
  <c r="Y442" i="5"/>
  <c r="W442" i="5"/>
  <c r="V442" i="5"/>
  <c r="S442" i="5"/>
  <c r="N444" i="5"/>
  <c r="N443" i="5"/>
  <c r="N442" i="5"/>
  <c r="X442" i="5"/>
  <c r="R442" i="5"/>
  <c r="I240" i="8"/>
  <c r="H240" i="8"/>
  <c r="G240" i="8"/>
  <c r="F240" i="8"/>
  <c r="Y382" i="5"/>
  <c r="W382" i="5"/>
  <c r="V382" i="5"/>
  <c r="S382" i="5"/>
  <c r="N384" i="5"/>
  <c r="N383" i="5"/>
  <c r="N382" i="5"/>
  <c r="X382" i="5"/>
  <c r="R382" i="5"/>
  <c r="W82" i="5"/>
  <c r="V82" i="5"/>
  <c r="N84" i="5"/>
  <c r="N83" i="5"/>
  <c r="N82" i="5"/>
  <c r="X82" i="5"/>
  <c r="Y82" i="5" s="1"/>
  <c r="R82" i="5"/>
  <c r="S82" i="5" s="1"/>
  <c r="I258" i="8"/>
  <c r="G258" i="8"/>
  <c r="Y602" i="5"/>
  <c r="W602" i="5"/>
  <c r="X602" i="5" s="1"/>
  <c r="V602" i="5"/>
  <c r="N604" i="5"/>
  <c r="N603" i="5"/>
  <c r="N602" i="5"/>
  <c r="R602" i="5"/>
  <c r="W582" i="5"/>
  <c r="V582" i="5"/>
  <c r="N584" i="5"/>
  <c r="N583" i="5"/>
  <c r="N582" i="5"/>
  <c r="X582" i="5"/>
  <c r="Y582" i="5" s="1"/>
  <c r="R582" i="5"/>
  <c r="S582" i="5" s="1"/>
  <c r="I256" i="8"/>
  <c r="H256" i="8"/>
  <c r="G256" i="8"/>
  <c r="F256" i="8"/>
  <c r="Y562" i="5"/>
  <c r="W562" i="5"/>
  <c r="V562" i="5"/>
  <c r="S562" i="5"/>
  <c r="N564" i="5"/>
  <c r="N563" i="5"/>
  <c r="N562" i="5"/>
  <c r="X562" i="5"/>
  <c r="R562" i="5"/>
  <c r="I255" i="8"/>
  <c r="H255" i="8"/>
  <c r="G255" i="8"/>
  <c r="F255" i="8"/>
  <c r="Y552" i="5"/>
  <c r="W552" i="5"/>
  <c r="V552" i="5"/>
  <c r="S552" i="5"/>
  <c r="N554" i="5"/>
  <c r="N553" i="5"/>
  <c r="N552" i="5"/>
  <c r="X552" i="5"/>
  <c r="R552" i="5"/>
  <c r="I253" i="8"/>
  <c r="H253" i="8"/>
  <c r="G253" i="8"/>
  <c r="Y522" i="5"/>
  <c r="W522" i="5"/>
  <c r="V522" i="5"/>
  <c r="S522" i="5"/>
  <c r="N524" i="5"/>
  <c r="N523" i="5"/>
  <c r="N522" i="5"/>
  <c r="X522" i="5"/>
  <c r="R522" i="5"/>
  <c r="F253" i="8"/>
  <c r="I254" i="8"/>
  <c r="H254" i="8"/>
  <c r="G254" i="8"/>
  <c r="F254" i="8"/>
  <c r="Y512" i="5"/>
  <c r="W512" i="5"/>
  <c r="V512" i="5"/>
  <c r="S512" i="5"/>
  <c r="N514" i="5"/>
  <c r="N513" i="5"/>
  <c r="N512" i="5"/>
  <c r="X512" i="5"/>
  <c r="R512" i="5"/>
  <c r="I252" i="8"/>
  <c r="H252" i="8"/>
  <c r="G252" i="8"/>
  <c r="F252" i="8"/>
  <c r="Y502" i="5"/>
  <c r="W502" i="5"/>
  <c r="V502" i="5"/>
  <c r="S502" i="5"/>
  <c r="N504" i="5"/>
  <c r="N503" i="5"/>
  <c r="N502" i="5"/>
  <c r="X502" i="5"/>
  <c r="R502" i="5"/>
  <c r="I241" i="8"/>
  <c r="H241" i="8"/>
  <c r="G241" i="8"/>
  <c r="G242" i="8"/>
  <c r="F241" i="8"/>
  <c r="Y472" i="5"/>
  <c r="W472" i="5"/>
  <c r="V472" i="5"/>
  <c r="S472" i="5"/>
  <c r="N474" i="5"/>
  <c r="N473" i="5"/>
  <c r="N472" i="5"/>
  <c r="X472" i="5"/>
  <c r="R472" i="5"/>
  <c r="I251" i="8"/>
  <c r="H251" i="8"/>
  <c r="G251" i="8"/>
  <c r="F251" i="8"/>
  <c r="Y462" i="5"/>
  <c r="W462" i="5"/>
  <c r="X462" i="5" s="1"/>
  <c r="V462" i="5"/>
  <c r="S362" i="5"/>
  <c r="S352" i="5"/>
  <c r="S332" i="5"/>
  <c r="S322" i="5"/>
  <c r="S312" i="5"/>
  <c r="S292" i="5"/>
  <c r="S282" i="5"/>
  <c r="S272" i="5"/>
  <c r="S222" i="5"/>
  <c r="S182" i="5"/>
  <c r="S152" i="5"/>
  <c r="S142" i="5"/>
  <c r="S92" i="5"/>
  <c r="S30" i="5"/>
  <c r="S462" i="5"/>
  <c r="N464" i="5"/>
  <c r="N463" i="5"/>
  <c r="N462" i="5"/>
  <c r="R462" i="5"/>
  <c r="Y362" i="5"/>
  <c r="W362" i="5"/>
  <c r="V362" i="5"/>
  <c r="N364" i="5"/>
  <c r="N363" i="5"/>
  <c r="N362" i="5"/>
  <c r="X362" i="5"/>
  <c r="R362" i="5"/>
  <c r="I249" i="8"/>
  <c r="G249" i="8"/>
  <c r="F249" i="8"/>
  <c r="Y352" i="5"/>
  <c r="W352" i="5"/>
  <c r="V352" i="5"/>
  <c r="N354" i="5"/>
  <c r="N353" i="5"/>
  <c r="N352" i="5"/>
  <c r="X352" i="5"/>
  <c r="R352" i="5"/>
  <c r="Y332" i="5"/>
  <c r="W332" i="5"/>
  <c r="V332" i="5"/>
  <c r="N334" i="5"/>
  <c r="N333" i="5"/>
  <c r="N332" i="5"/>
  <c r="X332" i="5"/>
  <c r="R332" i="5"/>
  <c r="I239" i="8"/>
  <c r="G239" i="8"/>
  <c r="F239" i="8"/>
  <c r="Y322" i="5"/>
  <c r="W322" i="5"/>
  <c r="V322" i="5"/>
  <c r="N324" i="5"/>
  <c r="N323" i="5"/>
  <c r="N322" i="5"/>
  <c r="X322" i="5"/>
  <c r="R322" i="5"/>
  <c r="I238" i="8"/>
  <c r="G238" i="8"/>
  <c r="F238" i="8"/>
  <c r="Y312" i="5"/>
  <c r="W312" i="5"/>
  <c r="V312" i="5"/>
  <c r="N314" i="5"/>
  <c r="N313" i="5"/>
  <c r="N312" i="5"/>
  <c r="X312" i="5"/>
  <c r="R312" i="5"/>
  <c r="I246" i="8"/>
  <c r="G246" i="8"/>
  <c r="F246" i="8"/>
  <c r="Y292" i="5"/>
  <c r="W292" i="5"/>
  <c r="V292" i="5"/>
  <c r="N294" i="5"/>
  <c r="N293" i="5"/>
  <c r="N292" i="5"/>
  <c r="X292" i="5"/>
  <c r="R292" i="5"/>
  <c r="I245" i="8"/>
  <c r="G245" i="8"/>
  <c r="F245" i="8"/>
  <c r="Y282" i="5"/>
  <c r="W282" i="5"/>
  <c r="V282" i="5"/>
  <c r="N284" i="5"/>
  <c r="N283" i="5"/>
  <c r="N282" i="5"/>
  <c r="X282" i="5"/>
  <c r="R282" i="5"/>
  <c r="I244" i="8"/>
  <c r="G244" i="8"/>
  <c r="F244" i="8"/>
  <c r="W272" i="5"/>
  <c r="X272" i="5" s="1"/>
  <c r="Y272" i="5" s="1"/>
  <c r="V272" i="5"/>
  <c r="N274" i="5"/>
  <c r="N273" i="5"/>
  <c r="N272" i="5"/>
  <c r="R272" i="5"/>
  <c r="I242" i="8"/>
  <c r="F242" i="8"/>
  <c r="Y222" i="5"/>
  <c r="W222" i="5"/>
  <c r="V222" i="5"/>
  <c r="N224" i="5"/>
  <c r="N223" i="5"/>
  <c r="N222" i="5"/>
  <c r="X222" i="5"/>
  <c r="R222" i="5"/>
  <c r="I237" i="8"/>
  <c r="G237" i="8"/>
  <c r="F237" i="8"/>
  <c r="Y182" i="5"/>
  <c r="W182" i="5"/>
  <c r="V182" i="5"/>
  <c r="N184" i="5"/>
  <c r="N183" i="5"/>
  <c r="N182" i="5"/>
  <c r="X182" i="5"/>
  <c r="R182" i="5"/>
  <c r="I236" i="8"/>
  <c r="G236" i="8"/>
  <c r="F236" i="8"/>
  <c r="Y152" i="5"/>
  <c r="W152" i="5"/>
  <c r="V152" i="5"/>
  <c r="N154" i="5"/>
  <c r="N153" i="5"/>
  <c r="N152" i="5"/>
  <c r="X152" i="5"/>
  <c r="R152" i="5"/>
  <c r="I235" i="8"/>
  <c r="G235" i="8"/>
  <c r="F235" i="8"/>
  <c r="Y142" i="5"/>
  <c r="W142" i="5"/>
  <c r="V142" i="5"/>
  <c r="N144" i="5"/>
  <c r="N143" i="5"/>
  <c r="N142" i="5"/>
  <c r="X142" i="5"/>
  <c r="R142" i="5"/>
  <c r="I233" i="8"/>
  <c r="G233" i="8"/>
  <c r="F233" i="8"/>
  <c r="Y92" i="5"/>
  <c r="W92" i="5"/>
  <c r="V92" i="5"/>
  <c r="N94" i="5"/>
  <c r="N93" i="5"/>
  <c r="N92" i="5"/>
  <c r="X92" i="5"/>
  <c r="R92" i="5"/>
  <c r="Y30" i="5"/>
  <c r="W30" i="5"/>
  <c r="V30" i="5"/>
  <c r="N32" i="5"/>
  <c r="N31" i="5"/>
  <c r="N30" i="5"/>
  <c r="X30" i="5"/>
  <c r="R30" i="5"/>
  <c r="W20" i="5"/>
  <c r="V20" i="5"/>
  <c r="N22" i="5"/>
  <c r="N21" i="5"/>
  <c r="N20" i="5"/>
  <c r="I25" i="5"/>
  <c r="I24" i="5"/>
  <c r="I22" i="5"/>
  <c r="I21" i="5"/>
  <c r="X20" i="5"/>
  <c r="Y20" i="5" s="1"/>
  <c r="R20" i="5"/>
  <c r="S20" i="5" s="1"/>
  <c r="I20" i="5"/>
  <c r="R10" i="5"/>
  <c r="S10" i="5" s="1"/>
  <c r="X10" i="5"/>
  <c r="Y10" i="5" s="1"/>
  <c r="W10" i="5"/>
  <c r="V10" i="5"/>
  <c r="N12" i="5"/>
  <c r="N11" i="5"/>
  <c r="N10" i="5"/>
  <c r="Z30" i="13"/>
  <c r="S31" i="13"/>
  <c r="N35" i="13" l="1"/>
  <c r="N34" i="13"/>
  <c r="N33" i="13"/>
  <c r="N32" i="13"/>
  <c r="N31" i="13"/>
  <c r="I37" i="8"/>
  <c r="E61" i="13"/>
  <c r="F61" i="13"/>
  <c r="G61" i="13"/>
  <c r="H61" i="13"/>
  <c r="E62" i="13"/>
  <c r="F62" i="13"/>
  <c r="G62" i="13"/>
  <c r="H62" i="13"/>
  <c r="E63" i="13"/>
  <c r="E66" i="13"/>
  <c r="E67" i="13"/>
  <c r="E68" i="13"/>
  <c r="F68" i="13"/>
  <c r="G68" i="13"/>
  <c r="H68" i="13"/>
  <c r="E69" i="13"/>
  <c r="E70" i="13"/>
  <c r="E71" i="13"/>
  <c r="F71" i="13"/>
  <c r="G71" i="13"/>
  <c r="H71" i="13"/>
  <c r="E105" i="13"/>
  <c r="E106" i="13"/>
  <c r="F106" i="13"/>
  <c r="G106" i="13"/>
  <c r="H106" i="13"/>
  <c r="H60" i="13"/>
  <c r="G60" i="13"/>
  <c r="F60" i="13"/>
  <c r="E60" i="13"/>
  <c r="W555" i="7"/>
  <c r="V555" i="7"/>
  <c r="S556" i="7"/>
  <c r="S555" i="7"/>
  <c r="N557" i="7"/>
  <c r="N556" i="7"/>
  <c r="N555" i="7"/>
  <c r="R556" i="7"/>
  <c r="X555" i="7"/>
  <c r="Y555" i="7" s="1"/>
  <c r="R555" i="7"/>
  <c r="W564" i="7"/>
  <c r="V564" i="7"/>
  <c r="S565" i="7"/>
  <c r="S564" i="7"/>
  <c r="N566" i="7"/>
  <c r="N565" i="7"/>
  <c r="N564" i="7"/>
  <c r="R565" i="7"/>
  <c r="X564" i="7"/>
  <c r="Y564" i="7" s="1"/>
  <c r="R564" i="7"/>
  <c r="F95" i="8"/>
  <c r="W573" i="7"/>
  <c r="V573" i="7"/>
  <c r="S574" i="7"/>
  <c r="S573" i="7"/>
  <c r="N573" i="7"/>
  <c r="N575" i="7"/>
  <c r="N574" i="7"/>
  <c r="R574" i="7"/>
  <c r="X573" i="7"/>
  <c r="Y573" i="7" s="1"/>
  <c r="R573" i="7"/>
  <c r="W627" i="7"/>
  <c r="V627" i="7"/>
  <c r="S628" i="7"/>
  <c r="S627" i="7"/>
  <c r="N629" i="7"/>
  <c r="N628" i="7"/>
  <c r="N627" i="7"/>
  <c r="R628" i="7"/>
  <c r="X627" i="7"/>
  <c r="Y627" i="7" s="1"/>
  <c r="R627" i="7"/>
  <c r="W618" i="7"/>
  <c r="X618" i="7" s="1"/>
  <c r="Y618" i="7" s="1"/>
  <c r="V618" i="7"/>
  <c r="S619" i="7"/>
  <c r="S618" i="7"/>
  <c r="R619" i="7"/>
  <c r="R618" i="7"/>
  <c r="N620" i="7"/>
  <c r="N619" i="7"/>
  <c r="N618" i="7"/>
  <c r="W609" i="7"/>
  <c r="V609" i="7"/>
  <c r="X609" i="7"/>
  <c r="Y609" i="7" s="1"/>
  <c r="R601" i="7"/>
  <c r="S610" i="7"/>
  <c r="S609" i="7"/>
  <c r="R610" i="7"/>
  <c r="R609" i="7"/>
  <c r="N611" i="7"/>
  <c r="N610" i="7"/>
  <c r="N609" i="7"/>
  <c r="W600" i="7"/>
  <c r="X600" i="7" s="1"/>
  <c r="Y600" i="7" s="1"/>
  <c r="V600" i="7"/>
  <c r="N602" i="7"/>
  <c r="N601" i="7"/>
  <c r="N600" i="7"/>
  <c r="S601" i="7"/>
  <c r="R600" i="7"/>
  <c r="S600" i="7" s="1"/>
  <c r="N89" i="15"/>
  <c r="R50" i="8"/>
  <c r="R51" i="8"/>
  <c r="S243" i="7" l="1"/>
  <c r="R243" i="7"/>
  <c r="I120" i="8" l="1"/>
  <c r="H120" i="8"/>
  <c r="F120" i="8"/>
  <c r="I118" i="8"/>
  <c r="H118" i="8"/>
  <c r="G118" i="8"/>
  <c r="F118" i="8"/>
  <c r="I117" i="8"/>
  <c r="H117" i="8"/>
  <c r="G117" i="8"/>
  <c r="F117" i="8"/>
  <c r="I116" i="8"/>
  <c r="H116" i="8"/>
  <c r="G116" i="8"/>
  <c r="F116" i="8"/>
  <c r="I115" i="8"/>
  <c r="H115" i="8"/>
  <c r="G115" i="8"/>
  <c r="F115" i="8"/>
  <c r="I114" i="8"/>
  <c r="H114" i="8"/>
  <c r="G114" i="8"/>
  <c r="F114" i="8"/>
  <c r="I113" i="8"/>
  <c r="H113" i="8"/>
  <c r="G113" i="8"/>
  <c r="F113" i="8"/>
  <c r="I112" i="8"/>
  <c r="H112" i="8"/>
  <c r="G112" i="8"/>
  <c r="F112" i="8"/>
  <c r="I34" i="8"/>
  <c r="H34" i="8"/>
  <c r="G34" i="8"/>
  <c r="F34" i="8"/>
  <c r="I33" i="8"/>
  <c r="H33" i="8"/>
  <c r="G33" i="8"/>
  <c r="F33" i="8"/>
  <c r="I32" i="8"/>
  <c r="H32" i="8"/>
  <c r="G32" i="8"/>
  <c r="F32" i="8"/>
  <c r="I31" i="8"/>
  <c r="H31" i="8"/>
  <c r="G31" i="8"/>
  <c r="F31" i="8"/>
  <c r="I26" i="8"/>
  <c r="H26" i="8"/>
  <c r="G26" i="8"/>
  <c r="F26" i="8"/>
  <c r="I17" i="8"/>
  <c r="H17" i="8"/>
  <c r="G17" i="8"/>
  <c r="F17" i="8"/>
  <c r="I256" i="7"/>
  <c r="I246" i="7"/>
  <c r="N254" i="7"/>
  <c r="N253" i="7"/>
  <c r="N252" i="7"/>
  <c r="I255" i="7"/>
  <c r="I254" i="7"/>
  <c r="I253" i="7"/>
  <c r="Y251" i="7"/>
  <c r="I49" i="8" s="1"/>
  <c r="R252" i="7"/>
  <c r="I252" i="7"/>
  <c r="N251" i="7"/>
  <c r="G49" i="8" s="1"/>
  <c r="I251" i="7"/>
  <c r="F49" i="8" s="1"/>
  <c r="N244" i="7"/>
  <c r="N243" i="7"/>
  <c r="N242" i="7"/>
  <c r="I245" i="7"/>
  <c r="I244" i="7"/>
  <c r="I243" i="7"/>
  <c r="R242" i="7"/>
  <c r="I242" i="7"/>
  <c r="I241" i="7"/>
  <c r="F48" i="8" s="1"/>
  <c r="N234" i="7"/>
  <c r="N233" i="7"/>
  <c r="N232" i="7"/>
  <c r="I235" i="7"/>
  <c r="I234" i="7"/>
  <c r="I233" i="7"/>
  <c r="R232" i="7"/>
  <c r="S232" i="7" s="1"/>
  <c r="I232" i="7"/>
  <c r="I231" i="7" s="1"/>
  <c r="F46" i="8" s="1"/>
  <c r="I225" i="7"/>
  <c r="I224" i="7"/>
  <c r="I223" i="7"/>
  <c r="R222" i="7"/>
  <c r="I222" i="7"/>
  <c r="I215" i="7"/>
  <c r="I214" i="7"/>
  <c r="I213" i="7"/>
  <c r="I212" i="7"/>
  <c r="N241" i="7" l="1"/>
  <c r="G48" i="8" s="1"/>
  <c r="I211" i="7"/>
  <c r="F45" i="8" s="1"/>
  <c r="I221" i="7"/>
  <c r="F47" i="8" s="1"/>
  <c r="S252" i="7"/>
  <c r="S251" i="7" s="1"/>
  <c r="H49" i="8" s="1"/>
  <c r="Y221" i="7"/>
  <c r="I47" i="8" s="1"/>
  <c r="Y231" i="7"/>
  <c r="I46" i="8" s="1"/>
  <c r="S242" i="7"/>
  <c r="S241" i="7" s="1"/>
  <c r="H48" i="8" s="1"/>
  <c r="Y241" i="7"/>
  <c r="I48" i="8" s="1"/>
  <c r="S231" i="7"/>
  <c r="H46" i="8" s="1"/>
  <c r="S221" i="7"/>
  <c r="H47" i="8" s="1"/>
  <c r="N221" i="7"/>
  <c r="G47" i="8" s="1"/>
  <c r="N231" i="7"/>
  <c r="G46" i="8" s="1"/>
  <c r="H299" i="8"/>
  <c r="H289" i="8"/>
  <c r="H285" i="8"/>
  <c r="H284" i="8"/>
  <c r="G287" i="8"/>
  <c r="N205" i="11"/>
  <c r="N204" i="11"/>
  <c r="N203" i="11"/>
  <c r="N196" i="11"/>
  <c r="N195" i="11"/>
  <c r="N194" i="11"/>
  <c r="N187" i="11"/>
  <c r="N186" i="11"/>
  <c r="N185" i="11"/>
  <c r="N178" i="11"/>
  <c r="N177" i="11"/>
  <c r="N176" i="11"/>
  <c r="N169" i="11"/>
  <c r="N168" i="11"/>
  <c r="N167" i="11"/>
  <c r="N160" i="11"/>
  <c r="N159" i="11"/>
  <c r="N158" i="11"/>
  <c r="N151" i="11"/>
  <c r="N150" i="11"/>
  <c r="N149" i="11"/>
  <c r="N142" i="11"/>
  <c r="N141" i="11"/>
  <c r="N140" i="11"/>
  <c r="N133" i="11"/>
  <c r="N132" i="11"/>
  <c r="N131" i="11"/>
  <c r="N124" i="11"/>
  <c r="N123" i="11"/>
  <c r="N122" i="11"/>
  <c r="N115" i="11"/>
  <c r="N114" i="11"/>
  <c r="N113" i="11"/>
  <c r="N106" i="11"/>
  <c r="N105" i="11"/>
  <c r="N104" i="11"/>
  <c r="N97" i="11"/>
  <c r="N96" i="11"/>
  <c r="N95" i="11"/>
  <c r="N88" i="11"/>
  <c r="N87" i="11"/>
  <c r="N86" i="11"/>
  <c r="N79" i="11"/>
  <c r="N78" i="11"/>
  <c r="N77" i="11"/>
  <c r="N70" i="11"/>
  <c r="N69" i="11"/>
  <c r="N68" i="11"/>
  <c r="N61" i="11"/>
  <c r="N60" i="11"/>
  <c r="N59" i="11"/>
  <c r="N52" i="11"/>
  <c r="N51" i="11"/>
  <c r="N50" i="11"/>
  <c r="N43" i="11"/>
  <c r="N42" i="11"/>
  <c r="N41" i="11"/>
  <c r="N35" i="11"/>
  <c r="N34" i="11"/>
  <c r="N33" i="11"/>
  <c r="N26" i="11"/>
  <c r="N25" i="11"/>
  <c r="N24" i="11"/>
  <c r="N18" i="11"/>
  <c r="N15" i="11" s="1"/>
  <c r="N17" i="11"/>
  <c r="N16" i="11"/>
  <c r="N9" i="11"/>
  <c r="N8" i="11"/>
  <c r="N7" i="11"/>
  <c r="S203" i="11"/>
  <c r="S194" i="11"/>
  <c r="S185" i="11"/>
  <c r="S176" i="11"/>
  <c r="S167" i="11"/>
  <c r="S158" i="11"/>
  <c r="S149" i="11"/>
  <c r="S140" i="11"/>
  <c r="S131" i="11"/>
  <c r="S122" i="11"/>
  <c r="S113" i="11"/>
  <c r="S104" i="11"/>
  <c r="S95" i="11"/>
  <c r="S86" i="11"/>
  <c r="S77" i="11"/>
  <c r="S68" i="11"/>
  <c r="S59" i="11"/>
  <c r="S50" i="11"/>
  <c r="S41" i="11"/>
  <c r="S33" i="11"/>
  <c r="S24" i="11"/>
  <c r="S16" i="11"/>
  <c r="S7" i="11"/>
  <c r="F284" i="8"/>
  <c r="V203" i="11"/>
  <c r="V194" i="11"/>
  <c r="V185" i="11"/>
  <c r="V176" i="11"/>
  <c r="V167" i="11"/>
  <c r="V158" i="11"/>
  <c r="V149" i="11"/>
  <c r="V140" i="11"/>
  <c r="V131" i="11"/>
  <c r="V122" i="11"/>
  <c r="V113" i="11"/>
  <c r="V104" i="11"/>
  <c r="V95" i="11"/>
  <c r="V86" i="11"/>
  <c r="V77" i="11"/>
  <c r="V68" i="11"/>
  <c r="V59" i="11"/>
  <c r="V50" i="11"/>
  <c r="V41" i="11"/>
  <c r="Y32" i="11"/>
  <c r="I289" i="8" s="1"/>
  <c r="V33" i="11"/>
  <c r="N32" i="11"/>
  <c r="G289" i="8" s="1"/>
  <c r="I32" i="11"/>
  <c r="I15" i="11"/>
  <c r="V24" i="11"/>
  <c r="V16" i="11"/>
  <c r="Y15" i="11"/>
  <c r="I205" i="11"/>
  <c r="I204" i="11"/>
  <c r="X203" i="11"/>
  <c r="Y202" i="11"/>
  <c r="S202" i="11"/>
  <c r="I202" i="11"/>
  <c r="I196" i="11"/>
  <c r="I195" i="11"/>
  <c r="X194" i="11"/>
  <c r="Y193" i="11"/>
  <c r="I284" i="8" s="1"/>
  <c r="S193" i="11"/>
  <c r="N193" i="11"/>
  <c r="G284" i="8" s="1"/>
  <c r="I193" i="11"/>
  <c r="I187" i="11"/>
  <c r="I186" i="11"/>
  <c r="X185" i="11"/>
  <c r="Y184" i="11"/>
  <c r="S184" i="11"/>
  <c r="N184" i="11"/>
  <c r="I184" i="11"/>
  <c r="I178" i="11"/>
  <c r="I177" i="11"/>
  <c r="X176" i="11"/>
  <c r="Y175" i="11"/>
  <c r="S175" i="11"/>
  <c r="N175" i="11"/>
  <c r="I175" i="11"/>
  <c r="I169" i="11"/>
  <c r="I168" i="11"/>
  <c r="I166" i="11" s="1"/>
  <c r="X167" i="11"/>
  <c r="Y166" i="11" s="1"/>
  <c r="S166" i="11"/>
  <c r="N166" i="11"/>
  <c r="I160" i="11"/>
  <c r="I159" i="11"/>
  <c r="X158" i="11"/>
  <c r="Y157" i="11"/>
  <c r="S157" i="11"/>
  <c r="N157" i="11"/>
  <c r="I157" i="11"/>
  <c r="I151" i="11"/>
  <c r="I150" i="11"/>
  <c r="Y148" i="11"/>
  <c r="X149" i="11"/>
  <c r="N148" i="11"/>
  <c r="S148" i="11"/>
  <c r="I148" i="11"/>
  <c r="I142" i="11"/>
  <c r="I141" i="11"/>
  <c r="X140" i="11"/>
  <c r="N139" i="11"/>
  <c r="Y139" i="11"/>
  <c r="S139" i="11"/>
  <c r="I139" i="11"/>
  <c r="I133" i="11"/>
  <c r="I132" i="11"/>
  <c r="X131" i="11"/>
  <c r="Y130" i="11"/>
  <c r="S130" i="11"/>
  <c r="N130" i="11"/>
  <c r="I130" i="11"/>
  <c r="I124" i="11"/>
  <c r="I123" i="11"/>
  <c r="X122" i="11"/>
  <c r="Y121" i="11"/>
  <c r="S121" i="11"/>
  <c r="N121" i="11"/>
  <c r="I121" i="11"/>
  <c r="I115" i="11"/>
  <c r="I114" i="11"/>
  <c r="X113" i="11"/>
  <c r="Y112" i="11"/>
  <c r="S112" i="11"/>
  <c r="N112" i="11"/>
  <c r="I112" i="11"/>
  <c r="I106" i="11"/>
  <c r="I105" i="11"/>
  <c r="X104" i="11"/>
  <c r="Y103" i="11"/>
  <c r="S103" i="11"/>
  <c r="N103" i="11"/>
  <c r="I103" i="11"/>
  <c r="I97" i="11"/>
  <c r="I96" i="11"/>
  <c r="X95" i="11"/>
  <c r="Y94" i="11"/>
  <c r="S94" i="11"/>
  <c r="N94" i="11"/>
  <c r="I94" i="11"/>
  <c r="I88" i="11"/>
  <c r="I87" i="11"/>
  <c r="I85" i="11" s="1"/>
  <c r="X86" i="11"/>
  <c r="Y85" i="11" s="1"/>
  <c r="S85" i="11"/>
  <c r="N85" i="11"/>
  <c r="I79" i="11"/>
  <c r="I78" i="11"/>
  <c r="X77" i="11"/>
  <c r="Y76" i="11"/>
  <c r="S76" i="11"/>
  <c r="I76" i="11"/>
  <c r="I70" i="11"/>
  <c r="I69" i="11"/>
  <c r="X68" i="11"/>
  <c r="N67" i="11"/>
  <c r="Y67" i="11"/>
  <c r="S67" i="11"/>
  <c r="I67" i="11"/>
  <c r="I61" i="11"/>
  <c r="I60" i="11"/>
  <c r="X59" i="11"/>
  <c r="Y58" i="11"/>
  <c r="S58" i="11"/>
  <c r="N58" i="11"/>
  <c r="I58" i="11"/>
  <c r="I52" i="11"/>
  <c r="I51" i="11"/>
  <c r="X50" i="11"/>
  <c r="N49" i="11"/>
  <c r="G285" i="8" s="1"/>
  <c r="Y49" i="11"/>
  <c r="I285" i="8" s="1"/>
  <c r="S49" i="11"/>
  <c r="I49" i="11"/>
  <c r="I43" i="11"/>
  <c r="I42" i="11"/>
  <c r="X41" i="11"/>
  <c r="Y40" i="11"/>
  <c r="S40" i="11"/>
  <c r="N40" i="11"/>
  <c r="I40" i="11"/>
  <c r="I35" i="11"/>
  <c r="I34" i="11"/>
  <c r="X33" i="11"/>
  <c r="S32" i="11"/>
  <c r="I26" i="11"/>
  <c r="I25" i="11"/>
  <c r="X24" i="11"/>
  <c r="Y23" i="11"/>
  <c r="S23" i="11"/>
  <c r="I23" i="11"/>
  <c r="I18" i="11"/>
  <c r="I17" i="11"/>
  <c r="X16" i="11"/>
  <c r="S15" i="11"/>
  <c r="X7" i="11"/>
  <c r="V7" i="11"/>
  <c r="I6" i="11"/>
  <c r="N101" i="15"/>
  <c r="N100" i="15"/>
  <c r="N99" i="15"/>
  <c r="N91" i="15"/>
  <c r="N90" i="15"/>
  <c r="N81" i="15"/>
  <c r="N80" i="15"/>
  <c r="N79" i="15"/>
  <c r="N71" i="15"/>
  <c r="N70" i="15"/>
  <c r="N69" i="15"/>
  <c r="N61" i="15"/>
  <c r="N60" i="15"/>
  <c r="N59" i="15"/>
  <c r="N51" i="15"/>
  <c r="N50" i="15"/>
  <c r="N49" i="15"/>
  <c r="N41" i="15"/>
  <c r="N40" i="15"/>
  <c r="N39" i="15"/>
  <c r="N31" i="15"/>
  <c r="N30" i="15"/>
  <c r="N29" i="15"/>
  <c r="N21" i="15"/>
  <c r="N20" i="15"/>
  <c r="N19" i="15"/>
  <c r="N11" i="15"/>
  <c r="N10" i="15"/>
  <c r="N9" i="15"/>
  <c r="I9" i="11"/>
  <c r="I8" i="11"/>
  <c r="Q41" i="8"/>
  <c r="Q44" i="8"/>
  <c r="Q51" i="8"/>
  <c r="Y293" i="2"/>
  <c r="W293" i="2"/>
  <c r="S294" i="2"/>
  <c r="S293" i="2"/>
  <c r="N295" i="2"/>
  <c r="N294" i="2"/>
  <c r="N293" i="2"/>
  <c r="Y283" i="2"/>
  <c r="S284" i="2"/>
  <c r="S283" i="2"/>
  <c r="N285" i="2"/>
  <c r="N284" i="2"/>
  <c r="N283" i="2"/>
  <c r="Y273" i="2"/>
  <c r="W273" i="2"/>
  <c r="S274" i="2"/>
  <c r="S273" i="2"/>
  <c r="N275" i="2"/>
  <c r="N274" i="2"/>
  <c r="N273" i="2"/>
  <c r="Y263" i="2"/>
  <c r="W263" i="2"/>
  <c r="S264" i="2"/>
  <c r="S263" i="2"/>
  <c r="N265" i="2"/>
  <c r="N264" i="2"/>
  <c r="N263" i="2"/>
  <c r="Y253" i="2"/>
  <c r="W253" i="2"/>
  <c r="S254" i="2"/>
  <c r="S253" i="2"/>
  <c r="N255" i="2"/>
  <c r="N254" i="2"/>
  <c r="N253" i="2"/>
  <c r="Y243" i="2"/>
  <c r="W243" i="2"/>
  <c r="S244" i="2"/>
  <c r="S243" i="2"/>
  <c r="N245" i="2"/>
  <c r="N244" i="2"/>
  <c r="N243" i="2"/>
  <c r="Y233" i="2"/>
  <c r="W233" i="2"/>
  <c r="S234" i="2"/>
  <c r="S233" i="2"/>
  <c r="N235" i="2"/>
  <c r="N234" i="2"/>
  <c r="N233" i="2"/>
  <c r="Y223" i="2"/>
  <c r="W223" i="2"/>
  <c r="S224" i="2"/>
  <c r="S223" i="2"/>
  <c r="N225" i="2"/>
  <c r="N224" i="2"/>
  <c r="N223" i="2"/>
  <c r="Y213" i="2"/>
  <c r="W213" i="2"/>
  <c r="S214" i="2"/>
  <c r="S213" i="2"/>
  <c r="N215" i="2"/>
  <c r="N214" i="2"/>
  <c r="N213" i="2"/>
  <c r="Y202" i="2"/>
  <c r="W202" i="2"/>
  <c r="S203" i="2"/>
  <c r="S202" i="2"/>
  <c r="N204" i="2"/>
  <c r="N203" i="2"/>
  <c r="N202" i="2"/>
  <c r="Y192" i="2"/>
  <c r="W192" i="2"/>
  <c r="S193" i="2"/>
  <c r="S192" i="2"/>
  <c r="N194" i="2"/>
  <c r="N193" i="2"/>
  <c r="N192" i="2"/>
  <c r="Y182" i="2"/>
  <c r="W182" i="2"/>
  <c r="S183" i="2"/>
  <c r="S182" i="2"/>
  <c r="N184" i="2"/>
  <c r="N183" i="2"/>
  <c r="N182" i="2"/>
  <c r="W172" i="2"/>
  <c r="S173" i="2"/>
  <c r="S172" i="2"/>
  <c r="N174" i="2"/>
  <c r="N173" i="2"/>
  <c r="N172" i="2"/>
  <c r="W162" i="2"/>
  <c r="S163" i="2"/>
  <c r="S162" i="2"/>
  <c r="N164" i="2"/>
  <c r="N163" i="2"/>
  <c r="N162" i="2"/>
  <c r="W152" i="2"/>
  <c r="S153" i="2"/>
  <c r="S152" i="2"/>
  <c r="N154" i="2"/>
  <c r="N153" i="2"/>
  <c r="N152" i="2"/>
  <c r="W141" i="2"/>
  <c r="S142" i="2"/>
  <c r="S141" i="2"/>
  <c r="N143" i="2"/>
  <c r="N142" i="2"/>
  <c r="N141" i="2"/>
  <c r="W131" i="2"/>
  <c r="S132" i="2"/>
  <c r="S131" i="2"/>
  <c r="N133" i="2"/>
  <c r="N132" i="2"/>
  <c r="N131" i="2"/>
  <c r="W121" i="2"/>
  <c r="S122" i="2"/>
  <c r="S121" i="2"/>
  <c r="N123" i="2"/>
  <c r="N122" i="2"/>
  <c r="N121" i="2"/>
  <c r="W111" i="2"/>
  <c r="S112" i="2"/>
  <c r="S111" i="2"/>
  <c r="N113" i="2"/>
  <c r="N112" i="2"/>
  <c r="N111" i="2"/>
  <c r="W101" i="2"/>
  <c r="S102" i="2"/>
  <c r="S101" i="2"/>
  <c r="N103" i="2"/>
  <c r="N102" i="2"/>
  <c r="N101" i="2"/>
  <c r="W91" i="2"/>
  <c r="S92" i="2"/>
  <c r="S91" i="2"/>
  <c r="N93" i="2"/>
  <c r="N92" i="2"/>
  <c r="N91" i="2"/>
  <c r="I94" i="2"/>
  <c r="I93" i="2"/>
  <c r="I92" i="2"/>
  <c r="X91" i="2"/>
  <c r="I91" i="2"/>
  <c r="N90" i="2"/>
  <c r="G20" i="8" s="1"/>
  <c r="I90" i="2"/>
  <c r="F20" i="8" s="1"/>
  <c r="W81" i="2"/>
  <c r="S82" i="2"/>
  <c r="S81" i="2"/>
  <c r="N83" i="2"/>
  <c r="N82" i="2"/>
  <c r="N81" i="2"/>
  <c r="W70" i="2"/>
  <c r="S71" i="2"/>
  <c r="S70" i="2"/>
  <c r="N72" i="2"/>
  <c r="N71" i="2"/>
  <c r="N70" i="2"/>
  <c r="W60" i="2"/>
  <c r="S61" i="2"/>
  <c r="S60" i="2"/>
  <c r="N62" i="2"/>
  <c r="N61" i="2"/>
  <c r="N60" i="2"/>
  <c r="W50" i="2"/>
  <c r="S51" i="2"/>
  <c r="S50" i="2"/>
  <c r="N52" i="2"/>
  <c r="N51" i="2"/>
  <c r="N50" i="2"/>
  <c r="W40" i="2"/>
  <c r="S41" i="2"/>
  <c r="S40" i="2"/>
  <c r="N42" i="2"/>
  <c r="N41" i="2"/>
  <c r="N40" i="2"/>
  <c r="W30" i="2"/>
  <c r="S31" i="2"/>
  <c r="S30" i="2"/>
  <c r="N32" i="2"/>
  <c r="N31" i="2"/>
  <c r="N30" i="2"/>
  <c r="W20" i="2"/>
  <c r="S21" i="2"/>
  <c r="S20" i="2"/>
  <c r="N22" i="2"/>
  <c r="N21" i="2"/>
  <c r="N20" i="2"/>
  <c r="I296" i="2"/>
  <c r="I295" i="2"/>
  <c r="I294" i="2"/>
  <c r="X293" i="2"/>
  <c r="Y292" i="2" s="1"/>
  <c r="I293" i="2"/>
  <c r="S292" i="2"/>
  <c r="N292" i="2"/>
  <c r="I292" i="2"/>
  <c r="I286" i="2"/>
  <c r="I285" i="2"/>
  <c r="I284" i="2"/>
  <c r="X283" i="2"/>
  <c r="Y282" i="2" s="1"/>
  <c r="W283" i="2"/>
  <c r="I283" i="2"/>
  <c r="S282" i="2"/>
  <c r="N282" i="2"/>
  <c r="I282" i="2"/>
  <c r="I276" i="2"/>
  <c r="I275" i="2"/>
  <c r="I274" i="2"/>
  <c r="X273" i="2"/>
  <c r="Y272" i="2" s="1"/>
  <c r="I273" i="2"/>
  <c r="S272" i="2"/>
  <c r="N272" i="2"/>
  <c r="I272" i="2"/>
  <c r="I266" i="2"/>
  <c r="I265" i="2"/>
  <c r="I264" i="2"/>
  <c r="X263" i="2"/>
  <c r="Y262" i="2" s="1"/>
  <c r="I263" i="2"/>
  <c r="S262" i="2"/>
  <c r="N262" i="2"/>
  <c r="I262" i="2"/>
  <c r="I256" i="2"/>
  <c r="I255" i="2"/>
  <c r="I254" i="2"/>
  <c r="X253" i="2"/>
  <c r="I253" i="2"/>
  <c r="S252" i="2"/>
  <c r="N252" i="2"/>
  <c r="I252" i="2"/>
  <c r="I246" i="2"/>
  <c r="I245" i="2"/>
  <c r="I244" i="2"/>
  <c r="X243" i="2"/>
  <c r="Y242" i="2" s="1"/>
  <c r="I243" i="2"/>
  <c r="S242" i="2"/>
  <c r="N242" i="2"/>
  <c r="I242" i="2"/>
  <c r="I236" i="2"/>
  <c r="I235" i="2"/>
  <c r="I234" i="2"/>
  <c r="X233" i="2"/>
  <c r="Y232" i="2" s="1"/>
  <c r="I233" i="2"/>
  <c r="S232" i="2"/>
  <c r="N232" i="2"/>
  <c r="I232" i="2"/>
  <c r="I226" i="2"/>
  <c r="I225" i="2"/>
  <c r="I224" i="2"/>
  <c r="X223" i="2"/>
  <c r="Y222" i="2" s="1"/>
  <c r="I223" i="2"/>
  <c r="S222" i="2"/>
  <c r="N222" i="2"/>
  <c r="I222" i="2"/>
  <c r="I216" i="2"/>
  <c r="I215" i="2"/>
  <c r="I214" i="2"/>
  <c r="X213" i="2"/>
  <c r="Y212" i="2" s="1"/>
  <c r="I213" i="2"/>
  <c r="S212" i="2"/>
  <c r="N212" i="2"/>
  <c r="I212" i="2"/>
  <c r="I205" i="2"/>
  <c r="I204" i="2"/>
  <c r="I203" i="2"/>
  <c r="X202" i="2"/>
  <c r="Y201" i="2" s="1"/>
  <c r="I202" i="2"/>
  <c r="S201" i="2"/>
  <c r="N201" i="2"/>
  <c r="I201" i="2"/>
  <c r="I195" i="2"/>
  <c r="I194" i="2"/>
  <c r="I193" i="2"/>
  <c r="X192" i="2"/>
  <c r="Y191" i="2" s="1"/>
  <c r="I192" i="2"/>
  <c r="S191" i="2"/>
  <c r="N191" i="2"/>
  <c r="I191" i="2"/>
  <c r="I185" i="2"/>
  <c r="I184" i="2"/>
  <c r="I183" i="2"/>
  <c r="X182" i="2"/>
  <c r="Y181" i="2" s="1"/>
  <c r="I182" i="2"/>
  <c r="S181" i="2"/>
  <c r="N181" i="2"/>
  <c r="I181" i="2"/>
  <c r="I175" i="2"/>
  <c r="I174" i="2"/>
  <c r="I173" i="2"/>
  <c r="X172" i="2"/>
  <c r="I172" i="2"/>
  <c r="I171" i="2" s="1"/>
  <c r="F30" i="8" s="1"/>
  <c r="S171" i="2"/>
  <c r="H30" i="8" s="1"/>
  <c r="N171" i="2"/>
  <c r="G30" i="8" s="1"/>
  <c r="I165" i="2"/>
  <c r="I164" i="2"/>
  <c r="I163" i="2"/>
  <c r="X162" i="2"/>
  <c r="I162" i="2"/>
  <c r="S161" i="2"/>
  <c r="H29" i="8" s="1"/>
  <c r="N161" i="2"/>
  <c r="G29" i="8" s="1"/>
  <c r="I161" i="2"/>
  <c r="F29" i="8" s="1"/>
  <c r="I155" i="2"/>
  <c r="I154" i="2"/>
  <c r="I153" i="2"/>
  <c r="X152" i="2"/>
  <c r="I152" i="2"/>
  <c r="S151" i="2"/>
  <c r="H28" i="8" s="1"/>
  <c r="N151" i="2"/>
  <c r="G28" i="8" s="1"/>
  <c r="I151" i="2"/>
  <c r="F28" i="8" s="1"/>
  <c r="I144" i="2"/>
  <c r="I143" i="2"/>
  <c r="I142" i="2"/>
  <c r="X141" i="2"/>
  <c r="I141" i="2"/>
  <c r="S140" i="2"/>
  <c r="H25" i="8" s="1"/>
  <c r="N140" i="2"/>
  <c r="G25" i="8" s="1"/>
  <c r="I140" i="2"/>
  <c r="F25" i="8" s="1"/>
  <c r="I134" i="2"/>
  <c r="I133" i="2"/>
  <c r="I132" i="2"/>
  <c r="X131" i="2"/>
  <c r="I131" i="2"/>
  <c r="S130" i="2"/>
  <c r="H24" i="8" s="1"/>
  <c r="N130" i="2"/>
  <c r="G24" i="8" s="1"/>
  <c r="I130" i="2"/>
  <c r="F24" i="8" s="1"/>
  <c r="I124" i="2"/>
  <c r="I123" i="2"/>
  <c r="I122" i="2"/>
  <c r="X121" i="2"/>
  <c r="I121" i="2"/>
  <c r="S120" i="2"/>
  <c r="H23" i="8" s="1"/>
  <c r="N120" i="2"/>
  <c r="G23" i="8" s="1"/>
  <c r="I120" i="2"/>
  <c r="F23" i="8" s="1"/>
  <c r="I114" i="2"/>
  <c r="I113" i="2"/>
  <c r="I112" i="2"/>
  <c r="X111" i="2"/>
  <c r="I111" i="2"/>
  <c r="S110" i="2"/>
  <c r="H22" i="8" s="1"/>
  <c r="N110" i="2"/>
  <c r="G22" i="8" s="1"/>
  <c r="I110" i="2"/>
  <c r="F22" i="8" s="1"/>
  <c r="I104" i="2"/>
  <c r="I103" i="2"/>
  <c r="I102" i="2"/>
  <c r="X101" i="2"/>
  <c r="I101" i="2"/>
  <c r="S100" i="2"/>
  <c r="H21" i="8" s="1"/>
  <c r="N100" i="2"/>
  <c r="G21" i="8" s="1"/>
  <c r="I100" i="2"/>
  <c r="F21" i="8" s="1"/>
  <c r="I84" i="2"/>
  <c r="I83" i="2"/>
  <c r="I82" i="2"/>
  <c r="X81" i="2"/>
  <c r="Y81" i="2" s="1"/>
  <c r="I81" i="2"/>
  <c r="S80" i="2"/>
  <c r="H19" i="8" s="1"/>
  <c r="N80" i="2"/>
  <c r="G19" i="8" s="1"/>
  <c r="I80" i="2"/>
  <c r="F19" i="8" s="1"/>
  <c r="I73" i="2"/>
  <c r="I72" i="2"/>
  <c r="I71" i="2"/>
  <c r="X70" i="2"/>
  <c r="I70" i="2"/>
  <c r="S69" i="2"/>
  <c r="H16" i="8" s="1"/>
  <c r="N69" i="2"/>
  <c r="G16" i="8" s="1"/>
  <c r="I69" i="2"/>
  <c r="F16" i="8" s="1"/>
  <c r="I63" i="2"/>
  <c r="I62" i="2"/>
  <c r="I61" i="2"/>
  <c r="X60" i="2"/>
  <c r="Y60" i="2" s="1"/>
  <c r="I60" i="2"/>
  <c r="S59" i="2"/>
  <c r="H15" i="8" s="1"/>
  <c r="N59" i="2"/>
  <c r="G15" i="8" s="1"/>
  <c r="I59" i="2"/>
  <c r="F15" i="8" s="1"/>
  <c r="I53" i="2"/>
  <c r="I52" i="2"/>
  <c r="I51" i="2"/>
  <c r="X50" i="2"/>
  <c r="Y50" i="2" s="1"/>
  <c r="I50" i="2"/>
  <c r="S49" i="2"/>
  <c r="H14" i="8" s="1"/>
  <c r="N49" i="2"/>
  <c r="G14" i="8" s="1"/>
  <c r="I49" i="2"/>
  <c r="F14" i="8" s="1"/>
  <c r="I43" i="2"/>
  <c r="I42" i="2"/>
  <c r="I41" i="2"/>
  <c r="X40" i="2"/>
  <c r="Y40" i="2" s="1"/>
  <c r="I40" i="2"/>
  <c r="S39" i="2"/>
  <c r="H13" i="8" s="1"/>
  <c r="N39" i="2"/>
  <c r="G13" i="8" s="1"/>
  <c r="I39" i="2"/>
  <c r="F13" i="8" s="1"/>
  <c r="I33" i="2"/>
  <c r="I32" i="2"/>
  <c r="I29" i="2" s="1"/>
  <c r="F12" i="8" s="1"/>
  <c r="I31" i="2"/>
  <c r="X30" i="2"/>
  <c r="Y30" i="2" s="1"/>
  <c r="I30" i="2"/>
  <c r="S29" i="2"/>
  <c r="H12" i="8" s="1"/>
  <c r="I23" i="2"/>
  <c r="I22" i="2"/>
  <c r="I19" i="2" s="1"/>
  <c r="F11" i="8" s="1"/>
  <c r="I21" i="2"/>
  <c r="X20" i="2"/>
  <c r="I20" i="2"/>
  <c r="S19" i="2"/>
  <c r="H11" i="8" s="1"/>
  <c r="X10" i="2"/>
  <c r="Y10" i="2" s="1"/>
  <c r="W10" i="2"/>
  <c r="S11" i="2"/>
  <c r="S10" i="2"/>
  <c r="N12" i="2"/>
  <c r="N11" i="2"/>
  <c r="N10" i="2"/>
  <c r="I13" i="2"/>
  <c r="I12" i="2"/>
  <c r="I11" i="2"/>
  <c r="I10" i="2"/>
  <c r="Y152" i="2" l="1"/>
  <c r="Y151" i="2" s="1"/>
  <c r="I28" i="8" s="1"/>
  <c r="Y172" i="2"/>
  <c r="Y171" i="2" s="1"/>
  <c r="I30" i="8" s="1"/>
  <c r="Y162" i="2"/>
  <c r="Y161" i="2" s="1"/>
  <c r="I29" i="8" s="1"/>
  <c r="N19" i="2"/>
  <c r="G11" i="8" s="1"/>
  <c r="N29" i="2"/>
  <c r="G12" i="8" s="1"/>
  <c r="Y111" i="2"/>
  <c r="Y110" i="2" s="1"/>
  <c r="I22" i="8" s="1"/>
  <c r="Y131" i="2"/>
  <c r="Y130" i="2" s="1"/>
  <c r="I24" i="8" s="1"/>
  <c r="Y121" i="2"/>
  <c r="Y120" i="2" s="1"/>
  <c r="I23" i="8" s="1"/>
  <c r="Y141" i="2"/>
  <c r="Y140" i="2" s="1"/>
  <c r="I25" i="8" s="1"/>
  <c r="Y101" i="2"/>
  <c r="Y100" i="2" s="1"/>
  <c r="I21" i="8" s="1"/>
  <c r="Y91" i="2"/>
  <c r="Y90" i="2" s="1"/>
  <c r="I20" i="8" s="1"/>
  <c r="Y80" i="2"/>
  <c r="I19" i="8" s="1"/>
  <c r="Y70" i="2"/>
  <c r="Y69" i="2" s="1"/>
  <c r="I16" i="8" s="1"/>
  <c r="Y59" i="2"/>
  <c r="I15" i="8" s="1"/>
  <c r="Y39" i="2"/>
  <c r="I13" i="8" s="1"/>
  <c r="I9" i="2"/>
  <c r="F10" i="8" s="1"/>
  <c r="Y20" i="2"/>
  <c r="Y19" i="2" s="1"/>
  <c r="I11" i="8" s="1"/>
  <c r="N202" i="11"/>
  <c r="N76" i="11"/>
  <c r="N23" i="11"/>
  <c r="N98" i="15"/>
  <c r="N88" i="15"/>
  <c r="G120" i="8" s="1"/>
  <c r="N78" i="15"/>
  <c r="N68" i="15"/>
  <c r="N58" i="15"/>
  <c r="N48" i="15"/>
  <c r="N38" i="15"/>
  <c r="N28" i="15"/>
  <c r="N18" i="15"/>
  <c r="Y252" i="2"/>
  <c r="S90" i="2"/>
  <c r="H20" i="8" s="1"/>
  <c r="Y49" i="2"/>
  <c r="I14" i="8" s="1"/>
  <c r="Y29" i="2"/>
  <c r="I12" i="8" s="1"/>
  <c r="I121" i="16"/>
  <c r="I120" i="16"/>
  <c r="I119" i="16"/>
  <c r="I118" i="16"/>
  <c r="I111" i="16"/>
  <c r="I110" i="16"/>
  <c r="I109" i="16"/>
  <c r="I108" i="16"/>
  <c r="I101" i="16"/>
  <c r="I100" i="16"/>
  <c r="I99" i="16"/>
  <c r="I98" i="16"/>
  <c r="I91" i="16"/>
  <c r="I90" i="16"/>
  <c r="I89" i="16"/>
  <c r="I88" i="16"/>
  <c r="I81" i="16"/>
  <c r="I80" i="16"/>
  <c r="I79" i="16"/>
  <c r="I78" i="16"/>
  <c r="I71" i="16"/>
  <c r="I70" i="16"/>
  <c r="I69" i="16"/>
  <c r="I68" i="16"/>
  <c r="I61" i="16"/>
  <c r="I60" i="16"/>
  <c r="I59" i="16"/>
  <c r="I58" i="16"/>
  <c r="I51" i="16"/>
  <c r="I50" i="16"/>
  <c r="I49" i="16"/>
  <c r="I48" i="16"/>
  <c r="I41" i="16"/>
  <c r="I40" i="16"/>
  <c r="I39" i="16"/>
  <c r="I38" i="16"/>
  <c r="I31" i="16"/>
  <c r="I30" i="16"/>
  <c r="I29" i="16"/>
  <c r="I28" i="16"/>
  <c r="I21" i="16"/>
  <c r="I20" i="16"/>
  <c r="I19" i="16"/>
  <c r="I18" i="16"/>
  <c r="E70" i="1"/>
  <c r="Y99" i="15"/>
  <c r="V99" i="15"/>
  <c r="S100" i="15"/>
  <c r="S99" i="15"/>
  <c r="I104" i="15"/>
  <c r="I103" i="15"/>
  <c r="I102" i="15"/>
  <c r="I98" i="15" s="1"/>
  <c r="I101" i="15"/>
  <c r="I100" i="15"/>
  <c r="X99" i="15"/>
  <c r="Y98" i="15" s="1"/>
  <c r="I99" i="15"/>
  <c r="Y89" i="15"/>
  <c r="V89" i="15"/>
  <c r="S90" i="15"/>
  <c r="S89" i="15"/>
  <c r="I93" i="15"/>
  <c r="I92" i="15"/>
  <c r="I91" i="15"/>
  <c r="I90" i="15"/>
  <c r="X89" i="15"/>
  <c r="I89" i="15"/>
  <c r="S88" i="15"/>
  <c r="I88" i="15"/>
  <c r="V79" i="15"/>
  <c r="Y79" i="15"/>
  <c r="S80" i="15"/>
  <c r="S79" i="15"/>
  <c r="I83" i="15"/>
  <c r="I82" i="15"/>
  <c r="I81" i="15"/>
  <c r="I80" i="15"/>
  <c r="X79" i="15"/>
  <c r="Y78" i="15" s="1"/>
  <c r="I79" i="15"/>
  <c r="I78" i="15"/>
  <c r="Y69" i="15"/>
  <c r="V69" i="15"/>
  <c r="S70" i="15"/>
  <c r="S69" i="15"/>
  <c r="I73" i="15"/>
  <c r="I72" i="15"/>
  <c r="I71" i="15"/>
  <c r="I70" i="15"/>
  <c r="X69" i="15"/>
  <c r="I69" i="15"/>
  <c r="I68" i="15"/>
  <c r="Y59" i="15"/>
  <c r="V59" i="15"/>
  <c r="S60" i="15"/>
  <c r="S59" i="15"/>
  <c r="I63" i="15"/>
  <c r="I62" i="15"/>
  <c r="I61" i="15"/>
  <c r="I60" i="15"/>
  <c r="X59" i="15"/>
  <c r="Y58" i="15" s="1"/>
  <c r="S58" i="15"/>
  <c r="I59" i="15"/>
  <c r="I58" i="15"/>
  <c r="Y49" i="15"/>
  <c r="V49" i="15"/>
  <c r="S50" i="15"/>
  <c r="S49" i="15"/>
  <c r="I53" i="15"/>
  <c r="I52" i="15"/>
  <c r="I51" i="15"/>
  <c r="I50" i="15"/>
  <c r="X49" i="15"/>
  <c r="I49" i="15"/>
  <c r="I48" i="15"/>
  <c r="Y39" i="15"/>
  <c r="V39" i="15"/>
  <c r="S40" i="15"/>
  <c r="S38" i="15" s="1"/>
  <c r="S39" i="15"/>
  <c r="I42" i="15"/>
  <c r="I43" i="15"/>
  <c r="I41" i="15"/>
  <c r="I40" i="15"/>
  <c r="X39" i="15"/>
  <c r="I39" i="15"/>
  <c r="Y29" i="15"/>
  <c r="V29" i="15"/>
  <c r="S30" i="15"/>
  <c r="S29" i="15"/>
  <c r="I31" i="15"/>
  <c r="I30" i="15"/>
  <c r="X29" i="15"/>
  <c r="I29" i="15"/>
  <c r="I28" i="15"/>
  <c r="Y19" i="15"/>
  <c r="V19" i="15"/>
  <c r="S20" i="15"/>
  <c r="S19" i="15"/>
  <c r="I21" i="15"/>
  <c r="I20" i="15"/>
  <c r="X19" i="15"/>
  <c r="I19" i="15"/>
  <c r="I18" i="15"/>
  <c r="Y9" i="15"/>
  <c r="X9" i="15"/>
  <c r="V9" i="15"/>
  <c r="S10" i="15"/>
  <c r="S9" i="15"/>
  <c r="S98" i="15" l="1"/>
  <c r="Y88" i="15"/>
  <c r="S78" i="15"/>
  <c r="Y68" i="15"/>
  <c r="S68" i="15"/>
  <c r="Y48" i="15"/>
  <c r="S48" i="15"/>
  <c r="Y38" i="15"/>
  <c r="I38" i="15"/>
  <c r="Y28" i="15"/>
  <c r="S28" i="15"/>
  <c r="Y18" i="15"/>
  <c r="S18" i="15"/>
  <c r="I110" i="8"/>
  <c r="I109" i="8"/>
  <c r="I108" i="8"/>
  <c r="I107" i="8"/>
  <c r="I106" i="8"/>
  <c r="I105" i="8"/>
  <c r="I104" i="8"/>
  <c r="I103" i="8"/>
  <c r="I102" i="8"/>
  <c r="I101" i="8"/>
  <c r="I100" i="8"/>
  <c r="I99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Y118" i="16"/>
  <c r="W118" i="16"/>
  <c r="Y108" i="16"/>
  <c r="W108" i="16"/>
  <c r="Y98" i="16"/>
  <c r="W98" i="16"/>
  <c r="Y88" i="16"/>
  <c r="W88" i="16"/>
  <c r="W78" i="16"/>
  <c r="Y78" i="16"/>
  <c r="Y68" i="16"/>
  <c r="W68" i="16"/>
  <c r="Y58" i="16"/>
  <c r="W58" i="16"/>
  <c r="Y48" i="16"/>
  <c r="W48" i="16"/>
  <c r="Y38" i="16"/>
  <c r="W38" i="16"/>
  <c r="Y28" i="16"/>
  <c r="W28" i="16"/>
  <c r="X118" i="16"/>
  <c r="X108" i="16"/>
  <c r="X98" i="16"/>
  <c r="X88" i="16"/>
  <c r="X78" i="16"/>
  <c r="X68" i="16"/>
  <c r="X58" i="16"/>
  <c r="X48" i="16"/>
  <c r="X38" i="16"/>
  <c r="X28" i="16"/>
  <c r="Y8" i="16"/>
  <c r="Y18" i="16"/>
  <c r="W18" i="16"/>
  <c r="X18" i="16"/>
  <c r="X8" i="16"/>
  <c r="W8" i="16"/>
  <c r="S120" i="16"/>
  <c r="S119" i="16"/>
  <c r="S118" i="16"/>
  <c r="S109" i="16"/>
  <c r="S108" i="16"/>
  <c r="S99" i="16"/>
  <c r="S98" i="16"/>
  <c r="S89" i="16"/>
  <c r="S88" i="16"/>
  <c r="S79" i="16"/>
  <c r="S78" i="16"/>
  <c r="S69" i="16"/>
  <c r="S68" i="16"/>
  <c r="S59" i="16"/>
  <c r="S58" i="16"/>
  <c r="S49" i="16"/>
  <c r="S48" i="16"/>
  <c r="S39" i="16"/>
  <c r="S38" i="16"/>
  <c r="S29" i="16"/>
  <c r="S28" i="16"/>
  <c r="S19" i="16"/>
  <c r="S18" i="16"/>
  <c r="S9" i="16"/>
  <c r="S8" i="16"/>
  <c r="N120" i="16"/>
  <c r="N119" i="16"/>
  <c r="N118" i="16"/>
  <c r="N110" i="16"/>
  <c r="N109" i="16"/>
  <c r="N108" i="16"/>
  <c r="N100" i="16"/>
  <c r="N99" i="16"/>
  <c r="N98" i="16"/>
  <c r="N90" i="16"/>
  <c r="N89" i="16"/>
  <c r="N88" i="16"/>
  <c r="N80" i="16"/>
  <c r="N79" i="16"/>
  <c r="N78" i="16"/>
  <c r="N70" i="16"/>
  <c r="N69" i="16"/>
  <c r="N68" i="16"/>
  <c r="N60" i="16"/>
  <c r="N59" i="16"/>
  <c r="N58" i="16"/>
  <c r="N50" i="16"/>
  <c r="N49" i="16"/>
  <c r="N48" i="16"/>
  <c r="N40" i="16"/>
  <c r="N39" i="16"/>
  <c r="N38" i="16"/>
  <c r="N30" i="16"/>
  <c r="N29" i="16"/>
  <c r="N28" i="16"/>
  <c r="N9" i="16"/>
  <c r="N10" i="16"/>
  <c r="N20" i="16"/>
  <c r="N19" i="16"/>
  <c r="N18" i="16"/>
  <c r="N8" i="16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61" i="17"/>
  <c r="A89" i="17"/>
  <c r="A90" i="17"/>
  <c r="A91" i="17"/>
  <c r="A92" i="17"/>
  <c r="A93" i="17"/>
  <c r="A94" i="17"/>
  <c r="A95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62" i="17"/>
  <c r="A61" i="17"/>
  <c r="B52" i="8" s="1"/>
  <c r="N351" i="25"/>
  <c r="N350" i="25"/>
  <c r="N342" i="25"/>
  <c r="N341" i="25"/>
  <c r="N340" i="25"/>
  <c r="N332" i="25"/>
  <c r="N331" i="25"/>
  <c r="N330" i="25"/>
  <c r="N322" i="25"/>
  <c r="N321" i="25"/>
  <c r="N320" i="25"/>
  <c r="N312" i="25"/>
  <c r="N311" i="25"/>
  <c r="N310" i="25"/>
  <c r="N302" i="25"/>
  <c r="N301" i="25"/>
  <c r="N300" i="25"/>
  <c r="N292" i="25"/>
  <c r="N291" i="25"/>
  <c r="N290" i="25"/>
  <c r="N282" i="25"/>
  <c r="N281" i="25"/>
  <c r="N280" i="25"/>
  <c r="N272" i="25"/>
  <c r="N271" i="25"/>
  <c r="N270" i="25"/>
  <c r="N262" i="25"/>
  <c r="N261" i="25"/>
  <c r="N260" i="25"/>
  <c r="N252" i="25"/>
  <c r="N251" i="25"/>
  <c r="N250" i="25"/>
  <c r="N242" i="25"/>
  <c r="N241" i="25"/>
  <c r="N240" i="25"/>
  <c r="N232" i="25" l="1"/>
  <c r="N231" i="25"/>
  <c r="N230" i="25"/>
  <c r="N222" i="25"/>
  <c r="N221" i="25"/>
  <c r="N220" i="25"/>
  <c r="N212" i="25"/>
  <c r="N211" i="25"/>
  <c r="N210" i="25"/>
  <c r="N202" i="25"/>
  <c r="N201" i="25"/>
  <c r="N200" i="25"/>
  <c r="N192" i="25"/>
  <c r="N191" i="25"/>
  <c r="N190" i="25"/>
  <c r="N182" i="25"/>
  <c r="N181" i="25"/>
  <c r="N180" i="25"/>
  <c r="N172" i="25"/>
  <c r="N171" i="25"/>
  <c r="N170" i="25"/>
  <c r="N162" i="25"/>
  <c r="N161" i="25"/>
  <c r="N160" i="25"/>
  <c r="N152" i="25"/>
  <c r="N151" i="25"/>
  <c r="N150" i="25"/>
  <c r="N142" i="25"/>
  <c r="N141" i="25"/>
  <c r="N140" i="25"/>
  <c r="N132" i="25"/>
  <c r="N131" i="25"/>
  <c r="N130" i="25"/>
  <c r="N122" i="25"/>
  <c r="N121" i="25"/>
  <c r="N120" i="25"/>
  <c r="N112" i="25"/>
  <c r="N111" i="25"/>
  <c r="N109" i="25" s="1"/>
  <c r="G62" i="8" s="1"/>
  <c r="N110" i="25"/>
  <c r="N102" i="25"/>
  <c r="N101" i="25"/>
  <c r="N100" i="25"/>
  <c r="N92" i="25"/>
  <c r="N91" i="25"/>
  <c r="N90" i="25"/>
  <c r="N82" i="25"/>
  <c r="N81" i="25"/>
  <c r="N80" i="25"/>
  <c r="N72" i="25"/>
  <c r="N69" i="25" s="1"/>
  <c r="G58" i="8" s="1"/>
  <c r="N71" i="25"/>
  <c r="N70" i="25"/>
  <c r="N62" i="25"/>
  <c r="N61" i="25"/>
  <c r="N60" i="25"/>
  <c r="N52" i="25"/>
  <c r="N51" i="25"/>
  <c r="N50" i="25"/>
  <c r="N42" i="25"/>
  <c r="N41" i="25"/>
  <c r="N40" i="25"/>
  <c r="N32" i="25"/>
  <c r="N31" i="25"/>
  <c r="N30" i="25"/>
  <c r="N22" i="25"/>
  <c r="N21" i="25"/>
  <c r="N20" i="25"/>
  <c r="S10" i="25"/>
  <c r="N12" i="25"/>
  <c r="N11" i="25"/>
  <c r="N10" i="25"/>
  <c r="W350" i="25"/>
  <c r="V350" i="25"/>
  <c r="S350" i="25"/>
  <c r="I353" i="25"/>
  <c r="I352" i="25"/>
  <c r="I351" i="25"/>
  <c r="X350" i="25"/>
  <c r="Y350" i="25" s="1"/>
  <c r="I350" i="25"/>
  <c r="I349" i="25" s="1"/>
  <c r="F86" i="8" s="1"/>
  <c r="S349" i="25"/>
  <c r="H86" i="8" s="1"/>
  <c r="W340" i="25"/>
  <c r="V340" i="25"/>
  <c r="S340" i="25"/>
  <c r="I343" i="25"/>
  <c r="I342" i="25"/>
  <c r="I341" i="25"/>
  <c r="X340" i="25"/>
  <c r="Y340" i="25" s="1"/>
  <c r="I340" i="25"/>
  <c r="I339" i="25" s="1"/>
  <c r="F85" i="8" s="1"/>
  <c r="S339" i="25"/>
  <c r="H85" i="8" s="1"/>
  <c r="N339" i="25"/>
  <c r="G85" i="8" s="1"/>
  <c r="W330" i="25"/>
  <c r="V330" i="25"/>
  <c r="S330" i="25"/>
  <c r="I333" i="25"/>
  <c r="I332" i="25"/>
  <c r="I331" i="25"/>
  <c r="X330" i="25"/>
  <c r="Y330" i="25" s="1"/>
  <c r="I330" i="25"/>
  <c r="I329" i="25" s="1"/>
  <c r="F84" i="8" s="1"/>
  <c r="S329" i="25"/>
  <c r="H84" i="8" s="1"/>
  <c r="N329" i="25"/>
  <c r="G84" i="8" s="1"/>
  <c r="W320" i="25"/>
  <c r="V320" i="25"/>
  <c r="S320" i="25"/>
  <c r="S319" i="25" s="1"/>
  <c r="H83" i="8" s="1"/>
  <c r="I323" i="25"/>
  <c r="I322" i="25"/>
  <c r="I319" i="25" s="1"/>
  <c r="F83" i="8" s="1"/>
  <c r="I321" i="25"/>
  <c r="X320" i="25"/>
  <c r="Y320" i="25" s="1"/>
  <c r="I320" i="25"/>
  <c r="N319" i="25"/>
  <c r="G83" i="8" s="1"/>
  <c r="W310" i="25"/>
  <c r="V310" i="25"/>
  <c r="S310" i="25"/>
  <c r="S309" i="25" s="1"/>
  <c r="H82" i="8" s="1"/>
  <c r="I313" i="25"/>
  <c r="I312" i="25"/>
  <c r="I311" i="25"/>
  <c r="X310" i="25"/>
  <c r="Y310" i="25" s="1"/>
  <c r="I310" i="25"/>
  <c r="N309" i="25"/>
  <c r="G82" i="8" s="1"/>
  <c r="W300" i="25"/>
  <c r="V300" i="25"/>
  <c r="S300" i="25"/>
  <c r="I303" i="25"/>
  <c r="I302" i="25"/>
  <c r="I301" i="25"/>
  <c r="X300" i="25"/>
  <c r="Y300" i="25" s="1"/>
  <c r="I300" i="25"/>
  <c r="I299" i="25" s="1"/>
  <c r="F81" i="8" s="1"/>
  <c r="S299" i="25"/>
  <c r="H81" i="8" s="1"/>
  <c r="N299" i="25"/>
  <c r="G81" i="8" s="1"/>
  <c r="W290" i="25"/>
  <c r="V290" i="25"/>
  <c r="S290" i="25"/>
  <c r="S289" i="25" s="1"/>
  <c r="H80" i="8" s="1"/>
  <c r="I293" i="25"/>
  <c r="I292" i="25"/>
  <c r="I289" i="25" s="1"/>
  <c r="F80" i="8" s="1"/>
  <c r="I291" i="25"/>
  <c r="X290" i="25"/>
  <c r="Y290" i="25" s="1"/>
  <c r="I290" i="25"/>
  <c r="N289" i="25"/>
  <c r="G80" i="8" s="1"/>
  <c r="W280" i="25"/>
  <c r="V280" i="25"/>
  <c r="S280" i="25"/>
  <c r="I283" i="25"/>
  <c r="I282" i="25"/>
  <c r="I281" i="25"/>
  <c r="X280" i="25"/>
  <c r="Y280" i="25" s="1"/>
  <c r="I280" i="25"/>
  <c r="I279" i="25" s="1"/>
  <c r="F79" i="8" s="1"/>
  <c r="S279" i="25"/>
  <c r="H79" i="8" s="1"/>
  <c r="N279" i="25"/>
  <c r="G79" i="8" s="1"/>
  <c r="W270" i="25"/>
  <c r="V270" i="25"/>
  <c r="S270" i="25"/>
  <c r="S269" i="25" s="1"/>
  <c r="H78" i="8" s="1"/>
  <c r="I273" i="25"/>
  <c r="I272" i="25"/>
  <c r="I271" i="25"/>
  <c r="X270" i="25"/>
  <c r="Y270" i="25" s="1"/>
  <c r="I270" i="25"/>
  <c r="N269" i="25"/>
  <c r="G78" i="8" s="1"/>
  <c r="W260" i="25"/>
  <c r="V260" i="25"/>
  <c r="S260" i="25"/>
  <c r="S259" i="25" s="1"/>
  <c r="H77" i="8" s="1"/>
  <c r="I263" i="25"/>
  <c r="I262" i="25"/>
  <c r="I261" i="25"/>
  <c r="X260" i="25"/>
  <c r="Y260" i="25" s="1"/>
  <c r="I260" i="25"/>
  <c r="N259" i="25"/>
  <c r="G77" i="8" s="1"/>
  <c r="W250" i="25"/>
  <c r="V250" i="25"/>
  <c r="S250" i="25"/>
  <c r="S249" i="25" s="1"/>
  <c r="H76" i="8" s="1"/>
  <c r="I253" i="25"/>
  <c r="I252" i="25"/>
  <c r="I249" i="25" s="1"/>
  <c r="F76" i="8" s="1"/>
  <c r="I251" i="25"/>
  <c r="X250" i="25"/>
  <c r="Y250" i="25" s="1"/>
  <c r="I250" i="25"/>
  <c r="N249" i="25"/>
  <c r="G76" i="8" s="1"/>
  <c r="W240" i="25"/>
  <c r="V240" i="25"/>
  <c r="S240" i="25"/>
  <c r="S239" i="25" s="1"/>
  <c r="H75" i="8" s="1"/>
  <c r="I243" i="25"/>
  <c r="I242" i="25"/>
  <c r="I241" i="25"/>
  <c r="X240" i="25"/>
  <c r="Y240" i="25" s="1"/>
  <c r="I240" i="25"/>
  <c r="N239" i="25"/>
  <c r="G75" i="8" s="1"/>
  <c r="W230" i="25"/>
  <c r="V230" i="25"/>
  <c r="S230" i="25"/>
  <c r="I233" i="25"/>
  <c r="I232" i="25"/>
  <c r="I231" i="25"/>
  <c r="X230" i="25"/>
  <c r="Y230" i="25" s="1"/>
  <c r="I230" i="25"/>
  <c r="I229" i="25" s="1"/>
  <c r="F74" i="8" s="1"/>
  <c r="S229" i="25"/>
  <c r="H74" i="8" s="1"/>
  <c r="N229" i="25"/>
  <c r="G74" i="8" s="1"/>
  <c r="W220" i="25"/>
  <c r="V220" i="25"/>
  <c r="S220" i="25"/>
  <c r="I223" i="25"/>
  <c r="I222" i="25"/>
  <c r="I221" i="25"/>
  <c r="X220" i="25"/>
  <c r="Y220" i="25" s="1"/>
  <c r="I220" i="25"/>
  <c r="I219" i="25" s="1"/>
  <c r="F73" i="8" s="1"/>
  <c r="S219" i="25"/>
  <c r="H73" i="8" s="1"/>
  <c r="N219" i="25"/>
  <c r="G73" i="8" s="1"/>
  <c r="W210" i="25"/>
  <c r="V210" i="25"/>
  <c r="S210" i="25"/>
  <c r="I213" i="25"/>
  <c r="I212" i="25"/>
  <c r="I211" i="25"/>
  <c r="X210" i="25"/>
  <c r="Y210" i="25" s="1"/>
  <c r="I210" i="25"/>
  <c r="I209" i="25" s="1"/>
  <c r="F72" i="8" s="1"/>
  <c r="S209" i="25"/>
  <c r="H72" i="8" s="1"/>
  <c r="N209" i="25"/>
  <c r="G72" i="8" s="1"/>
  <c r="W200" i="25"/>
  <c r="V200" i="25"/>
  <c r="S200" i="25"/>
  <c r="S199" i="25" s="1"/>
  <c r="H71" i="8" s="1"/>
  <c r="I203" i="25"/>
  <c r="I202" i="25"/>
  <c r="I199" i="25" s="1"/>
  <c r="F71" i="8" s="1"/>
  <c r="I201" i="25"/>
  <c r="X200" i="25"/>
  <c r="Y200" i="25" s="1"/>
  <c r="I200" i="25"/>
  <c r="N199" i="25"/>
  <c r="G71" i="8" s="1"/>
  <c r="W190" i="25"/>
  <c r="V190" i="25"/>
  <c r="S190" i="25"/>
  <c r="I193" i="25"/>
  <c r="I192" i="25"/>
  <c r="I191" i="25"/>
  <c r="X190" i="25"/>
  <c r="Y190" i="25" s="1"/>
  <c r="I190" i="25"/>
  <c r="I189" i="25" s="1"/>
  <c r="F70" i="8" s="1"/>
  <c r="S189" i="25"/>
  <c r="H70" i="8" s="1"/>
  <c r="N189" i="25"/>
  <c r="G70" i="8" s="1"/>
  <c r="W180" i="25"/>
  <c r="V180" i="25"/>
  <c r="S180" i="25"/>
  <c r="I183" i="25"/>
  <c r="I182" i="25"/>
  <c r="I181" i="25"/>
  <c r="X180" i="25"/>
  <c r="Y180" i="25" s="1"/>
  <c r="I180" i="25"/>
  <c r="S179" i="25"/>
  <c r="H69" i="8" s="1"/>
  <c r="N179" i="25"/>
  <c r="G69" i="8" s="1"/>
  <c r="W170" i="25"/>
  <c r="V170" i="25"/>
  <c r="S170" i="25"/>
  <c r="S169" i="25" s="1"/>
  <c r="H68" i="8" s="1"/>
  <c r="I173" i="25"/>
  <c r="I172" i="25"/>
  <c r="I169" i="25" s="1"/>
  <c r="F68" i="8" s="1"/>
  <c r="I171" i="25"/>
  <c r="X170" i="25"/>
  <c r="Y170" i="25" s="1"/>
  <c r="I170" i="25"/>
  <c r="N169" i="25"/>
  <c r="G68" i="8" s="1"/>
  <c r="W160" i="25"/>
  <c r="V160" i="25"/>
  <c r="S160" i="25"/>
  <c r="S159" i="25" s="1"/>
  <c r="H67" i="8" s="1"/>
  <c r="I163" i="25"/>
  <c r="I162" i="25"/>
  <c r="I161" i="25"/>
  <c r="X160" i="25"/>
  <c r="Y160" i="25" s="1"/>
  <c r="I160" i="25"/>
  <c r="N159" i="25"/>
  <c r="G67" i="8" s="1"/>
  <c r="W150" i="25"/>
  <c r="V150" i="25"/>
  <c r="S150" i="25"/>
  <c r="S149" i="25" s="1"/>
  <c r="H66" i="8" s="1"/>
  <c r="I153" i="25"/>
  <c r="I152" i="25"/>
  <c r="I149" i="25" s="1"/>
  <c r="F66" i="8" s="1"/>
  <c r="I151" i="25"/>
  <c r="X150" i="25"/>
  <c r="Y150" i="25" s="1"/>
  <c r="I150" i="25"/>
  <c r="N149" i="25"/>
  <c r="G66" i="8" s="1"/>
  <c r="W140" i="25"/>
  <c r="X140" i="25" s="1"/>
  <c r="Y140" i="25" s="1"/>
  <c r="V140" i="25"/>
  <c r="S140" i="25"/>
  <c r="I143" i="25"/>
  <c r="I142" i="25"/>
  <c r="I141" i="25"/>
  <c r="I140" i="25"/>
  <c r="S139" i="25"/>
  <c r="H65" i="8" s="1"/>
  <c r="N139" i="25"/>
  <c r="G65" i="8" s="1"/>
  <c r="I139" i="25"/>
  <c r="F65" i="8" s="1"/>
  <c r="W130" i="25"/>
  <c r="V130" i="25"/>
  <c r="S130" i="25"/>
  <c r="S129" i="25" s="1"/>
  <c r="H64" i="8" s="1"/>
  <c r="I133" i="25"/>
  <c r="I132" i="25"/>
  <c r="I131" i="25"/>
  <c r="X130" i="25"/>
  <c r="Y130" i="25" s="1"/>
  <c r="I130" i="25"/>
  <c r="W120" i="25"/>
  <c r="V120" i="25"/>
  <c r="S120" i="25"/>
  <c r="S119" i="25" s="1"/>
  <c r="H63" i="8" s="1"/>
  <c r="I123" i="25"/>
  <c r="I122" i="25"/>
  <c r="I119" i="25" s="1"/>
  <c r="F63" i="8" s="1"/>
  <c r="I121" i="25"/>
  <c r="X120" i="25"/>
  <c r="Y120" i="25" s="1"/>
  <c r="I120" i="25"/>
  <c r="N119" i="25"/>
  <c r="G63" i="8" s="1"/>
  <c r="W110" i="25"/>
  <c r="V110" i="25"/>
  <c r="S110" i="25"/>
  <c r="S109" i="25" s="1"/>
  <c r="H62" i="8" s="1"/>
  <c r="I113" i="25"/>
  <c r="I112" i="25"/>
  <c r="I111" i="25"/>
  <c r="X110" i="25"/>
  <c r="Y110" i="25" s="1"/>
  <c r="I110" i="25"/>
  <c r="W100" i="25"/>
  <c r="V100" i="25"/>
  <c r="S100" i="25"/>
  <c r="S99" i="25" s="1"/>
  <c r="H61" i="8" s="1"/>
  <c r="I103" i="25"/>
  <c r="I102" i="25"/>
  <c r="I99" i="25" s="1"/>
  <c r="F61" i="8" s="1"/>
  <c r="I101" i="25"/>
  <c r="X100" i="25"/>
  <c r="Y100" i="25" s="1"/>
  <c r="I100" i="25"/>
  <c r="N99" i="25"/>
  <c r="G61" i="8" s="1"/>
  <c r="W90" i="25"/>
  <c r="V90" i="25"/>
  <c r="S90" i="25"/>
  <c r="S89" i="25" s="1"/>
  <c r="H60" i="8" s="1"/>
  <c r="I93" i="25"/>
  <c r="I92" i="25"/>
  <c r="I91" i="25"/>
  <c r="X90" i="25"/>
  <c r="Y90" i="25" s="1"/>
  <c r="I90" i="25"/>
  <c r="N89" i="25"/>
  <c r="G60" i="8" s="1"/>
  <c r="W80" i="25"/>
  <c r="V80" i="25"/>
  <c r="S80" i="25"/>
  <c r="S79" i="25" s="1"/>
  <c r="H59" i="8" s="1"/>
  <c r="I83" i="25"/>
  <c r="I82" i="25"/>
  <c r="I79" i="25" s="1"/>
  <c r="F59" i="8" s="1"/>
  <c r="I81" i="25"/>
  <c r="X80" i="25"/>
  <c r="Y80" i="25" s="1"/>
  <c r="I80" i="25"/>
  <c r="N79" i="25"/>
  <c r="G59" i="8" s="1"/>
  <c r="W70" i="25"/>
  <c r="X70" i="25" s="1"/>
  <c r="Y70" i="25" s="1"/>
  <c r="V70" i="25"/>
  <c r="S70" i="25"/>
  <c r="S69" i="25" s="1"/>
  <c r="H58" i="8" s="1"/>
  <c r="I74" i="25"/>
  <c r="I73" i="25"/>
  <c r="I72" i="25"/>
  <c r="I71" i="25"/>
  <c r="I70" i="25"/>
  <c r="W60" i="25"/>
  <c r="V60" i="25"/>
  <c r="S60" i="25"/>
  <c r="S59" i="25" s="1"/>
  <c r="H57" i="8" s="1"/>
  <c r="I63" i="25"/>
  <c r="I62" i="25"/>
  <c r="I61" i="25"/>
  <c r="X60" i="25"/>
  <c r="Y60" i="25" s="1"/>
  <c r="I60" i="25"/>
  <c r="N59" i="25"/>
  <c r="G57" i="8" s="1"/>
  <c r="S20" i="25"/>
  <c r="S19" i="25" s="1"/>
  <c r="H53" i="8" s="1"/>
  <c r="S30" i="25"/>
  <c r="S40" i="25"/>
  <c r="S39" i="25" s="1"/>
  <c r="H55" i="8" s="1"/>
  <c r="S50" i="25"/>
  <c r="W50" i="25"/>
  <c r="X50" i="25" s="1"/>
  <c r="Y50" i="25" s="1"/>
  <c r="V50" i="25"/>
  <c r="I44" i="25"/>
  <c r="I53" i="25"/>
  <c r="I52" i="25"/>
  <c r="I51" i="25"/>
  <c r="I50" i="25"/>
  <c r="I49" i="25" s="1"/>
  <c r="F56" i="8" s="1"/>
  <c r="S49" i="25"/>
  <c r="H56" i="8" s="1"/>
  <c r="N49" i="25"/>
  <c r="G56" i="8" s="1"/>
  <c r="W40" i="25"/>
  <c r="V40" i="25"/>
  <c r="I43" i="25"/>
  <c r="I42" i="25"/>
  <c r="I41" i="25"/>
  <c r="X40" i="25"/>
  <c r="Y40" i="25" s="1"/>
  <c r="I40" i="25"/>
  <c r="N39" i="25"/>
  <c r="G55" i="8" s="1"/>
  <c r="W30" i="25"/>
  <c r="X30" i="25" s="1"/>
  <c r="Y30" i="25" s="1"/>
  <c r="Y29" i="25" s="1"/>
  <c r="I54" i="8" s="1"/>
  <c r="V30" i="25"/>
  <c r="W20" i="25"/>
  <c r="X20" i="25" s="1"/>
  <c r="Y20" i="25" s="1"/>
  <c r="Y19" i="25" s="1"/>
  <c r="I53" i="8" s="1"/>
  <c r="V20" i="25"/>
  <c r="W10" i="25"/>
  <c r="X10" i="25" s="1"/>
  <c r="Y10" i="25" s="1"/>
  <c r="Y9" i="25" s="1"/>
  <c r="I52" i="8" s="1"/>
  <c r="V10" i="25"/>
  <c r="S9" i="25"/>
  <c r="H52" i="8" s="1"/>
  <c r="I33" i="25"/>
  <c r="I32" i="25"/>
  <c r="I31" i="25"/>
  <c r="I30" i="25"/>
  <c r="I29" i="25" s="1"/>
  <c r="F54" i="8" s="1"/>
  <c r="I23" i="25"/>
  <c r="I22" i="25"/>
  <c r="I21" i="25"/>
  <c r="I20" i="25"/>
  <c r="I13" i="25"/>
  <c r="N29" i="25"/>
  <c r="G54" i="8" s="1"/>
  <c r="N19" i="25"/>
  <c r="I12" i="25"/>
  <c r="I11" i="25"/>
  <c r="I10" i="25"/>
  <c r="I9" i="25" s="1"/>
  <c r="F52" i="8" s="1"/>
  <c r="F53" i="8" s="1"/>
  <c r="N9" i="25"/>
  <c r="G52" i="8" s="1"/>
  <c r="G53" i="8" s="1"/>
  <c r="N129" i="25" l="1"/>
  <c r="G64" i="8" s="1"/>
  <c r="I59" i="25"/>
  <c r="F57" i="8" s="1"/>
  <c r="I69" i="25"/>
  <c r="F58" i="8" s="1"/>
  <c r="I89" i="25"/>
  <c r="F60" i="8" s="1"/>
  <c r="I109" i="25"/>
  <c r="F62" i="8" s="1"/>
  <c r="I129" i="25"/>
  <c r="F64" i="8" s="1"/>
  <c r="I159" i="25"/>
  <c r="F67" i="8" s="1"/>
  <c r="I179" i="25"/>
  <c r="F69" i="8" s="1"/>
  <c r="I239" i="25"/>
  <c r="F75" i="8" s="1"/>
  <c r="I259" i="25"/>
  <c r="F77" i="8" s="1"/>
  <c r="I309" i="25"/>
  <c r="F82" i="8" s="1"/>
  <c r="I19" i="25"/>
  <c r="I269" i="25"/>
  <c r="F78" i="8" s="1"/>
  <c r="Y109" i="25"/>
  <c r="I62" i="8" s="1"/>
  <c r="Y349" i="25"/>
  <c r="I86" i="8" s="1"/>
  <c r="Y339" i="25"/>
  <c r="I85" i="8" s="1"/>
  <c r="Y329" i="25"/>
  <c r="I84" i="8" s="1"/>
  <c r="Y319" i="25"/>
  <c r="I83" i="8" s="1"/>
  <c r="Y309" i="25"/>
  <c r="I82" i="8" s="1"/>
  <c r="Y299" i="25"/>
  <c r="I81" i="8" s="1"/>
  <c r="Y289" i="25"/>
  <c r="I80" i="8" s="1"/>
  <c r="Y279" i="25"/>
  <c r="I79" i="8" s="1"/>
  <c r="Y269" i="25"/>
  <c r="I78" i="8" s="1"/>
  <c r="Y259" i="25"/>
  <c r="I77" i="8" s="1"/>
  <c r="Y249" i="25"/>
  <c r="I76" i="8" s="1"/>
  <c r="Y239" i="25"/>
  <c r="I75" i="8" s="1"/>
  <c r="Y229" i="25"/>
  <c r="I74" i="8" s="1"/>
  <c r="Y219" i="25"/>
  <c r="I73" i="8" s="1"/>
  <c r="Y209" i="25"/>
  <c r="I72" i="8" s="1"/>
  <c r="Y199" i="25"/>
  <c r="I71" i="8" s="1"/>
  <c r="Y189" i="25"/>
  <c r="I70" i="8" s="1"/>
  <c r="Y179" i="25"/>
  <c r="I69" i="8" s="1"/>
  <c r="Y169" i="25"/>
  <c r="I68" i="8" s="1"/>
  <c r="Y159" i="25"/>
  <c r="I67" i="8" s="1"/>
  <c r="Y149" i="25"/>
  <c r="I66" i="8" s="1"/>
  <c r="Y139" i="25"/>
  <c r="I65" i="8" s="1"/>
  <c r="Y129" i="25"/>
  <c r="I64" i="8" s="1"/>
  <c r="Y119" i="25"/>
  <c r="I63" i="8" s="1"/>
  <c r="Y99" i="25"/>
  <c r="I61" i="8" s="1"/>
  <c r="Y89" i="25"/>
  <c r="I60" i="8" s="1"/>
  <c r="Y79" i="25"/>
  <c r="I59" i="8" s="1"/>
  <c r="Y69" i="25"/>
  <c r="I58" i="8" s="1"/>
  <c r="Y59" i="25"/>
  <c r="I57" i="8" s="1"/>
  <c r="I39" i="25"/>
  <c r="F55" i="8" s="1"/>
  <c r="Y49" i="25"/>
  <c r="I56" i="8" s="1"/>
  <c r="S29" i="25"/>
  <c r="H54" i="8" s="1"/>
  <c r="Y39" i="25"/>
  <c r="I55" i="8" s="1"/>
  <c r="N949" i="14"/>
  <c r="N948" i="14"/>
  <c r="I955" i="14"/>
  <c r="I954" i="14"/>
  <c r="I953" i="14"/>
  <c r="I952" i="14"/>
  <c r="I951" i="14"/>
  <c r="I950" i="14"/>
  <c r="R949" i="14"/>
  <c r="S949" i="14" s="1"/>
  <c r="I949" i="14"/>
  <c r="X948" i="14"/>
  <c r="Y948" i="14" s="1"/>
  <c r="Y947" i="14" s="1"/>
  <c r="R948" i="14"/>
  <c r="S948" i="14" s="1"/>
  <c r="S947" i="14" s="1"/>
  <c r="I948" i="14"/>
  <c r="I947" i="14" s="1"/>
  <c r="Y938" i="14"/>
  <c r="S939" i="14"/>
  <c r="S938" i="14"/>
  <c r="N939" i="14"/>
  <c r="N938" i="14"/>
  <c r="I945" i="14"/>
  <c r="I944" i="14"/>
  <c r="I943" i="14"/>
  <c r="I942" i="14"/>
  <c r="I941" i="14"/>
  <c r="I940" i="14"/>
  <c r="R939" i="14"/>
  <c r="I939" i="14"/>
  <c r="X938" i="14"/>
  <c r="R938" i="14"/>
  <c r="I938" i="14"/>
  <c r="I937" i="14"/>
  <c r="I935" i="14"/>
  <c r="I934" i="14"/>
  <c r="I933" i="14"/>
  <c r="I932" i="14"/>
  <c r="I931" i="14"/>
  <c r="I930" i="14"/>
  <c r="R929" i="14"/>
  <c r="S929" i="14" s="1"/>
  <c r="N929" i="14"/>
  <c r="I929" i="14"/>
  <c r="X928" i="14"/>
  <c r="R928" i="14"/>
  <c r="S928" i="14" s="1"/>
  <c r="S927" i="14" s="1"/>
  <c r="N928" i="14"/>
  <c r="N927" i="14" s="1"/>
  <c r="I928" i="14"/>
  <c r="I927" i="14"/>
  <c r="N909" i="14"/>
  <c r="N908" i="14"/>
  <c r="N919" i="14"/>
  <c r="N918" i="14"/>
  <c r="I925" i="14"/>
  <c r="I924" i="14"/>
  <c r="I923" i="14"/>
  <c r="I922" i="14"/>
  <c r="I921" i="14"/>
  <c r="I920" i="14"/>
  <c r="R919" i="14"/>
  <c r="S919" i="14" s="1"/>
  <c r="I919" i="14"/>
  <c r="X918" i="14"/>
  <c r="R918" i="14"/>
  <c r="S918" i="14" s="1"/>
  <c r="I918" i="14"/>
  <c r="I917" i="14" s="1"/>
  <c r="X908" i="14"/>
  <c r="Y908" i="14" s="1"/>
  <c r="I915" i="14"/>
  <c r="I914" i="14"/>
  <c r="I913" i="14"/>
  <c r="I912" i="14"/>
  <c r="I911" i="14"/>
  <c r="I910" i="14"/>
  <c r="R909" i="14"/>
  <c r="S909" i="14" s="1"/>
  <c r="I909" i="14"/>
  <c r="R908" i="14"/>
  <c r="S908" i="14" s="1"/>
  <c r="I908" i="14"/>
  <c r="N947" i="14" l="1"/>
  <c r="Y937" i="14"/>
  <c r="S937" i="14"/>
  <c r="N937" i="14"/>
  <c r="Y918" i="14"/>
  <c r="Y928" i="14" s="1"/>
  <c r="Y927" i="14" s="1"/>
  <c r="Y907" i="14"/>
  <c r="S907" i="14"/>
  <c r="S917" i="14"/>
  <c r="Y917" i="14"/>
  <c r="N907" i="14"/>
  <c r="N917" i="14"/>
  <c r="I907" i="14"/>
  <c r="I632" i="7"/>
  <c r="I631" i="7"/>
  <c r="I630" i="7"/>
  <c r="I629" i="7"/>
  <c r="I628" i="7"/>
  <c r="I627" i="7"/>
  <c r="I626" i="7" s="1"/>
  <c r="F93" i="8" s="1"/>
  <c r="Y626" i="7"/>
  <c r="I94" i="8" s="1"/>
  <c r="S626" i="7"/>
  <c r="N626" i="7"/>
  <c r="Y19" i="5" l="1"/>
  <c r="I231" i="8" s="1"/>
  <c r="S19" i="5"/>
  <c r="H231" i="8" s="1"/>
  <c r="N19" i="5"/>
  <c r="G231" i="8" s="1"/>
  <c r="I19" i="5"/>
  <c r="F231" i="8" s="1"/>
  <c r="I39" i="8" l="1"/>
  <c r="I40" i="8"/>
  <c r="I38" i="8"/>
  <c r="N617" i="7" l="1"/>
  <c r="S617" i="7"/>
  <c r="Y617" i="7"/>
  <c r="I93" i="8" s="1"/>
  <c r="I618" i="7"/>
  <c r="I619" i="7"/>
  <c r="I620" i="7"/>
  <c r="I621" i="7"/>
  <c r="I622" i="7"/>
  <c r="I623" i="7"/>
  <c r="I614" i="7"/>
  <c r="I613" i="7"/>
  <c r="I612" i="7"/>
  <c r="I611" i="7"/>
  <c r="I610" i="7"/>
  <c r="I608" i="7" s="1"/>
  <c r="F92" i="8" s="1"/>
  <c r="I609" i="7"/>
  <c r="Y608" i="7"/>
  <c r="I92" i="8" s="1"/>
  <c r="S608" i="7"/>
  <c r="N608" i="7"/>
  <c r="G92" i="8" s="1"/>
  <c r="G94" i="8" l="1"/>
  <c r="G93" i="8"/>
  <c r="I617" i="7"/>
  <c r="F94" i="8" s="1"/>
  <c r="H94" i="8"/>
  <c r="H93" i="8"/>
  <c r="H92" i="8"/>
  <c r="S117" i="16" l="1"/>
  <c r="R120" i="16"/>
  <c r="Y117" i="16"/>
  <c r="N117" i="16"/>
  <c r="I117" i="16"/>
  <c r="F110" i="8" s="1"/>
  <c r="C266" i="7"/>
  <c r="N262" i="7"/>
  <c r="Y262" i="7"/>
  <c r="I313" i="8" s="1"/>
  <c r="I263" i="7"/>
  <c r="R263" i="7"/>
  <c r="I264" i="7"/>
  <c r="I265" i="7"/>
  <c r="I266" i="7"/>
  <c r="I267" i="7"/>
  <c r="I268" i="7"/>
  <c r="I262" i="7" l="1"/>
  <c r="I488" i="7"/>
  <c r="I487" i="7"/>
  <c r="I485" i="7"/>
  <c r="I484" i="7"/>
  <c r="C484" i="7"/>
  <c r="I483" i="7"/>
  <c r="Y482" i="7"/>
  <c r="S482" i="7"/>
  <c r="N482" i="7"/>
  <c r="I482" i="7"/>
  <c r="I478" i="7"/>
  <c r="I477" i="7"/>
  <c r="I475" i="7"/>
  <c r="I474" i="7"/>
  <c r="I472" i="7" s="1"/>
  <c r="C474" i="7"/>
  <c r="I473" i="7"/>
  <c r="Y472" i="7"/>
  <c r="S472" i="7"/>
  <c r="N472" i="7"/>
  <c r="N492" i="7"/>
  <c r="F69" i="13" s="1"/>
  <c r="S492" i="7"/>
  <c r="G69" i="13" s="1"/>
  <c r="Y492" i="7"/>
  <c r="H69" i="13" s="1"/>
  <c r="I493" i="7"/>
  <c r="I494" i="7"/>
  <c r="I495" i="7"/>
  <c r="I497" i="7"/>
  <c r="I498" i="7"/>
  <c r="I538" i="7"/>
  <c r="I537" i="7"/>
  <c r="I535" i="7"/>
  <c r="I534" i="7"/>
  <c r="I533" i="7"/>
  <c r="Y532" i="7"/>
  <c r="S532" i="7"/>
  <c r="N532" i="7"/>
  <c r="I532" i="7"/>
  <c r="I528" i="7"/>
  <c r="I527" i="7"/>
  <c r="I525" i="7"/>
  <c r="I524" i="7"/>
  <c r="I523" i="7"/>
  <c r="Y522" i="7"/>
  <c r="S522" i="7"/>
  <c r="N522" i="7"/>
  <c r="I522" i="7"/>
  <c r="S542" i="7"/>
  <c r="I548" i="7"/>
  <c r="I547" i="7"/>
  <c r="I545" i="7"/>
  <c r="I544" i="7"/>
  <c r="I543" i="7"/>
  <c r="Y542" i="7"/>
  <c r="N542" i="7"/>
  <c r="I542" i="7" l="1"/>
  <c r="I492" i="7"/>
  <c r="C116" i="1" l="1"/>
  <c r="Y107" i="16"/>
  <c r="S107" i="16"/>
  <c r="N107" i="16"/>
  <c r="I107" i="16"/>
  <c r="F109" i="8" s="1"/>
  <c r="E54" i="1" l="1"/>
  <c r="E53" i="1"/>
  <c r="E52" i="1"/>
  <c r="C22" i="24"/>
  <c r="I13" i="6"/>
  <c r="I17" i="6"/>
  <c r="I18" i="6"/>
  <c r="I19" i="6"/>
  <c r="R15" i="6"/>
  <c r="S15" i="6" s="1"/>
  <c r="R14" i="6"/>
  <c r="S14" i="6" s="1"/>
  <c r="R13" i="6"/>
  <c r="S13" i="6" s="1"/>
  <c r="I904" i="14"/>
  <c r="I905" i="14"/>
  <c r="I883" i="14"/>
  <c r="I884" i="14"/>
  <c r="I893" i="14"/>
  <c r="I894" i="14"/>
  <c r="I872" i="14"/>
  <c r="I862" i="14"/>
  <c r="I852" i="14"/>
  <c r="I842" i="14"/>
  <c r="I832" i="14"/>
  <c r="I814" i="14"/>
  <c r="I813" i="14"/>
  <c r="I812" i="14"/>
  <c r="I802" i="14"/>
  <c r="I792" i="14"/>
  <c r="I782" i="14"/>
  <c r="I773" i="14"/>
  <c r="I772" i="14"/>
  <c r="I763" i="14"/>
  <c r="I762" i="14"/>
  <c r="I753" i="14"/>
  <c r="I752" i="14"/>
  <c r="I743" i="14"/>
  <c r="I742" i="14"/>
  <c r="I741" i="14"/>
  <c r="I732" i="14"/>
  <c r="I722" i="14"/>
  <c r="I714" i="14"/>
  <c r="I713" i="14"/>
  <c r="I712" i="14"/>
  <c r="I702" i="14"/>
  <c r="I692" i="14"/>
  <c r="I682" i="14"/>
  <c r="I672" i="14"/>
  <c r="I663" i="14"/>
  <c r="I662" i="14"/>
  <c r="I653" i="14"/>
  <c r="I652" i="14"/>
  <c r="I643" i="14"/>
  <c r="I642" i="14"/>
  <c r="I632" i="14"/>
  <c r="I622" i="14"/>
  <c r="I613" i="14"/>
  <c r="I612" i="14"/>
  <c r="I602" i="14"/>
  <c r="I592" i="14"/>
  <c r="I583" i="14"/>
  <c r="I582" i="14"/>
  <c r="I570" i="14"/>
  <c r="I571" i="14"/>
  <c r="I572" i="14"/>
  <c r="I573" i="14"/>
  <c r="I574" i="14"/>
  <c r="I556" i="14"/>
  <c r="I557" i="14"/>
  <c r="I558" i="14"/>
  <c r="I559" i="14"/>
  <c r="I560" i="14"/>
  <c r="I561" i="14"/>
  <c r="I546" i="14"/>
  <c r="I544" i="14"/>
  <c r="I545" i="14"/>
  <c r="I547" i="14"/>
  <c r="I548" i="14"/>
  <c r="I529" i="14"/>
  <c r="I530" i="14"/>
  <c r="I531" i="14"/>
  <c r="I532" i="14"/>
  <c r="I533" i="14"/>
  <c r="I534" i="14"/>
  <c r="I518" i="14"/>
  <c r="I519" i="14"/>
  <c r="I520" i="14"/>
  <c r="I521" i="14"/>
  <c r="I504" i="14"/>
  <c r="I505" i="14"/>
  <c r="I506" i="14"/>
  <c r="I507" i="14"/>
  <c r="I493" i="14"/>
  <c r="I482" i="14"/>
  <c r="I483" i="14"/>
  <c r="I484" i="14"/>
  <c r="I470" i="14"/>
  <c r="I471" i="14"/>
  <c r="I472" i="14"/>
  <c r="I473" i="14"/>
  <c r="I461" i="14"/>
  <c r="I460" i="14"/>
  <c r="I459" i="14"/>
  <c r="I449" i="14"/>
  <c r="I448" i="14"/>
  <c r="I450" i="14"/>
  <c r="I447" i="14"/>
  <c r="I438" i="14"/>
  <c r="I437" i="14"/>
  <c r="I436" i="14"/>
  <c r="I435" i="14"/>
  <c r="I16" i="6"/>
  <c r="F155" i="6"/>
  <c r="F156" i="6"/>
  <c r="F145" i="6"/>
  <c r="F153" i="6"/>
  <c r="F57" i="6"/>
  <c r="F59" i="6"/>
  <c r="F61" i="6"/>
  <c r="F63" i="6"/>
  <c r="F65" i="6"/>
  <c r="F67" i="6"/>
  <c r="F71" i="6"/>
  <c r="F75" i="6"/>
  <c r="F79" i="6"/>
  <c r="F85" i="6"/>
  <c r="F87" i="6"/>
  <c r="F89" i="6"/>
  <c r="F91" i="6"/>
  <c r="F95" i="6"/>
  <c r="F99" i="6"/>
  <c r="F81" i="6"/>
  <c r="F83" i="6"/>
  <c r="F93" i="6"/>
  <c r="F103" i="6"/>
  <c r="F105" i="6"/>
  <c r="F77" i="6"/>
  <c r="F107" i="6"/>
  <c r="F111" i="6"/>
  <c r="F73" i="6"/>
  <c r="F113" i="6"/>
  <c r="F115" i="6"/>
  <c r="F69" i="6"/>
  <c r="F117" i="6"/>
  <c r="F119" i="6"/>
  <c r="F121" i="6"/>
  <c r="F123" i="6"/>
  <c r="F125" i="6"/>
  <c r="F127" i="6"/>
  <c r="F129" i="6"/>
  <c r="F131" i="6"/>
  <c r="F133" i="6"/>
  <c r="F139" i="6"/>
  <c r="F143" i="6"/>
  <c r="F147" i="6"/>
  <c r="F149" i="6"/>
  <c r="F151" i="6"/>
  <c r="F157" i="6"/>
  <c r="F141" i="6"/>
  <c r="F142" i="6"/>
  <c r="F137" i="6"/>
  <c r="F138" i="6"/>
  <c r="F135" i="6"/>
  <c r="F136" i="6"/>
  <c r="F109" i="6"/>
  <c r="F110" i="6"/>
  <c r="F101" i="6"/>
  <c r="F102" i="6"/>
  <c r="F97" i="6"/>
  <c r="F98" i="6"/>
  <c r="F94" i="6"/>
  <c r="F82" i="6"/>
  <c r="F84" i="6"/>
  <c r="F78" i="6"/>
  <c r="F74" i="6"/>
  <c r="F70" i="6"/>
  <c r="F96" i="6"/>
  <c r="I8" i="6"/>
  <c r="F90" i="6"/>
  <c r="F58" i="6"/>
  <c r="F60" i="6"/>
  <c r="F62" i="6"/>
  <c r="F64" i="6"/>
  <c r="F66" i="6"/>
  <c r="F68" i="6"/>
  <c r="F72" i="6"/>
  <c r="F76" i="6"/>
  <c r="F80" i="6"/>
  <c r="F86" i="6"/>
  <c r="F88" i="6"/>
  <c r="F92" i="6"/>
  <c r="F100" i="6"/>
  <c r="F104" i="6"/>
  <c r="F106" i="6"/>
  <c r="F108" i="6"/>
  <c r="F112" i="6"/>
  <c r="F114" i="6"/>
  <c r="F116" i="6"/>
  <c r="F118" i="6"/>
  <c r="F120" i="6"/>
  <c r="F122" i="6"/>
  <c r="F124" i="6"/>
  <c r="F126" i="6"/>
  <c r="F128" i="6"/>
  <c r="F130" i="6"/>
  <c r="F132" i="6"/>
  <c r="F134" i="6"/>
  <c r="F140" i="6"/>
  <c r="F144" i="6"/>
  <c r="F146" i="6"/>
  <c r="F148" i="6"/>
  <c r="F150" i="6"/>
  <c r="F152" i="6"/>
  <c r="F154" i="6"/>
  <c r="F158" i="6"/>
  <c r="I426" i="7"/>
  <c r="I416" i="7"/>
  <c r="I406" i="7"/>
  <c r="I396" i="7"/>
  <c r="I386" i="7"/>
  <c r="I376" i="7"/>
  <c r="I366" i="7"/>
  <c r="I356" i="7"/>
  <c r="I346" i="7"/>
  <c r="I336" i="7"/>
  <c r="I9" i="6"/>
  <c r="I15" i="6"/>
  <c r="I426" i="14"/>
  <c r="I425" i="14"/>
  <c r="I424" i="14"/>
  <c r="I423" i="14"/>
  <c r="I414" i="14"/>
  <c r="I413" i="14"/>
  <c r="I412" i="14"/>
  <c r="I403" i="14"/>
  <c r="I402" i="14"/>
  <c r="I401" i="14"/>
  <c r="I391" i="14"/>
  <c r="I392" i="14"/>
  <c r="I390" i="14"/>
  <c r="I380" i="14"/>
  <c r="I379" i="14"/>
  <c r="I381" i="14"/>
  <c r="I378" i="14"/>
  <c r="I369" i="14"/>
  <c r="I368" i="14"/>
  <c r="I367" i="14"/>
  <c r="I359" i="14"/>
  <c r="I358" i="14"/>
  <c r="I357" i="14"/>
  <c r="I349" i="14"/>
  <c r="I348" i="14"/>
  <c r="I339" i="14"/>
  <c r="I338" i="14"/>
  <c r="I335" i="14"/>
  <c r="I336" i="14"/>
  <c r="I337" i="14"/>
  <c r="I314" i="14"/>
  <c r="I326" i="14"/>
  <c r="I327" i="14"/>
  <c r="I325" i="14"/>
  <c r="I324" i="14"/>
  <c r="I313" i="14"/>
  <c r="I315" i="14"/>
  <c r="I312" i="14"/>
  <c r="I302" i="14"/>
  <c r="I292" i="14"/>
  <c r="I282" i="14"/>
  <c r="I272" i="14"/>
  <c r="I268" i="14"/>
  <c r="I271" i="14"/>
  <c r="I263" i="14"/>
  <c r="I262" i="14"/>
  <c r="I252" i="14"/>
  <c r="I241" i="14"/>
  <c r="I230" i="14"/>
  <c r="I222" i="14"/>
  <c r="I212" i="14"/>
  <c r="I204" i="14"/>
  <c r="I203" i="14"/>
  <c r="I194" i="14"/>
  <c r="I185" i="14"/>
  <c r="I184" i="14"/>
  <c r="I174" i="14"/>
  <c r="I165" i="14"/>
  <c r="I156" i="14"/>
  <c r="I147" i="14"/>
  <c r="I137" i="14"/>
  <c r="I127" i="14"/>
  <c r="I117" i="14"/>
  <c r="I108" i="14"/>
  <c r="I99" i="14"/>
  <c r="I88" i="14"/>
  <c r="I89" i="14"/>
  <c r="I78" i="14"/>
  <c r="I67" i="14"/>
  <c r="I57" i="14"/>
  <c r="I49" i="14"/>
  <c r="I27" i="14"/>
  <c r="I17" i="14"/>
  <c r="I306" i="7"/>
  <c r="I316" i="7"/>
  <c r="I296" i="7"/>
  <c r="I605" i="5"/>
  <c r="I595" i="5"/>
  <c r="I585" i="5"/>
  <c r="I575" i="5"/>
  <c r="I565" i="5"/>
  <c r="I555" i="5"/>
  <c r="I545" i="5"/>
  <c r="I535" i="5"/>
  <c r="I525" i="5"/>
  <c r="I515" i="5"/>
  <c r="I505" i="5"/>
  <c r="I495" i="5"/>
  <c r="I485" i="5"/>
  <c r="I475" i="5"/>
  <c r="I465" i="5"/>
  <c r="I455" i="5"/>
  <c r="I445" i="5"/>
  <c r="I435" i="5"/>
  <c r="I425" i="5"/>
  <c r="I415" i="5"/>
  <c r="I405" i="5"/>
  <c r="I395" i="5"/>
  <c r="I385" i="5"/>
  <c r="I375" i="5"/>
  <c r="I365" i="5"/>
  <c r="I355" i="5"/>
  <c r="I345" i="5"/>
  <c r="I335" i="5"/>
  <c r="I325" i="5"/>
  <c r="I315" i="5"/>
  <c r="I305" i="5"/>
  <c r="I295" i="5"/>
  <c r="I285" i="5"/>
  <c r="I275" i="5"/>
  <c r="I265" i="5"/>
  <c r="I255" i="5"/>
  <c r="I245" i="5"/>
  <c r="I235" i="5"/>
  <c r="I225" i="5"/>
  <c r="I215" i="5"/>
  <c r="I205" i="5"/>
  <c r="I195" i="5"/>
  <c r="I185" i="5"/>
  <c r="I175" i="5"/>
  <c r="I165" i="5"/>
  <c r="I155" i="5"/>
  <c r="I145" i="5"/>
  <c r="I135" i="5"/>
  <c r="I125" i="5"/>
  <c r="I115" i="5"/>
  <c r="I105" i="5"/>
  <c r="I95" i="5"/>
  <c r="I85" i="5"/>
  <c r="I75" i="5"/>
  <c r="I65" i="5"/>
  <c r="I54" i="5"/>
  <c r="I43" i="5"/>
  <c r="I33" i="5"/>
  <c r="I153" i="7"/>
  <c r="I133" i="7"/>
  <c r="I72" i="7"/>
  <c r="I32" i="7"/>
  <c r="I22" i="7"/>
  <c r="C47" i="17"/>
  <c r="C28" i="4"/>
  <c r="F54" i="1"/>
  <c r="F53" i="1"/>
  <c r="F52" i="1"/>
  <c r="N9" i="2" s="1"/>
  <c r="G10" i="8" s="1"/>
  <c r="B215" i="18"/>
  <c r="A215" i="18"/>
  <c r="H258" i="8"/>
  <c r="C70" i="1"/>
  <c r="C94" i="1" s="1"/>
  <c r="I607" i="5"/>
  <c r="I606" i="5"/>
  <c r="I604" i="5"/>
  <c r="I603" i="5"/>
  <c r="I602" i="5"/>
  <c r="N601" i="5"/>
  <c r="Y601" i="5"/>
  <c r="E124" i="13"/>
  <c r="F124" i="13"/>
  <c r="G124" i="13"/>
  <c r="H124" i="13"/>
  <c r="E79" i="13"/>
  <c r="F79" i="13"/>
  <c r="G79" i="13"/>
  <c r="H79" i="13"/>
  <c r="E80" i="13"/>
  <c r="F80" i="13"/>
  <c r="G80" i="13"/>
  <c r="H80" i="13"/>
  <c r="E81" i="13"/>
  <c r="E84" i="13"/>
  <c r="E88" i="13"/>
  <c r="E103" i="13" s="1"/>
  <c r="E89" i="13"/>
  <c r="F89" i="13"/>
  <c r="G89" i="13"/>
  <c r="H89" i="13"/>
  <c r="E78" i="13"/>
  <c r="E96" i="13" s="1"/>
  <c r="E113" i="13" s="1"/>
  <c r="F78" i="13"/>
  <c r="F96" i="13" s="1"/>
  <c r="F113" i="13" s="1"/>
  <c r="G78" i="13"/>
  <c r="G96" i="13" s="1"/>
  <c r="G113" i="13" s="1"/>
  <c r="H78" i="13"/>
  <c r="H96" i="13" s="1"/>
  <c r="H113" i="13" s="1"/>
  <c r="I98" i="14"/>
  <c r="I107" i="14"/>
  <c r="I193" i="14"/>
  <c r="C37" i="13"/>
  <c r="C30" i="13" s="1"/>
  <c r="I32" i="13"/>
  <c r="N30" i="13"/>
  <c r="G37" i="8" s="1"/>
  <c r="S30" i="13"/>
  <c r="C51" i="13"/>
  <c r="C44" i="13"/>
  <c r="I45" i="13"/>
  <c r="I46" i="13"/>
  <c r="I47" i="13"/>
  <c r="I48" i="13"/>
  <c r="I49" i="13"/>
  <c r="N44" i="13"/>
  <c r="R45" i="13"/>
  <c r="S45" i="13"/>
  <c r="R46" i="13"/>
  <c r="S46" i="13"/>
  <c r="R47" i="13"/>
  <c r="S47" i="13" s="1"/>
  <c r="R48" i="13"/>
  <c r="S48" i="13" s="1"/>
  <c r="R49" i="13"/>
  <c r="S49" i="13" s="1"/>
  <c r="C60" i="1"/>
  <c r="C66" i="1" s="1"/>
  <c r="C79" i="1"/>
  <c r="C113" i="1"/>
  <c r="C80" i="4"/>
  <c r="E80" i="4" s="1"/>
  <c r="C97" i="4"/>
  <c r="E97" i="4"/>
  <c r="G97" i="4" s="1"/>
  <c r="C74" i="4"/>
  <c r="E74" i="4" s="1"/>
  <c r="C73" i="4"/>
  <c r="E73" i="4" s="1"/>
  <c r="C116" i="4"/>
  <c r="E116" i="4" s="1"/>
  <c r="G116" i="4" s="1"/>
  <c r="C132" i="4"/>
  <c r="E132" i="4" s="1"/>
  <c r="G132" i="4" s="1"/>
  <c r="I132" i="4" s="1"/>
  <c r="C76" i="4"/>
  <c r="E76" i="4"/>
  <c r="C75" i="4"/>
  <c r="E75" i="4"/>
  <c r="C79" i="4"/>
  <c r="E79" i="4"/>
  <c r="C23" i="12"/>
  <c r="C10" i="1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2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79" i="22"/>
  <c r="B78" i="22"/>
  <c r="B77" i="22"/>
  <c r="B76" i="22"/>
  <c r="B75" i="22"/>
  <c r="B74" i="22"/>
  <c r="B73" i="22"/>
  <c r="B72" i="22"/>
  <c r="B71" i="22"/>
  <c r="B70" i="22"/>
  <c r="B49" i="22"/>
  <c r="B48" i="22"/>
  <c r="B47" i="22"/>
  <c r="B14" i="21"/>
  <c r="B13" i="21"/>
  <c r="I903" i="14"/>
  <c r="I892" i="14"/>
  <c r="I882" i="14"/>
  <c r="I902" i="14"/>
  <c r="I901" i="14"/>
  <c r="I900" i="14"/>
  <c r="R899" i="14"/>
  <c r="I899" i="14"/>
  <c r="R898" i="14"/>
  <c r="I898" i="14"/>
  <c r="I897" i="14"/>
  <c r="Y897" i="14"/>
  <c r="S897" i="14"/>
  <c r="N897" i="14"/>
  <c r="I891" i="14"/>
  <c r="I890" i="14"/>
  <c r="I889" i="14"/>
  <c r="R888" i="14"/>
  <c r="I888" i="14"/>
  <c r="R887" i="14"/>
  <c r="I887" i="14"/>
  <c r="Y886" i="14"/>
  <c r="S886" i="14"/>
  <c r="N886" i="14"/>
  <c r="I881" i="14"/>
  <c r="I880" i="14"/>
  <c r="I879" i="14"/>
  <c r="R878" i="14"/>
  <c r="I878" i="14"/>
  <c r="R877" i="14"/>
  <c r="I877" i="14"/>
  <c r="Y876" i="14"/>
  <c r="S876" i="14"/>
  <c r="N876" i="14"/>
  <c r="N341" i="14"/>
  <c r="S341" i="14"/>
  <c r="Y341" i="14"/>
  <c r="I342" i="14"/>
  <c r="R342" i="14"/>
  <c r="I343" i="14"/>
  <c r="R343" i="14"/>
  <c r="I344" i="14"/>
  <c r="I345" i="14"/>
  <c r="I346" i="14"/>
  <c r="I347" i="14"/>
  <c r="B80" i="20"/>
  <c r="B175" i="20"/>
  <c r="B171" i="20"/>
  <c r="B74" i="20"/>
  <c r="B49" i="20"/>
  <c r="B48" i="20"/>
  <c r="B47" i="20"/>
  <c r="B66" i="18"/>
  <c r="B58" i="18"/>
  <c r="B59" i="18"/>
  <c r="B60" i="18"/>
  <c r="B61" i="18"/>
  <c r="B62" i="18"/>
  <c r="B63" i="18"/>
  <c r="B64" i="18"/>
  <c r="B65" i="18"/>
  <c r="B57" i="18"/>
  <c r="I97" i="16"/>
  <c r="F108" i="8" s="1"/>
  <c r="Y97" i="16"/>
  <c r="S97" i="16"/>
  <c r="N97" i="16"/>
  <c r="I10" i="6"/>
  <c r="Y13" i="6"/>
  <c r="C11" i="12"/>
  <c r="C13" i="12"/>
  <c r="C17" i="12" s="1"/>
  <c r="I11" i="6"/>
  <c r="I12" i="6"/>
  <c r="I14" i="6"/>
  <c r="Y12" i="6"/>
  <c r="Y9" i="6"/>
  <c r="Y10" i="6"/>
  <c r="Y11" i="6"/>
  <c r="Y7" i="6"/>
  <c r="N7" i="6"/>
  <c r="R8" i="6"/>
  <c r="R9" i="6"/>
  <c r="S9" i="6" s="1"/>
  <c r="R10" i="6"/>
  <c r="S10" i="6" s="1"/>
  <c r="R11" i="6"/>
  <c r="S11" i="6" s="1"/>
  <c r="R12" i="6"/>
  <c r="S12" i="6" s="1"/>
  <c r="C25" i="12"/>
  <c r="C30" i="12" s="1"/>
  <c r="C24" i="12"/>
  <c r="C29" i="12" s="1"/>
  <c r="C28" i="12"/>
  <c r="C21" i="12"/>
  <c r="C27" i="12"/>
  <c r="C15" i="12"/>
  <c r="C18" i="12"/>
  <c r="B13" i="12"/>
  <c r="I24" i="13"/>
  <c r="I23" i="13"/>
  <c r="I22" i="13"/>
  <c r="I21" i="13"/>
  <c r="I20" i="13"/>
  <c r="I19" i="13" s="1"/>
  <c r="N19" i="13"/>
  <c r="S19" i="13"/>
  <c r="N8" i="13"/>
  <c r="I10" i="13"/>
  <c r="I8" i="13" s="1"/>
  <c r="S8" i="13"/>
  <c r="I600" i="7"/>
  <c r="I601" i="7"/>
  <c r="I602" i="7"/>
  <c r="I603" i="7"/>
  <c r="I604" i="7"/>
  <c r="I605" i="7"/>
  <c r="N599" i="7"/>
  <c r="G91" i="8" s="1"/>
  <c r="Y599" i="7"/>
  <c r="I91" i="8" s="1"/>
  <c r="S599" i="7"/>
  <c r="H91" i="8" s="1"/>
  <c r="I591" i="7"/>
  <c r="I592" i="7"/>
  <c r="I593" i="7"/>
  <c r="I594" i="7"/>
  <c r="I595" i="7"/>
  <c r="I596" i="7"/>
  <c r="I590" i="7" s="1"/>
  <c r="N590" i="7"/>
  <c r="Y590" i="7"/>
  <c r="S590" i="7"/>
  <c r="I582" i="7"/>
  <c r="I583" i="7"/>
  <c r="I584" i="7"/>
  <c r="I585" i="7"/>
  <c r="I586" i="7"/>
  <c r="N581" i="7"/>
  <c r="Y581" i="7"/>
  <c r="S581" i="7"/>
  <c r="I573" i="7"/>
  <c r="I574" i="7"/>
  <c r="I575" i="7"/>
  <c r="I576" i="7"/>
  <c r="I577" i="7"/>
  <c r="I578" i="7"/>
  <c r="N572" i="7"/>
  <c r="G95" i="8" s="1"/>
  <c r="Y572" i="7"/>
  <c r="I95" i="8" s="1"/>
  <c r="S572" i="7"/>
  <c r="H95" i="8" s="1"/>
  <c r="I564" i="7"/>
  <c r="I565" i="7"/>
  <c r="I566" i="7"/>
  <c r="I568" i="7"/>
  <c r="I567" i="7"/>
  <c r="I563" i="7"/>
  <c r="F96" i="8" s="1"/>
  <c r="N563" i="7"/>
  <c r="G96" i="8" s="1"/>
  <c r="Y563" i="7"/>
  <c r="I96" i="8" s="1"/>
  <c r="S563" i="7"/>
  <c r="H96" i="8" s="1"/>
  <c r="I555" i="7"/>
  <c r="I556" i="7"/>
  <c r="I557" i="7"/>
  <c r="I558" i="7"/>
  <c r="I559" i="7"/>
  <c r="N554" i="7"/>
  <c r="G97" i="8" s="1"/>
  <c r="Y554" i="7"/>
  <c r="I97" i="8" s="1"/>
  <c r="S554" i="7"/>
  <c r="H97" i="8" s="1"/>
  <c r="I513" i="7"/>
  <c r="I514" i="7"/>
  <c r="I515" i="7"/>
  <c r="I517" i="7"/>
  <c r="I518" i="7"/>
  <c r="N512" i="7"/>
  <c r="S512" i="7"/>
  <c r="Y512" i="7"/>
  <c r="I503" i="7"/>
  <c r="I504" i="7"/>
  <c r="I505" i="7"/>
  <c r="I507" i="7"/>
  <c r="I508" i="7"/>
  <c r="N502" i="7"/>
  <c r="S502" i="7"/>
  <c r="Y502" i="7"/>
  <c r="I463" i="7"/>
  <c r="I464" i="7"/>
  <c r="I465" i="7"/>
  <c r="I467" i="7"/>
  <c r="I468" i="7"/>
  <c r="N462" i="7"/>
  <c r="S462" i="7"/>
  <c r="Y462" i="7"/>
  <c r="I453" i="7"/>
  <c r="I454" i="7"/>
  <c r="I455" i="7"/>
  <c r="I457" i="7"/>
  <c r="I458" i="7"/>
  <c r="I452" i="7"/>
  <c r="N452" i="7"/>
  <c r="F70" i="13" s="1"/>
  <c r="F88" i="13" s="1"/>
  <c r="F103" i="13" s="1"/>
  <c r="S452" i="7"/>
  <c r="G70" i="13" s="1"/>
  <c r="G88" i="13" s="1"/>
  <c r="G103" i="13" s="1"/>
  <c r="Y452" i="7"/>
  <c r="H70" i="13" s="1"/>
  <c r="H88" i="13" s="1"/>
  <c r="H103" i="13" s="1"/>
  <c r="I443" i="7"/>
  <c r="I444" i="7"/>
  <c r="I445" i="7"/>
  <c r="I447" i="7"/>
  <c r="I448" i="7"/>
  <c r="N442" i="7"/>
  <c r="S442" i="7"/>
  <c r="Y442" i="7"/>
  <c r="I433" i="7"/>
  <c r="I434" i="7"/>
  <c r="I435" i="7"/>
  <c r="I437" i="7"/>
  <c r="I438" i="7"/>
  <c r="N432" i="7"/>
  <c r="F123" i="13" s="1"/>
  <c r="S432" i="7"/>
  <c r="G123" i="13" s="1"/>
  <c r="Y432" i="7"/>
  <c r="H123" i="13" s="1"/>
  <c r="I423" i="7"/>
  <c r="I424" i="7"/>
  <c r="I425" i="7"/>
  <c r="I427" i="7"/>
  <c r="I428" i="7"/>
  <c r="N422" i="7"/>
  <c r="F66" i="13" s="1"/>
  <c r="F84" i="13" s="1"/>
  <c r="S422" i="7"/>
  <c r="G66" i="13" s="1"/>
  <c r="G84" i="13" s="1"/>
  <c r="Y422" i="7"/>
  <c r="H66" i="13" s="1"/>
  <c r="H84" i="13" s="1"/>
  <c r="I413" i="7"/>
  <c r="I412" i="7" s="1"/>
  <c r="I414" i="7"/>
  <c r="I415" i="7"/>
  <c r="I417" i="7"/>
  <c r="I418" i="7"/>
  <c r="N412" i="7"/>
  <c r="S412" i="7"/>
  <c r="Y412" i="7"/>
  <c r="I403" i="7"/>
  <c r="I404" i="7"/>
  <c r="I405" i="7"/>
  <c r="I407" i="7"/>
  <c r="I408" i="7"/>
  <c r="N402" i="7"/>
  <c r="S402" i="7"/>
  <c r="Y402" i="7"/>
  <c r="I393" i="7"/>
  <c r="I394" i="7"/>
  <c r="I395" i="7"/>
  <c r="I397" i="7"/>
  <c r="I398" i="7"/>
  <c r="N392" i="7"/>
  <c r="S392" i="7"/>
  <c r="Y392" i="7"/>
  <c r="I383" i="7"/>
  <c r="I384" i="7"/>
  <c r="I385" i="7"/>
  <c r="I387" i="7"/>
  <c r="I388" i="7"/>
  <c r="N382" i="7"/>
  <c r="S382" i="7"/>
  <c r="Y382" i="7"/>
  <c r="I373" i="7"/>
  <c r="I374" i="7"/>
  <c r="I375" i="7"/>
  <c r="I377" i="7"/>
  <c r="I378" i="7"/>
  <c r="N372" i="7"/>
  <c r="S372" i="7"/>
  <c r="Y372" i="7"/>
  <c r="I309" i="8" s="1"/>
  <c r="I363" i="7"/>
  <c r="I364" i="7"/>
  <c r="I365" i="7"/>
  <c r="I367" i="7"/>
  <c r="I368" i="7"/>
  <c r="N362" i="7"/>
  <c r="S362" i="7"/>
  <c r="Y362" i="7"/>
  <c r="I353" i="7"/>
  <c r="I354" i="7"/>
  <c r="I355" i="7"/>
  <c r="I357" i="7"/>
  <c r="I358" i="7"/>
  <c r="I352" i="7"/>
  <c r="N352" i="7"/>
  <c r="S352" i="7"/>
  <c r="Y352" i="7"/>
  <c r="I343" i="7"/>
  <c r="I344" i="7"/>
  <c r="I345" i="7"/>
  <c r="I347" i="7"/>
  <c r="I348" i="7"/>
  <c r="I342" i="7" s="1"/>
  <c r="N342" i="7"/>
  <c r="S342" i="7"/>
  <c r="Y342" i="7"/>
  <c r="I333" i="7"/>
  <c r="I334" i="7"/>
  <c r="I335" i="7"/>
  <c r="I337" i="7"/>
  <c r="I338" i="7"/>
  <c r="N332" i="7"/>
  <c r="S332" i="7"/>
  <c r="Y332" i="7"/>
  <c r="I302" i="8" s="1"/>
  <c r="I323" i="7"/>
  <c r="I324" i="7"/>
  <c r="I325" i="7"/>
  <c r="I327" i="7"/>
  <c r="I328" i="7"/>
  <c r="I322" i="7" s="1"/>
  <c r="N322" i="7"/>
  <c r="S322" i="7"/>
  <c r="Y322" i="7"/>
  <c r="S312" i="7"/>
  <c r="I313" i="7"/>
  <c r="I314" i="7"/>
  <c r="I315" i="7"/>
  <c r="I317" i="7"/>
  <c r="I318" i="7"/>
  <c r="N312" i="7"/>
  <c r="Y312" i="7"/>
  <c r="I303" i="7"/>
  <c r="I304" i="7"/>
  <c r="I305" i="7"/>
  <c r="I307" i="7"/>
  <c r="I308" i="7"/>
  <c r="I302" i="7" s="1"/>
  <c r="N302" i="7"/>
  <c r="Y302" i="7"/>
  <c r="I293" i="7"/>
  <c r="I294" i="7"/>
  <c r="I295" i="7"/>
  <c r="I297" i="7"/>
  <c r="I298" i="7"/>
  <c r="N292" i="7"/>
  <c r="Y292" i="7"/>
  <c r="I283" i="7"/>
  <c r="I284" i="7"/>
  <c r="I285" i="7"/>
  <c r="I287" i="7"/>
  <c r="I288" i="7"/>
  <c r="N282" i="7"/>
  <c r="Y282" i="7"/>
  <c r="I273" i="7"/>
  <c r="I272" i="7" s="1"/>
  <c r="I274" i="7"/>
  <c r="I275" i="7"/>
  <c r="I277" i="7"/>
  <c r="I278" i="7"/>
  <c r="N272" i="7"/>
  <c r="R273" i="7"/>
  <c r="Y272" i="7"/>
  <c r="N211" i="7"/>
  <c r="G45" i="8" s="1"/>
  <c r="R212" i="7"/>
  <c r="S212" i="7" s="1"/>
  <c r="Y211" i="7"/>
  <c r="I45" i="8" s="1"/>
  <c r="I150" i="7"/>
  <c r="I151" i="7"/>
  <c r="I154" i="7"/>
  <c r="I155" i="7"/>
  <c r="N149" i="7"/>
  <c r="G270" i="8" s="1"/>
  <c r="R150" i="7"/>
  <c r="Y149" i="7"/>
  <c r="I270" i="8" s="1"/>
  <c r="I130" i="7"/>
  <c r="I131" i="7"/>
  <c r="I134" i="7"/>
  <c r="I135" i="7"/>
  <c r="N129" i="7"/>
  <c r="G262" i="8" s="1"/>
  <c r="R130" i="7"/>
  <c r="Y129" i="7"/>
  <c r="I262" i="8" s="1"/>
  <c r="I120" i="7"/>
  <c r="I121" i="7"/>
  <c r="I124" i="7"/>
  <c r="I125" i="7"/>
  <c r="N119" i="7"/>
  <c r="G275" i="8" s="1"/>
  <c r="S119" i="7"/>
  <c r="H275" i="8" s="1"/>
  <c r="Y119" i="7"/>
  <c r="I275" i="8" s="1"/>
  <c r="I110" i="7"/>
  <c r="I111" i="7"/>
  <c r="I114" i="7"/>
  <c r="I115" i="7"/>
  <c r="N109" i="7"/>
  <c r="G273" i="8" s="1"/>
  <c r="R110" i="7"/>
  <c r="Y109" i="7"/>
  <c r="I273" i="8" s="1"/>
  <c r="I100" i="7"/>
  <c r="I101" i="7"/>
  <c r="I104" i="7"/>
  <c r="I105" i="7"/>
  <c r="N99" i="7"/>
  <c r="G274" i="8" s="1"/>
  <c r="S99" i="7"/>
  <c r="H274" i="8" s="1"/>
  <c r="Y99" i="7"/>
  <c r="I274" i="8" s="1"/>
  <c r="I89" i="7"/>
  <c r="I90" i="7"/>
  <c r="I93" i="7"/>
  <c r="I94" i="7"/>
  <c r="N88" i="7"/>
  <c r="S88" i="7"/>
  <c r="Y88" i="7"/>
  <c r="I79" i="7"/>
  <c r="I80" i="7"/>
  <c r="I83" i="7"/>
  <c r="I84" i="7"/>
  <c r="N78" i="7"/>
  <c r="G268" i="8" s="1"/>
  <c r="S78" i="7"/>
  <c r="H268" i="8" s="1"/>
  <c r="Y78" i="7"/>
  <c r="I268" i="8" s="1"/>
  <c r="I69" i="7"/>
  <c r="I70" i="7"/>
  <c r="I73" i="7"/>
  <c r="I74" i="7"/>
  <c r="N68" i="7"/>
  <c r="G272" i="8" s="1"/>
  <c r="R69" i="7"/>
  <c r="Y68" i="7"/>
  <c r="I272" i="8" s="1"/>
  <c r="I59" i="7"/>
  <c r="I60" i="7"/>
  <c r="I63" i="7"/>
  <c r="I64" i="7"/>
  <c r="N58" i="7"/>
  <c r="G261" i="8" s="1"/>
  <c r="S58" i="7"/>
  <c r="H261" i="8" s="1"/>
  <c r="Y58" i="7"/>
  <c r="I261" i="8" s="1"/>
  <c r="I49" i="7"/>
  <c r="I50" i="7"/>
  <c r="I53" i="7"/>
  <c r="I54" i="7"/>
  <c r="N48" i="7"/>
  <c r="R49" i="7"/>
  <c r="Y48" i="7"/>
  <c r="I39" i="7"/>
  <c r="I40" i="7"/>
  <c r="I43" i="7"/>
  <c r="I44" i="7"/>
  <c r="N38" i="7"/>
  <c r="G271" i="8" s="1"/>
  <c r="R39" i="7"/>
  <c r="Y38" i="7"/>
  <c r="I271" i="8" s="1"/>
  <c r="I29" i="7"/>
  <c r="I30" i="7"/>
  <c r="I33" i="7"/>
  <c r="I34" i="7"/>
  <c r="N28" i="7"/>
  <c r="S28" i="7"/>
  <c r="Y28" i="7"/>
  <c r="I19" i="7"/>
  <c r="I20" i="7"/>
  <c r="I23" i="7"/>
  <c r="I24" i="7"/>
  <c r="I18" i="7"/>
  <c r="F263" i="8" s="1"/>
  <c r="N18" i="7"/>
  <c r="G263" i="8" s="1"/>
  <c r="S18" i="7"/>
  <c r="H263" i="8" s="1"/>
  <c r="Y18" i="7"/>
  <c r="I263" i="8" s="1"/>
  <c r="I13" i="7"/>
  <c r="I14" i="7"/>
  <c r="N8" i="7"/>
  <c r="G260" i="8" s="1"/>
  <c r="R9" i="7"/>
  <c r="Y8" i="7"/>
  <c r="I260" i="8" s="1"/>
  <c r="S591" i="5"/>
  <c r="S581" i="5"/>
  <c r="H257" i="8" s="1"/>
  <c r="S571" i="5"/>
  <c r="S561" i="5"/>
  <c r="S551" i="5"/>
  <c r="S541" i="5"/>
  <c r="S531" i="5"/>
  <c r="S521" i="5"/>
  <c r="S511" i="5"/>
  <c r="S501" i="5"/>
  <c r="S491" i="5"/>
  <c r="S481" i="5"/>
  <c r="S50" i="5"/>
  <c r="I867" i="14"/>
  <c r="I868" i="14"/>
  <c r="I869" i="14"/>
  <c r="I870" i="14"/>
  <c r="I871" i="14"/>
  <c r="N866" i="14"/>
  <c r="S866" i="14"/>
  <c r="Y866" i="14"/>
  <c r="I857" i="14"/>
  <c r="I858" i="14"/>
  <c r="I859" i="14"/>
  <c r="I860" i="14"/>
  <c r="I861" i="14"/>
  <c r="N856" i="14"/>
  <c r="S856" i="14"/>
  <c r="Y856" i="14"/>
  <c r="I847" i="14"/>
  <c r="I848" i="14"/>
  <c r="I849" i="14"/>
  <c r="I850" i="14"/>
  <c r="I851" i="14"/>
  <c r="N846" i="14"/>
  <c r="S846" i="14"/>
  <c r="Y846" i="14"/>
  <c r="I837" i="14"/>
  <c r="I838" i="14"/>
  <c r="I839" i="14"/>
  <c r="I840" i="14"/>
  <c r="I841" i="14"/>
  <c r="N836" i="14"/>
  <c r="S836" i="14"/>
  <c r="Y836" i="14"/>
  <c r="I827" i="14"/>
  <c r="I828" i="14"/>
  <c r="I829" i="14"/>
  <c r="I830" i="14"/>
  <c r="I831" i="14"/>
  <c r="N826" i="14"/>
  <c r="S826" i="14"/>
  <c r="Y826" i="14"/>
  <c r="I817" i="14"/>
  <c r="I818" i="14"/>
  <c r="I819" i="14"/>
  <c r="I820" i="14"/>
  <c r="I821" i="14"/>
  <c r="N816" i="14"/>
  <c r="S816" i="14"/>
  <c r="Y816" i="14"/>
  <c r="I807" i="14"/>
  <c r="I808" i="14"/>
  <c r="I809" i="14"/>
  <c r="I810" i="14"/>
  <c r="I811" i="14"/>
  <c r="N806" i="14"/>
  <c r="S806" i="14"/>
  <c r="Y806" i="14"/>
  <c r="I797" i="14"/>
  <c r="I798" i="14"/>
  <c r="I799" i="14"/>
  <c r="I800" i="14"/>
  <c r="I801" i="14"/>
  <c r="I796" i="14"/>
  <c r="N796" i="14"/>
  <c r="S796" i="14"/>
  <c r="Y796" i="14"/>
  <c r="I787" i="14"/>
  <c r="I788" i="14"/>
  <c r="I789" i="14"/>
  <c r="I790" i="14"/>
  <c r="I791" i="14"/>
  <c r="N786" i="14"/>
  <c r="S786" i="14"/>
  <c r="Y786" i="14"/>
  <c r="I777" i="14"/>
  <c r="I778" i="14"/>
  <c r="I779" i="14"/>
  <c r="I780" i="14"/>
  <c r="I781" i="14"/>
  <c r="N776" i="14"/>
  <c r="S776" i="14"/>
  <c r="Y776" i="14"/>
  <c r="I767" i="14"/>
  <c r="I768" i="14"/>
  <c r="I769" i="14"/>
  <c r="I770" i="14"/>
  <c r="I771" i="14"/>
  <c r="N766" i="14"/>
  <c r="S766" i="14"/>
  <c r="Y766" i="14"/>
  <c r="I757" i="14"/>
  <c r="I758" i="14"/>
  <c r="I759" i="14"/>
  <c r="I760" i="14"/>
  <c r="I761" i="14"/>
  <c r="N756" i="14"/>
  <c r="S756" i="14"/>
  <c r="Y756" i="14"/>
  <c r="I747" i="14"/>
  <c r="I748" i="14"/>
  <c r="I749" i="14"/>
  <c r="I750" i="14"/>
  <c r="I751" i="14"/>
  <c r="N746" i="14"/>
  <c r="S746" i="14"/>
  <c r="Y746" i="14"/>
  <c r="I737" i="14"/>
  <c r="I738" i="14"/>
  <c r="I739" i="14"/>
  <c r="I740" i="14"/>
  <c r="N736" i="14"/>
  <c r="S736" i="14"/>
  <c r="Y736" i="14"/>
  <c r="I727" i="14"/>
  <c r="I728" i="14"/>
  <c r="I729" i="14"/>
  <c r="I730" i="14"/>
  <c r="I731" i="14"/>
  <c r="N726" i="14"/>
  <c r="S726" i="14"/>
  <c r="Y726" i="14"/>
  <c r="I717" i="14"/>
  <c r="I718" i="14"/>
  <c r="I719" i="14"/>
  <c r="I720" i="14"/>
  <c r="I721" i="14"/>
  <c r="N716" i="14"/>
  <c r="S716" i="14"/>
  <c r="Y716" i="14"/>
  <c r="I707" i="14"/>
  <c r="I708" i="14"/>
  <c r="I709" i="14"/>
  <c r="I710" i="14"/>
  <c r="I711" i="14"/>
  <c r="N706" i="14"/>
  <c r="S706" i="14"/>
  <c r="Y706" i="14"/>
  <c r="I697" i="14"/>
  <c r="I698" i="14"/>
  <c r="I699" i="14"/>
  <c r="I700" i="14"/>
  <c r="I701" i="14"/>
  <c r="N696" i="14"/>
  <c r="S696" i="14"/>
  <c r="Y696" i="14"/>
  <c r="I687" i="14"/>
  <c r="I688" i="14"/>
  <c r="I689" i="14"/>
  <c r="I690" i="14"/>
  <c r="I691" i="14"/>
  <c r="N686" i="14"/>
  <c r="S686" i="14"/>
  <c r="Y686" i="14"/>
  <c r="I677" i="14"/>
  <c r="I678" i="14"/>
  <c r="I679" i="14"/>
  <c r="I680" i="14"/>
  <c r="I681" i="14"/>
  <c r="I676" i="14" s="1"/>
  <c r="N676" i="14"/>
  <c r="S676" i="14"/>
  <c r="Y676" i="14"/>
  <c r="I667" i="14"/>
  <c r="I668" i="14"/>
  <c r="I669" i="14"/>
  <c r="I670" i="14"/>
  <c r="I671" i="14"/>
  <c r="N666" i="14"/>
  <c r="S666" i="14"/>
  <c r="Y666" i="14"/>
  <c r="I657" i="14"/>
  <c r="I658" i="14"/>
  <c r="I659" i="14"/>
  <c r="I660" i="14"/>
  <c r="I661" i="14"/>
  <c r="N656" i="14"/>
  <c r="S656" i="14"/>
  <c r="Y656" i="14"/>
  <c r="I647" i="14"/>
  <c r="I648" i="14"/>
  <c r="I649" i="14"/>
  <c r="I650" i="14"/>
  <c r="I651" i="14"/>
  <c r="N646" i="14"/>
  <c r="S646" i="14"/>
  <c r="Y646" i="14"/>
  <c r="I637" i="14"/>
  <c r="I638" i="14"/>
  <c r="I639" i="14"/>
  <c r="I640" i="14"/>
  <c r="I641" i="14"/>
  <c r="N636" i="14"/>
  <c r="S636" i="14"/>
  <c r="Y636" i="14"/>
  <c r="I627" i="14"/>
  <c r="I628" i="14"/>
  <c r="I629" i="14"/>
  <c r="I630" i="14"/>
  <c r="I631" i="14"/>
  <c r="N626" i="14"/>
  <c r="S626" i="14"/>
  <c r="Y626" i="14"/>
  <c r="I617" i="14"/>
  <c r="I618" i="14"/>
  <c r="I619" i="14"/>
  <c r="I620" i="14"/>
  <c r="I621" i="14"/>
  <c r="N616" i="14"/>
  <c r="S616" i="14"/>
  <c r="Y616" i="14"/>
  <c r="I607" i="14"/>
  <c r="I608" i="14"/>
  <c r="I609" i="14"/>
  <c r="I610" i="14"/>
  <c r="I611" i="14"/>
  <c r="N606" i="14"/>
  <c r="S606" i="14"/>
  <c r="Y606" i="14"/>
  <c r="I597" i="14"/>
  <c r="I598" i="14"/>
  <c r="I599" i="14"/>
  <c r="I600" i="14"/>
  <c r="I601" i="14"/>
  <c r="N596" i="14"/>
  <c r="S596" i="14"/>
  <c r="Y596" i="14"/>
  <c r="I587" i="14"/>
  <c r="I588" i="14"/>
  <c r="I589" i="14"/>
  <c r="I590" i="14"/>
  <c r="I591" i="14"/>
  <c r="N586" i="14"/>
  <c r="S586" i="14"/>
  <c r="Y586" i="14"/>
  <c r="I577" i="14"/>
  <c r="I578" i="14"/>
  <c r="I579" i="14"/>
  <c r="I580" i="14"/>
  <c r="I581" i="14"/>
  <c r="N576" i="14"/>
  <c r="S576" i="14"/>
  <c r="Y576" i="14"/>
  <c r="I564" i="14"/>
  <c r="I565" i="14"/>
  <c r="I566" i="14"/>
  <c r="I567" i="14"/>
  <c r="I568" i="14"/>
  <c r="I569" i="14"/>
  <c r="N563" i="14"/>
  <c r="S563" i="14"/>
  <c r="Y563" i="14"/>
  <c r="I551" i="14"/>
  <c r="I552" i="14"/>
  <c r="I553" i="14"/>
  <c r="I554" i="14"/>
  <c r="I555" i="14"/>
  <c r="N550" i="14"/>
  <c r="S550" i="14"/>
  <c r="Y550" i="14"/>
  <c r="I538" i="14"/>
  <c r="I539" i="14"/>
  <c r="I540" i="14"/>
  <c r="I541" i="14"/>
  <c r="I542" i="14"/>
  <c r="I543" i="14"/>
  <c r="N537" i="14"/>
  <c r="S537" i="14"/>
  <c r="Y537" i="14"/>
  <c r="I525" i="14"/>
  <c r="I526" i="14"/>
  <c r="I527" i="14"/>
  <c r="I528" i="14"/>
  <c r="N524" i="14"/>
  <c r="S524" i="14"/>
  <c r="Y524" i="14"/>
  <c r="I512" i="14"/>
  <c r="I513" i="14"/>
  <c r="I514" i="14"/>
  <c r="I515" i="14"/>
  <c r="I516" i="14"/>
  <c r="I517" i="14"/>
  <c r="N511" i="14"/>
  <c r="S511" i="14"/>
  <c r="Y511" i="14"/>
  <c r="I498" i="14"/>
  <c r="I499" i="14"/>
  <c r="I500" i="14"/>
  <c r="I501" i="14"/>
  <c r="I502" i="14"/>
  <c r="I503" i="14"/>
  <c r="N497" i="14"/>
  <c r="S497" i="14"/>
  <c r="Y497" i="14"/>
  <c r="I488" i="14"/>
  <c r="I489" i="14"/>
  <c r="I490" i="14"/>
  <c r="I491" i="14"/>
  <c r="I492" i="14"/>
  <c r="N487" i="14"/>
  <c r="S487" i="14"/>
  <c r="Y487" i="14"/>
  <c r="I476" i="14"/>
  <c r="I477" i="14"/>
  <c r="I478" i="14"/>
  <c r="I479" i="14"/>
  <c r="I480" i="14"/>
  <c r="I481" i="14"/>
  <c r="N475" i="14"/>
  <c r="S475" i="14"/>
  <c r="Y475" i="14"/>
  <c r="I465" i="14"/>
  <c r="I466" i="14"/>
  <c r="I467" i="14"/>
  <c r="I468" i="14"/>
  <c r="I469" i="14"/>
  <c r="N464" i="14"/>
  <c r="S464" i="14"/>
  <c r="Y464" i="14"/>
  <c r="I453" i="14"/>
  <c r="I454" i="14"/>
  <c r="I455" i="14"/>
  <c r="I456" i="14"/>
  <c r="I457" i="14"/>
  <c r="I458" i="14"/>
  <c r="N452" i="14"/>
  <c r="S452" i="14"/>
  <c r="Y452" i="14"/>
  <c r="I441" i="14"/>
  <c r="I442" i="14"/>
  <c r="I443" i="14"/>
  <c r="I444" i="14"/>
  <c r="I445" i="14"/>
  <c r="I446" i="14"/>
  <c r="N440" i="14"/>
  <c r="S440" i="14"/>
  <c r="Y440" i="14"/>
  <c r="I429" i="14"/>
  <c r="I430" i="14"/>
  <c r="I431" i="14"/>
  <c r="I432" i="14"/>
  <c r="I433" i="14"/>
  <c r="I434" i="14"/>
  <c r="N428" i="14"/>
  <c r="S428" i="14"/>
  <c r="Y428" i="14"/>
  <c r="I417" i="14"/>
  <c r="I418" i="14"/>
  <c r="I419" i="14"/>
  <c r="I420" i="14"/>
  <c r="I421" i="14"/>
  <c r="I422" i="14"/>
  <c r="N416" i="14"/>
  <c r="S416" i="14"/>
  <c r="Y416" i="14"/>
  <c r="I406" i="14"/>
  <c r="I407" i="14"/>
  <c r="I408" i="14"/>
  <c r="I409" i="14"/>
  <c r="I410" i="14"/>
  <c r="I411" i="14"/>
  <c r="N405" i="14"/>
  <c r="S405" i="14"/>
  <c r="Y405" i="14"/>
  <c r="I395" i="14"/>
  <c r="I396" i="14"/>
  <c r="I397" i="14"/>
  <c r="I398" i="14"/>
  <c r="I399" i="14"/>
  <c r="I400" i="14"/>
  <c r="N394" i="14"/>
  <c r="S394" i="14"/>
  <c r="Y394" i="14"/>
  <c r="I384" i="14"/>
  <c r="I385" i="14"/>
  <c r="I386" i="14"/>
  <c r="I387" i="14"/>
  <c r="I388" i="14"/>
  <c r="I389" i="14"/>
  <c r="N383" i="14"/>
  <c r="S383" i="14"/>
  <c r="I372" i="14"/>
  <c r="I373" i="14"/>
  <c r="I374" i="14"/>
  <c r="I375" i="14"/>
  <c r="I376" i="14"/>
  <c r="I377" i="14"/>
  <c r="N371" i="14"/>
  <c r="S371" i="14"/>
  <c r="Y371" i="14"/>
  <c r="I362" i="14"/>
  <c r="I363" i="14"/>
  <c r="I364" i="14"/>
  <c r="I365" i="14"/>
  <c r="I366" i="14"/>
  <c r="N361" i="14"/>
  <c r="S361" i="14"/>
  <c r="Y361" i="14"/>
  <c r="I352" i="14"/>
  <c r="I353" i="14"/>
  <c r="I354" i="14"/>
  <c r="I355" i="14"/>
  <c r="I356" i="14"/>
  <c r="N351" i="14"/>
  <c r="S351" i="14"/>
  <c r="Y351" i="14"/>
  <c r="I330" i="14"/>
  <c r="I331" i="14"/>
  <c r="I332" i="14"/>
  <c r="I333" i="14"/>
  <c r="I334" i="14"/>
  <c r="N329" i="14"/>
  <c r="S329" i="14"/>
  <c r="Y329" i="14"/>
  <c r="I318" i="14"/>
  <c r="I319" i="14"/>
  <c r="I320" i="14"/>
  <c r="I321" i="14"/>
  <c r="I322" i="14"/>
  <c r="I323" i="14"/>
  <c r="N317" i="14"/>
  <c r="S317" i="14"/>
  <c r="Y317" i="14"/>
  <c r="I306" i="14"/>
  <c r="I307" i="14"/>
  <c r="I308" i="14"/>
  <c r="I309" i="14"/>
  <c r="I310" i="14"/>
  <c r="I311" i="14"/>
  <c r="N305" i="14"/>
  <c r="S305" i="14"/>
  <c r="Y305" i="14"/>
  <c r="I296" i="14"/>
  <c r="I297" i="14"/>
  <c r="I298" i="14"/>
  <c r="I299" i="14"/>
  <c r="I300" i="14"/>
  <c r="I301" i="14"/>
  <c r="N295" i="14"/>
  <c r="S295" i="14"/>
  <c r="Y295" i="14"/>
  <c r="I286" i="14"/>
  <c r="I287" i="14"/>
  <c r="I288" i="14"/>
  <c r="I289" i="14"/>
  <c r="I290" i="14"/>
  <c r="I291" i="14"/>
  <c r="N285" i="14"/>
  <c r="S285" i="14"/>
  <c r="Y285" i="14"/>
  <c r="I276" i="14"/>
  <c r="I277" i="14"/>
  <c r="I278" i="14"/>
  <c r="I279" i="14"/>
  <c r="I280" i="14"/>
  <c r="I281" i="14"/>
  <c r="N275" i="14"/>
  <c r="S275" i="14"/>
  <c r="Y275" i="14"/>
  <c r="I266" i="14"/>
  <c r="I267" i="14"/>
  <c r="I269" i="14"/>
  <c r="I270" i="14"/>
  <c r="N265" i="14"/>
  <c r="S265" i="14"/>
  <c r="Y265" i="14"/>
  <c r="I256" i="14"/>
  <c r="I257" i="14"/>
  <c r="I258" i="14"/>
  <c r="I259" i="14"/>
  <c r="I260" i="14"/>
  <c r="I261" i="14"/>
  <c r="N255" i="14"/>
  <c r="S255" i="14"/>
  <c r="Y255" i="14"/>
  <c r="I246" i="14"/>
  <c r="I247" i="14"/>
  <c r="I248" i="14"/>
  <c r="I249" i="14"/>
  <c r="I250" i="14"/>
  <c r="I251" i="14"/>
  <c r="N245" i="14"/>
  <c r="S245" i="14"/>
  <c r="Y245" i="14"/>
  <c r="I236" i="14"/>
  <c r="I237" i="14"/>
  <c r="I238" i="14"/>
  <c r="I239" i="14"/>
  <c r="I240" i="14"/>
  <c r="N235" i="14"/>
  <c r="S235" i="14"/>
  <c r="Y235" i="14"/>
  <c r="I225" i="14"/>
  <c r="I226" i="14"/>
  <c r="I227" i="14"/>
  <c r="I228" i="14"/>
  <c r="I229" i="14"/>
  <c r="N224" i="14"/>
  <c r="S224" i="14"/>
  <c r="Y224" i="14"/>
  <c r="I216" i="14"/>
  <c r="I217" i="14"/>
  <c r="I218" i="14"/>
  <c r="I219" i="14"/>
  <c r="I220" i="14"/>
  <c r="I221" i="14"/>
  <c r="N215" i="14"/>
  <c r="S215" i="14"/>
  <c r="Y215" i="14"/>
  <c r="I207" i="14"/>
  <c r="I208" i="14"/>
  <c r="I209" i="14"/>
  <c r="I210" i="14"/>
  <c r="I211" i="14"/>
  <c r="N206" i="14"/>
  <c r="S206" i="14"/>
  <c r="Y206" i="14"/>
  <c r="I197" i="14"/>
  <c r="I198" i="14"/>
  <c r="I199" i="14"/>
  <c r="I200" i="14"/>
  <c r="I201" i="14"/>
  <c r="I202" i="14"/>
  <c r="N196" i="14"/>
  <c r="S196" i="14"/>
  <c r="Y196" i="14"/>
  <c r="I188" i="14"/>
  <c r="I189" i="14"/>
  <c r="I190" i="14"/>
  <c r="I191" i="14"/>
  <c r="I192" i="14"/>
  <c r="N187" i="14"/>
  <c r="S187" i="14"/>
  <c r="Y187" i="14"/>
  <c r="I178" i="14"/>
  <c r="I179" i="14"/>
  <c r="I180" i="14"/>
  <c r="I181" i="14"/>
  <c r="I182" i="14"/>
  <c r="I183" i="14"/>
  <c r="I177" i="14" s="1"/>
  <c r="F149" i="8" s="1"/>
  <c r="N177" i="14"/>
  <c r="S177" i="14"/>
  <c r="Y177" i="14"/>
  <c r="I169" i="14"/>
  <c r="I170" i="14"/>
  <c r="I171" i="14"/>
  <c r="I172" i="14"/>
  <c r="I173" i="14"/>
  <c r="N168" i="14"/>
  <c r="S168" i="14"/>
  <c r="Y168" i="14"/>
  <c r="I160" i="14"/>
  <c r="I161" i="14"/>
  <c r="I162" i="14"/>
  <c r="I163" i="14"/>
  <c r="I164" i="14"/>
  <c r="N159" i="14"/>
  <c r="S159" i="14"/>
  <c r="Y159" i="14"/>
  <c r="I151" i="14"/>
  <c r="I152" i="14"/>
  <c r="I153" i="14"/>
  <c r="I154" i="14"/>
  <c r="I155" i="14"/>
  <c r="N150" i="14"/>
  <c r="S150" i="14"/>
  <c r="Y150" i="14"/>
  <c r="I142" i="14"/>
  <c r="I143" i="14"/>
  <c r="I144" i="14"/>
  <c r="I145" i="14"/>
  <c r="I146" i="14"/>
  <c r="N141" i="14"/>
  <c r="S141" i="14"/>
  <c r="Y141" i="14"/>
  <c r="I132" i="14"/>
  <c r="I133" i="14"/>
  <c r="I134" i="14"/>
  <c r="I135" i="14"/>
  <c r="I136" i="14"/>
  <c r="N131" i="14"/>
  <c r="S131" i="14"/>
  <c r="Y131" i="14"/>
  <c r="I122" i="14"/>
  <c r="I123" i="14"/>
  <c r="I124" i="14"/>
  <c r="I125" i="14"/>
  <c r="I126" i="14"/>
  <c r="N121" i="14"/>
  <c r="S121" i="14"/>
  <c r="Y121" i="14"/>
  <c r="I112" i="14"/>
  <c r="I113" i="14"/>
  <c r="I114" i="14"/>
  <c r="I115" i="14"/>
  <c r="I116" i="14"/>
  <c r="N111" i="14"/>
  <c r="S111" i="14"/>
  <c r="Y111" i="14"/>
  <c r="I32" i="14"/>
  <c r="I33" i="14"/>
  <c r="I34" i="14"/>
  <c r="I35" i="14"/>
  <c r="I36" i="14"/>
  <c r="S31" i="14"/>
  <c r="Y31" i="14"/>
  <c r="I42" i="14"/>
  <c r="I43" i="14"/>
  <c r="I44" i="14"/>
  <c r="I45" i="14"/>
  <c r="I46" i="14"/>
  <c r="I47" i="14"/>
  <c r="I48" i="14"/>
  <c r="N41" i="14"/>
  <c r="S41" i="14"/>
  <c r="Y41" i="14"/>
  <c r="I52" i="14"/>
  <c r="I53" i="14"/>
  <c r="I54" i="14"/>
  <c r="I55" i="14"/>
  <c r="I56" i="14"/>
  <c r="N51" i="14"/>
  <c r="S51" i="14"/>
  <c r="Y51" i="14"/>
  <c r="I62" i="14"/>
  <c r="I63" i="14"/>
  <c r="I64" i="14"/>
  <c r="I65" i="14"/>
  <c r="I66" i="14"/>
  <c r="N61" i="14"/>
  <c r="S61" i="14"/>
  <c r="Y61" i="14"/>
  <c r="I72" i="14"/>
  <c r="I73" i="14"/>
  <c r="I74" i="14"/>
  <c r="I75" i="14"/>
  <c r="I76" i="14"/>
  <c r="I77" i="14"/>
  <c r="N71" i="14"/>
  <c r="S71" i="14"/>
  <c r="Y71" i="14"/>
  <c r="I82" i="14"/>
  <c r="I83" i="14"/>
  <c r="I84" i="14"/>
  <c r="I85" i="14"/>
  <c r="I86" i="14"/>
  <c r="I87" i="14"/>
  <c r="N81" i="14"/>
  <c r="S81" i="14"/>
  <c r="Y81" i="14"/>
  <c r="I92" i="14"/>
  <c r="I93" i="14"/>
  <c r="I94" i="14"/>
  <c r="I95" i="14"/>
  <c r="I96" i="14"/>
  <c r="I97" i="14"/>
  <c r="N91" i="14"/>
  <c r="S91" i="14"/>
  <c r="Y91" i="14"/>
  <c r="I102" i="14"/>
  <c r="I103" i="14"/>
  <c r="I104" i="14"/>
  <c r="I105" i="14"/>
  <c r="I106" i="14"/>
  <c r="N101" i="14"/>
  <c r="S101" i="14"/>
  <c r="Y101" i="14"/>
  <c r="I22" i="14"/>
  <c r="I23" i="14"/>
  <c r="I24" i="14"/>
  <c r="I25" i="14"/>
  <c r="I26" i="14"/>
  <c r="N21" i="14"/>
  <c r="Y21" i="14"/>
  <c r="H63" i="13" s="1"/>
  <c r="H81" i="13" s="1"/>
  <c r="S21" i="14"/>
  <c r="I12" i="14"/>
  <c r="I13" i="14"/>
  <c r="I14" i="14"/>
  <c r="I15" i="14"/>
  <c r="I16" i="14"/>
  <c r="N11" i="14"/>
  <c r="Y11" i="14"/>
  <c r="S11" i="14"/>
  <c r="G63" i="13" s="1"/>
  <c r="G81" i="13" s="1"/>
  <c r="N87" i="16"/>
  <c r="N77" i="16"/>
  <c r="N67" i="16"/>
  <c r="N57" i="16"/>
  <c r="N47" i="16"/>
  <c r="N37" i="16"/>
  <c r="N27" i="16"/>
  <c r="N17" i="16"/>
  <c r="N7" i="16"/>
  <c r="I87" i="16"/>
  <c r="F107" i="8" s="1"/>
  <c r="S87" i="16"/>
  <c r="Y87" i="16"/>
  <c r="I77" i="16"/>
  <c r="F106" i="8" s="1"/>
  <c r="S77" i="16"/>
  <c r="Y77" i="16"/>
  <c r="I47" i="16"/>
  <c r="F101" i="8" s="1"/>
  <c r="S47" i="16"/>
  <c r="Y47" i="16"/>
  <c r="I11" i="15"/>
  <c r="I10" i="15"/>
  <c r="I9" i="15"/>
  <c r="N8" i="15"/>
  <c r="S8" i="15"/>
  <c r="Y8" i="15"/>
  <c r="R12" i="14"/>
  <c r="S17" i="16"/>
  <c r="S7" i="16"/>
  <c r="I17" i="16"/>
  <c r="F100" i="8" s="1"/>
  <c r="Y17" i="16"/>
  <c r="I11" i="16"/>
  <c r="I10" i="16"/>
  <c r="I9" i="16"/>
  <c r="I8" i="16"/>
  <c r="Y7" i="16"/>
  <c r="I67" i="16"/>
  <c r="F105" i="8" s="1"/>
  <c r="S67" i="16"/>
  <c r="Y67" i="16"/>
  <c r="I57" i="16"/>
  <c r="F102" i="8" s="1"/>
  <c r="S57" i="16"/>
  <c r="Y57" i="16"/>
  <c r="I37" i="16"/>
  <c r="F104" i="8" s="1"/>
  <c r="S37" i="16"/>
  <c r="Y37" i="16"/>
  <c r="I27" i="16"/>
  <c r="F103" i="8" s="1"/>
  <c r="S27" i="16"/>
  <c r="Y27" i="16"/>
  <c r="I15" i="5"/>
  <c r="I14" i="5"/>
  <c r="I12" i="5"/>
  <c r="I11" i="5"/>
  <c r="I10" i="5"/>
  <c r="I9" i="5" s="1"/>
  <c r="N9" i="5"/>
  <c r="Y9" i="5"/>
  <c r="R867" i="14"/>
  <c r="R857" i="14"/>
  <c r="R847" i="14"/>
  <c r="R837" i="14"/>
  <c r="R827" i="14"/>
  <c r="R817" i="14"/>
  <c r="R807" i="14"/>
  <c r="R797" i="14"/>
  <c r="R787" i="14"/>
  <c r="R777" i="14"/>
  <c r="R767" i="14"/>
  <c r="R757" i="14"/>
  <c r="R747" i="14"/>
  <c r="R737" i="14"/>
  <c r="R727" i="14"/>
  <c r="R717" i="14"/>
  <c r="R707" i="14"/>
  <c r="R687" i="14"/>
  <c r="R677" i="14"/>
  <c r="R667" i="14"/>
  <c r="R657" i="14"/>
  <c r="R647" i="14"/>
  <c r="R637" i="14"/>
  <c r="R627" i="14"/>
  <c r="R617" i="14"/>
  <c r="R607" i="14"/>
  <c r="R363" i="14"/>
  <c r="R362" i="14"/>
  <c r="R353" i="14"/>
  <c r="R352" i="14"/>
  <c r="R267" i="14"/>
  <c r="R266" i="14"/>
  <c r="R257" i="14"/>
  <c r="R256" i="14"/>
  <c r="R247" i="14"/>
  <c r="R246" i="14"/>
  <c r="R237" i="14"/>
  <c r="R236" i="14"/>
  <c r="R225" i="14"/>
  <c r="R216" i="14"/>
  <c r="R207" i="14"/>
  <c r="R188" i="14"/>
  <c r="R169" i="14"/>
  <c r="R151" i="14"/>
  <c r="R142" i="14"/>
  <c r="R122" i="14"/>
  <c r="R112" i="14"/>
  <c r="R82" i="14"/>
  <c r="R62" i="14"/>
  <c r="R42" i="14"/>
  <c r="R598" i="14"/>
  <c r="R597" i="14"/>
  <c r="R588" i="14"/>
  <c r="R587" i="14"/>
  <c r="R578" i="14"/>
  <c r="R577" i="14"/>
  <c r="R565" i="14"/>
  <c r="R564" i="14"/>
  <c r="R552" i="14"/>
  <c r="R551" i="14"/>
  <c r="R539" i="14"/>
  <c r="R538" i="14"/>
  <c r="R526" i="14"/>
  <c r="R525" i="14"/>
  <c r="R513" i="14"/>
  <c r="R512" i="14"/>
  <c r="R499" i="14"/>
  <c r="R498" i="14"/>
  <c r="R489" i="14"/>
  <c r="R488" i="14"/>
  <c r="R477" i="14"/>
  <c r="R476" i="14"/>
  <c r="R466" i="14"/>
  <c r="R465" i="14"/>
  <c r="R454" i="14"/>
  <c r="R453" i="14"/>
  <c r="R442" i="14"/>
  <c r="R441" i="14"/>
  <c r="R430" i="14"/>
  <c r="R429" i="14"/>
  <c r="R418" i="14"/>
  <c r="R417" i="14"/>
  <c r="R407" i="14"/>
  <c r="R406" i="14"/>
  <c r="R396" i="14"/>
  <c r="R395" i="14"/>
  <c r="R385" i="14"/>
  <c r="R384" i="14"/>
  <c r="Y383" i="14"/>
  <c r="R373" i="14"/>
  <c r="R372" i="14"/>
  <c r="R331" i="14"/>
  <c r="R330" i="14"/>
  <c r="R319" i="14"/>
  <c r="R318" i="14"/>
  <c r="R307" i="14"/>
  <c r="R306" i="14"/>
  <c r="R297" i="14"/>
  <c r="R296" i="14"/>
  <c r="R287" i="14"/>
  <c r="R286" i="14"/>
  <c r="R277" i="14"/>
  <c r="R276" i="14"/>
  <c r="R433" i="7"/>
  <c r="R443" i="7"/>
  <c r="R423" i="7"/>
  <c r="R393" i="7"/>
  <c r="R363" i="7"/>
  <c r="R353" i="7"/>
  <c r="R323" i="7"/>
  <c r="R120" i="7"/>
  <c r="R59" i="7"/>
  <c r="R29" i="7"/>
  <c r="N6" i="11"/>
  <c r="G299" i="8" s="1"/>
  <c r="Y6" i="11"/>
  <c r="I299" i="8" s="1"/>
  <c r="I597" i="5"/>
  <c r="I596" i="5"/>
  <c r="I594" i="5"/>
  <c r="I593" i="5"/>
  <c r="I592" i="5"/>
  <c r="N591" i="5"/>
  <c r="Y591" i="5"/>
  <c r="I587" i="5"/>
  <c r="I586" i="5"/>
  <c r="I584" i="5"/>
  <c r="I583" i="5"/>
  <c r="I582" i="5"/>
  <c r="I581" i="5" s="1"/>
  <c r="F257" i="8" s="1"/>
  <c r="N581" i="5"/>
  <c r="G257" i="8" s="1"/>
  <c r="Y581" i="5"/>
  <c r="I257" i="8" s="1"/>
  <c r="I577" i="5"/>
  <c r="I576" i="5"/>
  <c r="I574" i="5"/>
  <c r="I573" i="5"/>
  <c r="I572" i="5"/>
  <c r="I571" i="5"/>
  <c r="N571" i="5"/>
  <c r="Y571" i="5"/>
  <c r="I567" i="5"/>
  <c r="I566" i="5"/>
  <c r="I564" i="5"/>
  <c r="I563" i="5"/>
  <c r="I562" i="5"/>
  <c r="I561" i="5"/>
  <c r="N561" i="5"/>
  <c r="Y561" i="5"/>
  <c r="I557" i="5"/>
  <c r="I556" i="5"/>
  <c r="I554" i="5"/>
  <c r="I553" i="5"/>
  <c r="I552" i="5"/>
  <c r="I551" i="5"/>
  <c r="N551" i="5"/>
  <c r="Y551" i="5"/>
  <c r="I547" i="5"/>
  <c r="I546" i="5"/>
  <c r="I544" i="5"/>
  <c r="I543" i="5"/>
  <c r="I542" i="5"/>
  <c r="I541" i="5"/>
  <c r="N541" i="5"/>
  <c r="Y541" i="5"/>
  <c r="I537" i="5"/>
  <c r="I536" i="5"/>
  <c r="I534" i="5"/>
  <c r="I533" i="5"/>
  <c r="I532" i="5"/>
  <c r="I531" i="5" s="1"/>
  <c r="N531" i="5"/>
  <c r="Y531" i="5"/>
  <c r="I527" i="5"/>
  <c r="I526" i="5"/>
  <c r="I524" i="5"/>
  <c r="I523" i="5"/>
  <c r="I522" i="5"/>
  <c r="I521" i="5"/>
  <c r="N521" i="5"/>
  <c r="Y521" i="5"/>
  <c r="I517" i="5"/>
  <c r="I516" i="5"/>
  <c r="I514" i="5"/>
  <c r="I513" i="5"/>
  <c r="I512" i="5"/>
  <c r="N511" i="5"/>
  <c r="Y511" i="5"/>
  <c r="I507" i="5"/>
  <c r="I506" i="5"/>
  <c r="I504" i="5"/>
  <c r="I503" i="5"/>
  <c r="I502" i="5"/>
  <c r="I501" i="5" s="1"/>
  <c r="N501" i="5"/>
  <c r="Y501" i="5"/>
  <c r="I497" i="5"/>
  <c r="I496" i="5"/>
  <c r="I494" i="5"/>
  <c r="I493" i="5"/>
  <c r="I492" i="5"/>
  <c r="I491" i="5" s="1"/>
  <c r="N491" i="5"/>
  <c r="Y491" i="5"/>
  <c r="I487" i="5"/>
  <c r="I486" i="5"/>
  <c r="I484" i="5"/>
  <c r="I483" i="5"/>
  <c r="I482" i="5"/>
  <c r="I481" i="5" s="1"/>
  <c r="N481" i="5"/>
  <c r="Y481" i="5"/>
  <c r="I477" i="5"/>
  <c r="I476" i="5"/>
  <c r="I474" i="5"/>
  <c r="I473" i="5"/>
  <c r="I472" i="5"/>
  <c r="I471" i="5" s="1"/>
  <c r="N471" i="5"/>
  <c r="S471" i="5"/>
  <c r="Y471" i="5"/>
  <c r="I467" i="5"/>
  <c r="I466" i="5"/>
  <c r="I464" i="5"/>
  <c r="I463" i="5"/>
  <c r="I462" i="5"/>
  <c r="I461" i="5" s="1"/>
  <c r="N461" i="5"/>
  <c r="S461" i="5"/>
  <c r="Y461" i="5"/>
  <c r="I457" i="5"/>
  <c r="I456" i="5"/>
  <c r="I454" i="5"/>
  <c r="I453" i="5"/>
  <c r="I452" i="5"/>
  <c r="I451" i="5" s="1"/>
  <c r="N451" i="5"/>
  <c r="S451" i="5"/>
  <c r="Y451" i="5"/>
  <c r="I447" i="5"/>
  <c r="I446" i="5"/>
  <c r="I444" i="5"/>
  <c r="I443" i="5"/>
  <c r="I442" i="5"/>
  <c r="I441" i="5" s="1"/>
  <c r="N441" i="5"/>
  <c r="S441" i="5"/>
  <c r="Y441" i="5"/>
  <c r="I437" i="5"/>
  <c r="I436" i="5"/>
  <c r="I434" i="5"/>
  <c r="I433" i="5"/>
  <c r="I432" i="5"/>
  <c r="I431" i="5" s="1"/>
  <c r="N431" i="5"/>
  <c r="S431" i="5"/>
  <c r="Y431" i="5"/>
  <c r="I427" i="5"/>
  <c r="I426" i="5"/>
  <c r="I424" i="5"/>
  <c r="I423" i="5"/>
  <c r="I422" i="5"/>
  <c r="I421" i="5" s="1"/>
  <c r="N421" i="5"/>
  <c r="S421" i="5"/>
  <c r="Y421" i="5"/>
  <c r="I417" i="5"/>
  <c r="I416" i="5"/>
  <c r="I414" i="5"/>
  <c r="I413" i="5"/>
  <c r="I412" i="5"/>
  <c r="I411" i="5" s="1"/>
  <c r="N411" i="5"/>
  <c r="S411" i="5"/>
  <c r="Y411" i="5"/>
  <c r="I407" i="5"/>
  <c r="I406" i="5"/>
  <c r="I404" i="5"/>
  <c r="I403" i="5"/>
  <c r="I402" i="5"/>
  <c r="I401" i="5" s="1"/>
  <c r="N401" i="5"/>
  <c r="S401" i="5"/>
  <c r="Y401" i="5"/>
  <c r="I397" i="5"/>
  <c r="I396" i="5"/>
  <c r="I394" i="5"/>
  <c r="I393" i="5"/>
  <c r="I392" i="5"/>
  <c r="I391" i="5" s="1"/>
  <c r="N391" i="5"/>
  <c r="S391" i="5"/>
  <c r="Y391" i="5"/>
  <c r="I387" i="5"/>
  <c r="I386" i="5"/>
  <c r="I384" i="5"/>
  <c r="I383" i="5"/>
  <c r="I382" i="5"/>
  <c r="I381" i="5" s="1"/>
  <c r="N381" i="5"/>
  <c r="S381" i="5"/>
  <c r="Y381" i="5"/>
  <c r="I377" i="5"/>
  <c r="I376" i="5"/>
  <c r="I374" i="5"/>
  <c r="I373" i="5"/>
  <c r="I372" i="5"/>
  <c r="I371" i="5" s="1"/>
  <c r="N371" i="5"/>
  <c r="S371" i="5"/>
  <c r="Y371" i="5"/>
  <c r="I367" i="5"/>
  <c r="I366" i="5"/>
  <c r="I364" i="5"/>
  <c r="I363" i="5"/>
  <c r="I362" i="5"/>
  <c r="I361" i="5" s="1"/>
  <c r="F250" i="8" s="1"/>
  <c r="N361" i="5"/>
  <c r="G250" i="8" s="1"/>
  <c r="S361" i="5"/>
  <c r="H250" i="8" s="1"/>
  <c r="Y361" i="5"/>
  <c r="I250" i="8" s="1"/>
  <c r="I357" i="5"/>
  <c r="I356" i="5"/>
  <c r="I354" i="5"/>
  <c r="I353" i="5"/>
  <c r="I352" i="5"/>
  <c r="I351" i="5" s="1"/>
  <c r="N351" i="5"/>
  <c r="S351" i="5"/>
  <c r="H249" i="8" s="1"/>
  <c r="Y351" i="5"/>
  <c r="I347" i="5"/>
  <c r="I346" i="5"/>
  <c r="I344" i="5"/>
  <c r="I343" i="5"/>
  <c r="I342" i="5"/>
  <c r="N341" i="5"/>
  <c r="S341" i="5"/>
  <c r="Y341" i="5"/>
  <c r="I337" i="5"/>
  <c r="I336" i="5"/>
  <c r="I334" i="5"/>
  <c r="I333" i="5"/>
  <c r="I332" i="5"/>
  <c r="I331" i="5"/>
  <c r="F248" i="8" s="1"/>
  <c r="N331" i="5"/>
  <c r="G248" i="8" s="1"/>
  <c r="S331" i="5"/>
  <c r="H248" i="8" s="1"/>
  <c r="Y331" i="5"/>
  <c r="I248" i="8" s="1"/>
  <c r="I327" i="5"/>
  <c r="I326" i="5"/>
  <c r="I324" i="5"/>
  <c r="I323" i="5"/>
  <c r="I322" i="5"/>
  <c r="I321" i="5" s="1"/>
  <c r="N321" i="5"/>
  <c r="S321" i="5"/>
  <c r="H239" i="8" s="1"/>
  <c r="Y321" i="5"/>
  <c r="I317" i="5"/>
  <c r="I316" i="5"/>
  <c r="I314" i="5"/>
  <c r="I313" i="5"/>
  <c r="I312" i="5"/>
  <c r="I311" i="5" s="1"/>
  <c r="N311" i="5"/>
  <c r="S311" i="5"/>
  <c r="H238" i="8" s="1"/>
  <c r="Y311" i="5"/>
  <c r="I307" i="5"/>
  <c r="I306" i="5"/>
  <c r="I304" i="5"/>
  <c r="I303" i="5"/>
  <c r="I302" i="5"/>
  <c r="N301" i="5"/>
  <c r="S301" i="5"/>
  <c r="Y301" i="5"/>
  <c r="I297" i="5"/>
  <c r="I296" i="5"/>
  <c r="I294" i="5"/>
  <c r="I293" i="5"/>
  <c r="I292" i="5"/>
  <c r="I291" i="5" s="1"/>
  <c r="N291" i="5"/>
  <c r="S291" i="5"/>
  <c r="H246" i="8" s="1"/>
  <c r="Y291" i="5"/>
  <c r="I287" i="5"/>
  <c r="I286" i="5"/>
  <c r="I284" i="5"/>
  <c r="I283" i="5"/>
  <c r="I282" i="5"/>
  <c r="I281" i="5" s="1"/>
  <c r="N281" i="5"/>
  <c r="S281" i="5"/>
  <c r="H245" i="8" s="1"/>
  <c r="Y281" i="5"/>
  <c r="I277" i="5"/>
  <c r="I276" i="5"/>
  <c r="I274" i="5"/>
  <c r="I273" i="5"/>
  <c r="I272" i="5"/>
  <c r="I271" i="5" s="1"/>
  <c r="N271" i="5"/>
  <c r="S271" i="5"/>
  <c r="H244" i="8" s="1"/>
  <c r="Y271" i="5"/>
  <c r="I267" i="5"/>
  <c r="I266" i="5"/>
  <c r="I264" i="5"/>
  <c r="I263" i="5"/>
  <c r="I262" i="5"/>
  <c r="I261" i="5"/>
  <c r="N261" i="5"/>
  <c r="S261" i="5"/>
  <c r="Y261" i="5"/>
  <c r="I257" i="5"/>
  <c r="I256" i="5"/>
  <c r="I254" i="5"/>
  <c r="I253" i="5"/>
  <c r="I252" i="5"/>
  <c r="I251" i="5" s="1"/>
  <c r="N251" i="5"/>
  <c r="S251" i="5"/>
  <c r="Y251" i="5"/>
  <c r="I247" i="5"/>
  <c r="I246" i="5"/>
  <c r="I244" i="5"/>
  <c r="I243" i="5"/>
  <c r="I242" i="5"/>
  <c r="I241" i="5" s="1"/>
  <c r="N241" i="5"/>
  <c r="S241" i="5"/>
  <c r="Y241" i="5"/>
  <c r="I237" i="5"/>
  <c r="I236" i="5"/>
  <c r="I234" i="5"/>
  <c r="I233" i="5"/>
  <c r="I232" i="5"/>
  <c r="I231" i="5" s="1"/>
  <c r="N231" i="5"/>
  <c r="S231" i="5"/>
  <c r="Y231" i="5"/>
  <c r="I227" i="5"/>
  <c r="I226" i="5"/>
  <c r="I224" i="5"/>
  <c r="I223" i="5"/>
  <c r="I222" i="5"/>
  <c r="I221" i="5" s="1"/>
  <c r="N221" i="5"/>
  <c r="S221" i="5"/>
  <c r="H242" i="8" s="1"/>
  <c r="Y221" i="5"/>
  <c r="I217" i="5"/>
  <c r="I216" i="5"/>
  <c r="I214" i="5"/>
  <c r="I213" i="5"/>
  <c r="I212" i="5"/>
  <c r="I211" i="5" s="1"/>
  <c r="N211" i="5"/>
  <c r="S211" i="5"/>
  <c r="Y211" i="5"/>
  <c r="I207" i="5"/>
  <c r="I206" i="5"/>
  <c r="I204" i="5"/>
  <c r="I203" i="5"/>
  <c r="I202" i="5"/>
  <c r="I201" i="5" s="1"/>
  <c r="N201" i="5"/>
  <c r="S201" i="5"/>
  <c r="Y201" i="5"/>
  <c r="I197" i="5"/>
  <c r="I196" i="5"/>
  <c r="I194" i="5"/>
  <c r="I193" i="5"/>
  <c r="I192" i="5"/>
  <c r="I191" i="5" s="1"/>
  <c r="N191" i="5"/>
  <c r="S191" i="5"/>
  <c r="Y191" i="5"/>
  <c r="I187" i="5"/>
  <c r="I186" i="5"/>
  <c r="I184" i="5"/>
  <c r="I183" i="5"/>
  <c r="I182" i="5"/>
  <c r="I181" i="5" s="1"/>
  <c r="N181" i="5"/>
  <c r="S181" i="5"/>
  <c r="H237" i="8" s="1"/>
  <c r="Y181" i="5"/>
  <c r="I177" i="5"/>
  <c r="I176" i="5"/>
  <c r="I174" i="5"/>
  <c r="I173" i="5"/>
  <c r="I172" i="5"/>
  <c r="I171" i="5" s="1"/>
  <c r="N171" i="5"/>
  <c r="S171" i="5"/>
  <c r="Y171" i="5"/>
  <c r="I167" i="5"/>
  <c r="I166" i="5"/>
  <c r="I164" i="5"/>
  <c r="I163" i="5"/>
  <c r="I162" i="5"/>
  <c r="I161" i="5" s="1"/>
  <c r="N161" i="5"/>
  <c r="S161" i="5"/>
  <c r="Y161" i="5"/>
  <c r="I157" i="5"/>
  <c r="I156" i="5"/>
  <c r="I154" i="5"/>
  <c r="I153" i="5"/>
  <c r="I152" i="5"/>
  <c r="I151" i="5" s="1"/>
  <c r="N151" i="5"/>
  <c r="S151" i="5"/>
  <c r="H236" i="8" s="1"/>
  <c r="Y151" i="5"/>
  <c r="I147" i="5"/>
  <c r="I146" i="5"/>
  <c r="I144" i="5"/>
  <c r="I143" i="5"/>
  <c r="I142" i="5"/>
  <c r="N141" i="5"/>
  <c r="S141" i="5"/>
  <c r="H235" i="8" s="1"/>
  <c r="Y141" i="5"/>
  <c r="I137" i="5"/>
  <c r="I136" i="5"/>
  <c r="I134" i="5"/>
  <c r="I133" i="5"/>
  <c r="I132" i="5"/>
  <c r="I131" i="5" s="1"/>
  <c r="N131" i="5"/>
  <c r="S131" i="5"/>
  <c r="Y131" i="5"/>
  <c r="I127" i="5"/>
  <c r="I126" i="5"/>
  <c r="I124" i="5"/>
  <c r="I123" i="5"/>
  <c r="I122" i="5"/>
  <c r="I121" i="5" s="1"/>
  <c r="N121" i="5"/>
  <c r="S121" i="5"/>
  <c r="Y121" i="5"/>
  <c r="I117" i="5"/>
  <c r="I116" i="5"/>
  <c r="I114" i="5"/>
  <c r="I113" i="5"/>
  <c r="I112" i="5"/>
  <c r="I111" i="5" s="1"/>
  <c r="N111" i="5"/>
  <c r="S111" i="5"/>
  <c r="Y111" i="5"/>
  <c r="I107" i="5"/>
  <c r="I106" i="5"/>
  <c r="I104" i="5"/>
  <c r="I103" i="5"/>
  <c r="I102" i="5"/>
  <c r="I101" i="5" s="1"/>
  <c r="N101" i="5"/>
  <c r="S101" i="5"/>
  <c r="Y101" i="5"/>
  <c r="I97" i="5"/>
  <c r="I96" i="5"/>
  <c r="I94" i="5"/>
  <c r="I93" i="5"/>
  <c r="I92" i="5"/>
  <c r="N91" i="5"/>
  <c r="S91" i="5"/>
  <c r="H233" i="8" s="1"/>
  <c r="Y91" i="5"/>
  <c r="I87" i="5"/>
  <c r="I86" i="5"/>
  <c r="I84" i="5"/>
  <c r="I83" i="5"/>
  <c r="I82" i="5"/>
  <c r="I81" i="5" s="1"/>
  <c r="F232" i="8" s="1"/>
  <c r="N81" i="5"/>
  <c r="G232" i="8" s="1"/>
  <c r="S81" i="5"/>
  <c r="H232" i="8" s="1"/>
  <c r="Y81" i="5"/>
  <c r="I232" i="8" s="1"/>
  <c r="I77" i="5"/>
  <c r="I76" i="5"/>
  <c r="I74" i="5"/>
  <c r="I73" i="5"/>
  <c r="I72" i="5"/>
  <c r="I71" i="5" s="1"/>
  <c r="N71" i="5"/>
  <c r="S71" i="5"/>
  <c r="Y71" i="5"/>
  <c r="I67" i="5"/>
  <c r="I66" i="5"/>
  <c r="I64" i="5"/>
  <c r="I63" i="5"/>
  <c r="I62" i="5"/>
  <c r="I61" i="5" s="1"/>
  <c r="N61" i="5"/>
  <c r="S61" i="5"/>
  <c r="Y61" i="5"/>
  <c r="I56" i="5"/>
  <c r="I55" i="5"/>
  <c r="I53" i="5"/>
  <c r="I52" i="5"/>
  <c r="I51" i="5"/>
  <c r="N50" i="5"/>
  <c r="Y50" i="5"/>
  <c r="I45" i="5"/>
  <c r="I44" i="5"/>
  <c r="I42" i="5"/>
  <c r="I41" i="5"/>
  <c r="I39" i="5" s="1"/>
  <c r="I40" i="5"/>
  <c r="N39" i="5"/>
  <c r="S39" i="5"/>
  <c r="Y39" i="5"/>
  <c r="I35" i="5"/>
  <c r="I34" i="5"/>
  <c r="I32" i="5"/>
  <c r="I31" i="5"/>
  <c r="I30" i="5"/>
  <c r="I29" i="5" s="1"/>
  <c r="S9" i="2"/>
  <c r="H10" i="8" s="1"/>
  <c r="N29" i="5"/>
  <c r="Y29" i="5"/>
  <c r="S29" i="5"/>
  <c r="H125" i="1"/>
  <c r="H126" i="1"/>
  <c r="H127" i="1"/>
  <c r="H128" i="1"/>
  <c r="H129" i="1"/>
  <c r="H124" i="1"/>
  <c r="C112" i="4"/>
  <c r="C111" i="4"/>
  <c r="C110" i="4"/>
  <c r="C109" i="4"/>
  <c r="C41" i="4"/>
  <c r="C40" i="4"/>
  <c r="C39" i="4"/>
  <c r="C125" i="4"/>
  <c r="C126" i="4"/>
  <c r="C127" i="4"/>
  <c r="C124" i="4"/>
  <c r="C100" i="4"/>
  <c r="C101" i="4"/>
  <c r="C102" i="4"/>
  <c r="C99" i="4"/>
  <c r="C81" i="4"/>
  <c r="C78" i="4"/>
  <c r="C27" i="4"/>
  <c r="C26" i="4"/>
  <c r="C90" i="4"/>
  <c r="C91" i="4"/>
  <c r="C92" i="4"/>
  <c r="C89" i="4"/>
  <c r="C95" i="4"/>
  <c r="C96" i="4"/>
  <c r="C94" i="4"/>
  <c r="C105" i="4"/>
  <c r="E105" i="4"/>
  <c r="C106" i="4"/>
  <c r="E106" i="4"/>
  <c r="C107" i="4"/>
  <c r="C104" i="4"/>
  <c r="E104" i="4" s="1"/>
  <c r="C84" i="4"/>
  <c r="E84" i="4" s="1"/>
  <c r="C85" i="4"/>
  <c r="E85" i="4" s="1"/>
  <c r="C86" i="4"/>
  <c r="C83" i="4"/>
  <c r="E83" i="4" s="1"/>
  <c r="C130" i="4"/>
  <c r="E130" i="4" s="1"/>
  <c r="C131" i="4"/>
  <c r="E131" i="4" s="1"/>
  <c r="G131" i="4" s="1"/>
  <c r="H131" i="4" s="1"/>
  <c r="C129" i="4"/>
  <c r="E129" i="4" s="1"/>
  <c r="G129" i="4" s="1"/>
  <c r="C147" i="4"/>
  <c r="E147" i="4" s="1"/>
  <c r="C146" i="4"/>
  <c r="E146" i="4" s="1"/>
  <c r="C145" i="4"/>
  <c r="C144" i="4"/>
  <c r="E144" i="4"/>
  <c r="C137" i="4"/>
  <c r="E137" i="4"/>
  <c r="G137" i="4" s="1"/>
  <c r="C136" i="4"/>
  <c r="E136" i="4" s="1"/>
  <c r="C135" i="4"/>
  <c r="C134" i="4"/>
  <c r="E134" i="4"/>
  <c r="G134" i="4" s="1"/>
  <c r="C47" i="4"/>
  <c r="E47" i="4" s="1"/>
  <c r="C46" i="4"/>
  <c r="E46" i="4" s="1"/>
  <c r="C45" i="4"/>
  <c r="C12" i="4"/>
  <c r="E12" i="4" s="1"/>
  <c r="C11" i="4"/>
  <c r="E11" i="4" s="1"/>
  <c r="C10" i="4"/>
  <c r="E10" i="4" s="1"/>
  <c r="C23" i="4"/>
  <c r="C22" i="4"/>
  <c r="C20" i="4"/>
  <c r="C19" i="4"/>
  <c r="C18" i="4"/>
  <c r="C32" i="4"/>
  <c r="C33" i="4"/>
  <c r="C35" i="4"/>
  <c r="C36" i="4"/>
  <c r="C31" i="4"/>
  <c r="C120" i="4"/>
  <c r="C121" i="4"/>
  <c r="C122" i="4"/>
  <c r="C119" i="4"/>
  <c r="C156" i="4"/>
  <c r="H156" i="4"/>
  <c r="I156" i="4"/>
  <c r="C157" i="4"/>
  <c r="H157" i="4"/>
  <c r="I157" i="4"/>
  <c r="C158" i="4"/>
  <c r="H158" i="4"/>
  <c r="I158" i="4"/>
  <c r="C155" i="4"/>
  <c r="H155" i="4"/>
  <c r="I155" i="4"/>
  <c r="C151" i="4"/>
  <c r="E151" i="4"/>
  <c r="C152" i="4"/>
  <c r="E152" i="4"/>
  <c r="C153" i="4"/>
  <c r="E153" i="4"/>
  <c r="I153" i="4" s="1"/>
  <c r="C150" i="4"/>
  <c r="E150" i="4" s="1"/>
  <c r="H49" i="1"/>
  <c r="E49" i="1"/>
  <c r="F49" i="1" s="1"/>
  <c r="C142" i="4"/>
  <c r="E142" i="4" s="1"/>
  <c r="C141" i="4"/>
  <c r="E141" i="4" s="1"/>
  <c r="C140" i="4"/>
  <c r="E140" i="4" s="1"/>
  <c r="C139" i="4"/>
  <c r="C115" i="4"/>
  <c r="C117" i="4"/>
  <c r="C114" i="4"/>
  <c r="C69" i="4"/>
  <c r="E69" i="4"/>
  <c r="C70" i="4"/>
  <c r="E70" i="4"/>
  <c r="C71" i="4"/>
  <c r="E71" i="4"/>
  <c r="C68" i="4"/>
  <c r="C64" i="4"/>
  <c r="E64" i="4" s="1"/>
  <c r="G64" i="4" s="1"/>
  <c r="C65" i="4"/>
  <c r="C66" i="4"/>
  <c r="C63" i="4"/>
  <c r="C59" i="4"/>
  <c r="E59" i="4" s="1"/>
  <c r="C60" i="4"/>
  <c r="C61" i="4"/>
  <c r="C58" i="4"/>
  <c r="C56" i="4"/>
  <c r="E56" i="4" s="1"/>
  <c r="C54" i="4"/>
  <c r="E54" i="4" s="1"/>
  <c r="C55" i="4"/>
  <c r="E55" i="4" s="1"/>
  <c r="C53" i="4"/>
  <c r="E53" i="4" s="1"/>
  <c r="C50" i="4"/>
  <c r="C49" i="4"/>
  <c r="C15" i="4"/>
  <c r="C14" i="4"/>
  <c r="E14" i="4" s="1"/>
  <c r="E47" i="1"/>
  <c r="F47" i="1" s="1"/>
  <c r="H46" i="1"/>
  <c r="H45" i="1"/>
  <c r="E44" i="1"/>
  <c r="F44" i="1" s="1"/>
  <c r="H44" i="1" s="1"/>
  <c r="E43" i="1"/>
  <c r="F43" i="1" s="1"/>
  <c r="E42" i="1"/>
  <c r="F42" i="1" s="1"/>
  <c r="H42" i="1" s="1"/>
  <c r="E41" i="1"/>
  <c r="F41" i="1" s="1"/>
  <c r="H41" i="1" s="1"/>
  <c r="E40" i="1"/>
  <c r="F40" i="1" s="1"/>
  <c r="H40" i="1" s="1"/>
  <c r="E39" i="1"/>
  <c r="F39" i="1" s="1"/>
  <c r="E38" i="1"/>
  <c r="F38" i="1" s="1"/>
  <c r="H38" i="1" s="1"/>
  <c r="H36" i="1"/>
  <c r="E35" i="1"/>
  <c r="F35" i="1" s="1"/>
  <c r="H35" i="1" s="1"/>
  <c r="H33" i="1"/>
  <c r="H34" i="1"/>
  <c r="H32" i="1"/>
  <c r="E31" i="1"/>
  <c r="F31" i="1" s="1"/>
  <c r="H30" i="1"/>
  <c r="H29" i="1"/>
  <c r="H27" i="1"/>
  <c r="E28" i="1"/>
  <c r="Y9" i="2" s="1"/>
  <c r="I10" i="8" s="1"/>
  <c r="E32" i="1"/>
  <c r="F32" i="1" s="1"/>
  <c r="E29" i="1"/>
  <c r="F29" i="1" s="1"/>
  <c r="S262" i="7" s="1"/>
  <c r="G70" i="1"/>
  <c r="E34" i="1"/>
  <c r="F34" i="1" s="1"/>
  <c r="E33" i="1"/>
  <c r="F33" i="1" s="1"/>
  <c r="E27" i="1"/>
  <c r="F27" i="1" s="1"/>
  <c r="E30" i="1"/>
  <c r="F30" i="1" s="1"/>
  <c r="E46" i="1"/>
  <c r="F46" i="1" s="1"/>
  <c r="E45" i="1"/>
  <c r="F45" i="1" s="1"/>
  <c r="S6" i="11" s="1"/>
  <c r="E36" i="1"/>
  <c r="F36" i="1" s="1"/>
  <c r="E114" i="4"/>
  <c r="G114" i="4" s="1"/>
  <c r="E117" i="4"/>
  <c r="G117" i="4" s="1"/>
  <c r="E115" i="4"/>
  <c r="G115" i="4" s="1"/>
  <c r="E119" i="4"/>
  <c r="G119" i="4" s="1"/>
  <c r="E122" i="4"/>
  <c r="G122" i="4" s="1"/>
  <c r="E121" i="4"/>
  <c r="G121" i="4" s="1"/>
  <c r="E120" i="4"/>
  <c r="E94" i="4"/>
  <c r="E96" i="4"/>
  <c r="E95" i="4"/>
  <c r="G95" i="4" s="1"/>
  <c r="E89" i="4"/>
  <c r="G89" i="4" s="1"/>
  <c r="E92" i="4"/>
  <c r="G92" i="4" s="1"/>
  <c r="E91" i="4"/>
  <c r="G91" i="4" s="1"/>
  <c r="E90" i="4"/>
  <c r="G90" i="4" s="1"/>
  <c r="E78" i="4"/>
  <c r="G78" i="4" s="1"/>
  <c r="E81" i="4"/>
  <c r="G81" i="4" s="1"/>
  <c r="E99" i="4"/>
  <c r="G99" i="4" s="1"/>
  <c r="E102" i="4"/>
  <c r="G102" i="4" s="1"/>
  <c r="E101" i="4"/>
  <c r="G101" i="4" s="1"/>
  <c r="E100" i="4"/>
  <c r="G100" i="4" s="1"/>
  <c r="E124" i="4"/>
  <c r="G124" i="4" s="1"/>
  <c r="E127" i="4"/>
  <c r="E126" i="4"/>
  <c r="G126" i="4" s="1"/>
  <c r="E125" i="4"/>
  <c r="G125" i="4" s="1"/>
  <c r="E39" i="4"/>
  <c r="G39" i="4" s="1"/>
  <c r="E41" i="4"/>
  <c r="E40" i="4"/>
  <c r="E35" i="4"/>
  <c r="G35" i="4" s="1"/>
  <c r="E36" i="4"/>
  <c r="E31" i="4"/>
  <c r="E33" i="4"/>
  <c r="E32" i="4"/>
  <c r="E18" i="4"/>
  <c r="E20" i="4"/>
  <c r="E19" i="4"/>
  <c r="E22" i="4"/>
  <c r="G22" i="4" s="1"/>
  <c r="E23" i="4"/>
  <c r="E26" i="4"/>
  <c r="E28" i="4"/>
  <c r="E27" i="4"/>
  <c r="E109" i="4"/>
  <c r="G109" i="4" s="1"/>
  <c r="E112" i="4"/>
  <c r="G112" i="4" s="1"/>
  <c r="E111" i="4"/>
  <c r="E110" i="4"/>
  <c r="G110" i="4" s="1"/>
  <c r="G111" i="4"/>
  <c r="I111" i="4" s="1"/>
  <c r="G27" i="4"/>
  <c r="H27" i="4" s="1"/>
  <c r="G28" i="4"/>
  <c r="H28" i="4" s="1"/>
  <c r="G19" i="4"/>
  <c r="I19" i="4" s="1"/>
  <c r="H19" i="4"/>
  <c r="G20" i="4"/>
  <c r="I20" i="4" s="1"/>
  <c r="G32" i="4"/>
  <c r="I32" i="4" s="1"/>
  <c r="G33" i="4"/>
  <c r="H33" i="4" s="1"/>
  <c r="G36" i="4"/>
  <c r="H36" i="4" s="1"/>
  <c r="G40" i="4"/>
  <c r="I40" i="4" s="1"/>
  <c r="G41" i="4"/>
  <c r="I41" i="4" s="1"/>
  <c r="C47" i="22"/>
  <c r="C47" i="20"/>
  <c r="I341" i="14"/>
  <c r="G96" i="4"/>
  <c r="H96" i="4" s="1"/>
  <c r="E15" i="4"/>
  <c r="G15" i="4" s="1"/>
  <c r="E61" i="4"/>
  <c r="E63" i="4"/>
  <c r="G63" i="4"/>
  <c r="E139" i="4"/>
  <c r="G139" i="4"/>
  <c r="G23" i="4"/>
  <c r="H23" i="4"/>
  <c r="G127" i="4"/>
  <c r="I127" i="4" s="1"/>
  <c r="G120" i="4"/>
  <c r="H120" i="4" s="1"/>
  <c r="I33" i="4"/>
  <c r="H32" i="4"/>
  <c r="G18" i="4"/>
  <c r="I18" i="4"/>
  <c r="G94" i="4"/>
  <c r="I94" i="4" s="1"/>
  <c r="I27" i="4"/>
  <c r="H111" i="4"/>
  <c r="G31" i="4"/>
  <c r="E49" i="4"/>
  <c r="G49" i="4" s="1"/>
  <c r="E60" i="4"/>
  <c r="G60" i="4" s="1"/>
  <c r="E66" i="4"/>
  <c r="G66" i="4" s="1"/>
  <c r="E45" i="4"/>
  <c r="G45" i="4" s="1"/>
  <c r="E50" i="4"/>
  <c r="G50" i="4" s="1"/>
  <c r="E65" i="4"/>
  <c r="G65" i="4" s="1"/>
  <c r="G26" i="4"/>
  <c r="H26" i="4" s="1"/>
  <c r="E58" i="4"/>
  <c r="G58" i="4" s="1"/>
  <c r="E68" i="4"/>
  <c r="G68" i="4" s="1"/>
  <c r="E107" i="4"/>
  <c r="G107" i="4" s="1"/>
  <c r="E145" i="4"/>
  <c r="I91" i="5"/>
  <c r="I121" i="14"/>
  <c r="F162" i="8" s="1"/>
  <c r="I329" i="14"/>
  <c r="I405" i="14"/>
  <c r="I452" i="14"/>
  <c r="I497" i="14"/>
  <c r="I550" i="14"/>
  <c r="I606" i="14"/>
  <c r="I696" i="14"/>
  <c r="I766" i="14"/>
  <c r="E86" i="4"/>
  <c r="G86" i="4" s="1"/>
  <c r="I141" i="5"/>
  <c r="I301" i="5"/>
  <c r="I159" i="14"/>
  <c r="F159" i="8" s="1"/>
  <c r="I215" i="14"/>
  <c r="F164" i="8" s="1"/>
  <c r="I305" i="14"/>
  <c r="I487" i="14"/>
  <c r="I576" i="14"/>
  <c r="I646" i="14"/>
  <c r="I736" i="14"/>
  <c r="I806" i="14"/>
  <c r="I131" i="14"/>
  <c r="F150" i="8" s="1"/>
  <c r="I285" i="14"/>
  <c r="I371" i="14"/>
  <c r="I616" i="14"/>
  <c r="I776" i="14"/>
  <c r="E135" i="4"/>
  <c r="G135" i="4" s="1"/>
  <c r="I21" i="14"/>
  <c r="I71" i="14"/>
  <c r="F146" i="8" s="1"/>
  <c r="I168" i="14"/>
  <c r="I235" i="14"/>
  <c r="I265" i="14"/>
  <c r="I656" i="14"/>
  <c r="I726" i="14"/>
  <c r="I816" i="14"/>
  <c r="I31" i="4"/>
  <c r="G145" i="4"/>
  <c r="I145" i="4" s="1"/>
  <c r="H31" i="4"/>
  <c r="H18" i="4"/>
  <c r="G61" i="4"/>
  <c r="I61" i="4" s="1"/>
  <c r="H61" i="4"/>
  <c r="G106" i="4"/>
  <c r="I106" i="4" s="1"/>
  <c r="G105" i="4"/>
  <c r="H105" i="4" s="1"/>
  <c r="I91" i="14"/>
  <c r="C118" i="1"/>
  <c r="J5" i="4" s="1"/>
  <c r="I101" i="14"/>
  <c r="F148" i="8" s="1"/>
  <c r="I187" i="14"/>
  <c r="C89" i="1"/>
  <c r="C91" i="1" s="1"/>
  <c r="G144" i="4"/>
  <c r="H144" i="4" s="1"/>
  <c r="H94" i="4"/>
  <c r="I105" i="4"/>
  <c r="I26" i="4"/>
  <c r="I23" i="4"/>
  <c r="H127" i="4"/>
  <c r="H20" i="4"/>
  <c r="I96" i="4"/>
  <c r="H153" i="4"/>
  <c r="I151" i="4"/>
  <c r="H151" i="4"/>
  <c r="H106" i="4"/>
  <c r="I120" i="4"/>
  <c r="G71" i="4"/>
  <c r="I71" i="4" s="1"/>
  <c r="H71" i="4"/>
  <c r="G69" i="4"/>
  <c r="I69" i="4" s="1"/>
  <c r="I152" i="4"/>
  <c r="H152" i="4"/>
  <c r="G70" i="4"/>
  <c r="I70" i="4" s="1"/>
  <c r="H145" i="4"/>
  <c r="I28" i="4"/>
  <c r="H69" i="4"/>
  <c r="C99" i="20"/>
  <c r="C100" i="22"/>
  <c r="C23" i="22"/>
  <c r="C23" i="20"/>
  <c r="C19" i="22"/>
  <c r="C19" i="20"/>
  <c r="C240" i="22"/>
  <c r="C103" i="20"/>
  <c r="C104" i="22"/>
  <c r="C49" i="22"/>
  <c r="C14" i="21"/>
  <c r="C49" i="20"/>
  <c r="C229" i="20"/>
  <c r="C229" i="22"/>
  <c r="C92" i="20"/>
  <c r="C93" i="22"/>
  <c r="C69" i="20"/>
  <c r="C68" i="22"/>
  <c r="C296" i="20"/>
  <c r="C253" i="22"/>
  <c r="C89" i="22"/>
  <c r="C88" i="20"/>
  <c r="C210" i="22"/>
  <c r="C210" i="20"/>
  <c r="C132" i="20"/>
  <c r="C133" i="22"/>
  <c r="C161" i="22"/>
  <c r="C161" i="20"/>
  <c r="C163" i="22"/>
  <c r="C163" i="20"/>
  <c r="C112" i="20"/>
  <c r="C112" i="22"/>
  <c r="C85" i="22"/>
  <c r="C32" i="22"/>
  <c r="C32" i="20"/>
  <c r="C197" i="22"/>
  <c r="C197" i="20"/>
  <c r="C83" i="20"/>
  <c r="C82" i="22"/>
  <c r="C184" i="22"/>
  <c r="C185" i="20"/>
  <c r="C268" i="22"/>
  <c r="C122" i="20"/>
  <c r="C123" i="22"/>
  <c r="C164" i="20"/>
  <c r="C164" i="22"/>
  <c r="C166" i="20"/>
  <c r="C166" i="22"/>
  <c r="C162" i="22"/>
  <c r="C162" i="20"/>
  <c r="C150" i="20"/>
  <c r="C150" i="22"/>
  <c r="C143" i="20"/>
  <c r="C145" i="22"/>
  <c r="C154" i="20"/>
  <c r="C154" i="22"/>
  <c r="C91" i="20"/>
  <c r="C92" i="22"/>
  <c r="C313" i="20"/>
  <c r="C269" i="22"/>
  <c r="C62" i="22"/>
  <c r="C63" i="20"/>
  <c r="C53" i="22"/>
  <c r="C54" i="20"/>
  <c r="C84" i="22"/>
  <c r="C101" i="22"/>
  <c r="C100" i="20"/>
  <c r="C51" i="22"/>
  <c r="C52" i="20"/>
  <c r="C64" i="20"/>
  <c r="C63" i="22"/>
  <c r="C67" i="22"/>
  <c r="C68" i="20"/>
  <c r="C307" i="20"/>
  <c r="C264" i="22"/>
  <c r="C196" i="20"/>
  <c r="C196" i="22"/>
  <c r="C131" i="22"/>
  <c r="C130" i="20"/>
  <c r="C148" i="22"/>
  <c r="C146" i="20"/>
  <c r="C121" i="22"/>
  <c r="C126" i="20"/>
  <c r="C127" i="22"/>
  <c r="C122" i="22"/>
  <c r="C121" i="20"/>
  <c r="C160" i="20"/>
  <c r="C160" i="22"/>
  <c r="C134" i="20"/>
  <c r="C135" i="22"/>
  <c r="C147" i="22"/>
  <c r="C145" i="20"/>
  <c r="C120" i="20"/>
  <c r="C120" i="22"/>
  <c r="C83" i="22"/>
  <c r="C84" i="20"/>
  <c r="C73" i="22"/>
  <c r="C74" i="20"/>
  <c r="C326" i="20"/>
  <c r="C282" i="22"/>
  <c r="C263" i="22"/>
  <c r="C306" i="20"/>
  <c r="C74" i="22"/>
  <c r="C75" i="20"/>
  <c r="C139" i="22"/>
  <c r="C137" i="20"/>
  <c r="C271" i="22"/>
  <c r="C315" i="20"/>
  <c r="C55" i="20"/>
  <c r="C54" i="22"/>
  <c r="C270" i="22"/>
  <c r="C314" i="20"/>
  <c r="C275" i="22"/>
  <c r="C319" i="20"/>
  <c r="C96" i="20"/>
  <c r="C97" i="22"/>
  <c r="C224" i="22"/>
  <c r="C224" i="20"/>
  <c r="C208" i="20"/>
  <c r="C208" i="22"/>
  <c r="C221" i="22"/>
  <c r="C221" i="20"/>
  <c r="C21" i="20"/>
  <c r="C21" i="22"/>
  <c r="C199" i="20"/>
  <c r="C199" i="22"/>
  <c r="C34" i="20"/>
  <c r="C34" i="22"/>
  <c r="C329" i="20"/>
  <c r="C285" i="22"/>
  <c r="C17" i="21"/>
  <c r="C200" i="20"/>
  <c r="C200" i="22"/>
  <c r="C128" i="20"/>
  <c r="C129" i="22"/>
  <c r="C8" i="21"/>
  <c r="C41" i="22"/>
  <c r="C41" i="20"/>
  <c r="C131" i="20"/>
  <c r="C132" i="22"/>
  <c r="C251" i="22"/>
  <c r="C294" i="20"/>
  <c r="C71" i="20"/>
  <c r="C70" i="22"/>
  <c r="C143" i="22"/>
  <c r="C141" i="20"/>
  <c r="C18" i="20"/>
  <c r="C18" i="22"/>
  <c r="C114" i="22"/>
  <c r="C114" i="20"/>
  <c r="C322" i="20"/>
  <c r="C278" i="22"/>
  <c r="C220" i="20"/>
  <c r="C220" i="22"/>
  <c r="C204" i="22"/>
  <c r="C204" i="20"/>
  <c r="C289" i="20"/>
  <c r="C246" i="22"/>
  <c r="C192" i="20"/>
  <c r="C192" i="22"/>
  <c r="C88" i="22"/>
  <c r="C27" i="22"/>
  <c r="C27" i="20"/>
  <c r="C247" i="22"/>
  <c r="C290" i="20"/>
  <c r="C138" i="22"/>
  <c r="C180" i="22"/>
  <c r="C181" i="20"/>
  <c r="C179" i="20"/>
  <c r="C178" i="22"/>
  <c r="C187" i="22"/>
  <c r="C188" i="20"/>
  <c r="C299" i="20"/>
  <c r="C256" i="22"/>
  <c r="C191" i="20"/>
  <c r="C191" i="22"/>
  <c r="C201" i="20"/>
  <c r="C201" i="22"/>
  <c r="C45" i="22"/>
  <c r="C45" i="20"/>
  <c r="C35" i="20"/>
  <c r="C35" i="22"/>
  <c r="C190" i="22"/>
  <c r="C198" i="22"/>
  <c r="C198" i="20"/>
  <c r="C213" i="20"/>
  <c r="C213" i="22"/>
  <c r="C265" i="22"/>
  <c r="C308" i="20"/>
  <c r="C57" i="22"/>
  <c r="C58" i="20"/>
  <c r="C215" i="20"/>
  <c r="C215" i="22"/>
  <c r="C279" i="22"/>
  <c r="C323" i="20"/>
  <c r="C218" i="20"/>
  <c r="C218" i="22"/>
  <c r="C207" i="20"/>
  <c r="C207" i="22"/>
  <c r="C87" i="20"/>
  <c r="C87" i="22"/>
  <c r="C155" i="22"/>
  <c r="C155" i="20"/>
  <c r="C202" i="20"/>
  <c r="C202" i="22"/>
  <c r="C176" i="22"/>
  <c r="C177" i="20"/>
  <c r="C171" i="20"/>
  <c r="C171" i="22"/>
  <c r="C288" i="20"/>
  <c r="C245" i="22"/>
  <c r="C20" i="22"/>
  <c r="C20" i="20"/>
  <c r="C113" i="22"/>
  <c r="C113" i="20"/>
  <c r="C217" i="20"/>
  <c r="C217" i="22"/>
  <c r="C287" i="20"/>
  <c r="C244" i="22"/>
  <c r="C189" i="20"/>
  <c r="C188" i="22"/>
  <c r="C316" i="20"/>
  <c r="C272" i="22"/>
  <c r="C186" i="20"/>
  <c r="C185" i="22"/>
  <c r="C78" i="22"/>
  <c r="C79" i="20"/>
  <c r="C26" i="20"/>
  <c r="C26" i="22"/>
  <c r="C292" i="20"/>
  <c r="C249" i="22"/>
  <c r="C170" i="22"/>
  <c r="C170" i="20"/>
  <c r="C302" i="20"/>
  <c r="C259" i="22"/>
  <c r="C10" i="21"/>
  <c r="C43" i="22"/>
  <c r="C43" i="20"/>
  <c r="C222" i="20"/>
  <c r="C222" i="22"/>
  <c r="C203" i="22"/>
  <c r="C203" i="20"/>
  <c r="C193" i="20"/>
  <c r="C193" i="22"/>
  <c r="C216" i="20"/>
  <c r="C216" i="22"/>
  <c r="C30" i="20"/>
  <c r="C30" i="22"/>
  <c r="C22" i="20"/>
  <c r="C22" i="22"/>
  <c r="C219" i="22"/>
  <c r="C219" i="20"/>
  <c r="C211" i="20"/>
  <c r="C211" i="22"/>
  <c r="C140" i="22"/>
  <c r="C138" i="20"/>
  <c r="C37" i="20"/>
  <c r="C37" i="22"/>
  <c r="C262" i="22"/>
  <c r="C305" i="20"/>
  <c r="C24" i="20"/>
  <c r="C24" i="22"/>
  <c r="C258" i="22"/>
  <c r="C301" i="20"/>
  <c r="C117" i="20"/>
  <c r="C117" i="22"/>
  <c r="C42" i="22"/>
  <c r="C9" i="21"/>
  <c r="C42" i="20"/>
  <c r="C105" i="20"/>
  <c r="C178" i="20"/>
  <c r="C177" i="22"/>
  <c r="C97" i="20"/>
  <c r="C98" i="22"/>
  <c r="C298" i="20"/>
  <c r="C255" i="22"/>
  <c r="C184" i="20"/>
  <c r="C183" i="22"/>
  <c r="C72" i="22"/>
  <c r="C73" i="20"/>
  <c r="C72" i="20"/>
  <c r="C71" i="22"/>
  <c r="C140" i="20"/>
  <c r="C142" i="22"/>
  <c r="C225" i="20"/>
  <c r="C225" i="22"/>
  <c r="C212" i="22"/>
  <c r="C212" i="20"/>
  <c r="C187" i="20"/>
  <c r="C186" i="22"/>
  <c r="C180" i="20"/>
  <c r="C179" i="22"/>
  <c r="C151" i="22"/>
  <c r="C151" i="20"/>
  <c r="C116" i="20"/>
  <c r="C116" i="22"/>
  <c r="C127" i="20"/>
  <c r="C128" i="22"/>
  <c r="C111" i="22"/>
  <c r="C111" i="20"/>
  <c r="C233" i="22"/>
  <c r="C44" i="20"/>
  <c r="C44" i="22"/>
  <c r="C11" i="21"/>
  <c r="C28" i="20"/>
  <c r="C28" i="22"/>
  <c r="C276" i="22"/>
  <c r="C257" i="22"/>
  <c r="C300" i="20"/>
  <c r="C39" i="22"/>
  <c r="C39" i="20"/>
  <c r="C223" i="22"/>
  <c r="C223" i="20"/>
  <c r="C125" i="22"/>
  <c r="C124" i="20"/>
  <c r="C254" i="22"/>
  <c r="C297" i="20"/>
  <c r="C273" i="22"/>
  <c r="C317" i="20"/>
  <c r="C283" i="22"/>
  <c r="C327" i="20"/>
  <c r="C252" i="22"/>
  <c r="C295" i="20"/>
  <c r="C174" i="20"/>
  <c r="C173" i="22"/>
  <c r="C60" i="22"/>
  <c r="C61" i="20"/>
  <c r="C135" i="20"/>
  <c r="C136" i="22"/>
  <c r="C226" i="20"/>
  <c r="C226" i="22"/>
  <c r="C214" i="22"/>
  <c r="C214" i="20"/>
  <c r="C181" i="22"/>
  <c r="C182" i="20"/>
  <c r="C31" i="22"/>
  <c r="C31" i="20"/>
  <c r="C119" i="20"/>
  <c r="C119" i="22"/>
  <c r="C159" i="20"/>
  <c r="C159" i="22"/>
  <c r="C56" i="22"/>
  <c r="C57" i="20"/>
  <c r="C107" i="22"/>
  <c r="C95" i="20"/>
  <c r="C96" i="22"/>
  <c r="C89" i="20"/>
  <c r="C90" i="22"/>
  <c r="C324" i="20"/>
  <c r="C280" i="22"/>
  <c r="C325" i="20"/>
  <c r="C281" i="22"/>
  <c r="C321" i="20"/>
  <c r="C277" i="22"/>
  <c r="C235" i="22"/>
  <c r="C309" i="20"/>
  <c r="C266" i="22"/>
  <c r="C62" i="20"/>
  <c r="C61" i="22"/>
  <c r="C129" i="20"/>
  <c r="C130" i="22"/>
  <c r="C182" i="22"/>
  <c r="C183" i="20"/>
  <c r="C194" i="22"/>
  <c r="C194" i="20"/>
  <c r="C291" i="20"/>
  <c r="C248" i="22"/>
  <c r="C172" i="20"/>
  <c r="C172" i="22"/>
  <c r="C109" i="22"/>
  <c r="C109" i="20"/>
  <c r="C76" i="22"/>
  <c r="C77" i="20"/>
  <c r="C149" i="22"/>
  <c r="C149" i="20"/>
  <c r="C190" i="20"/>
  <c r="C189" i="22"/>
  <c r="C38" i="20"/>
  <c r="C38" i="22"/>
  <c r="C29" i="22"/>
  <c r="C29" i="20"/>
  <c r="C75" i="22"/>
  <c r="C76" i="20"/>
  <c r="C56" i="20"/>
  <c r="C55" i="22"/>
  <c r="C48" i="22"/>
  <c r="C48" i="20"/>
  <c r="C13" i="21"/>
  <c r="C86" i="22"/>
  <c r="C86" i="20"/>
  <c r="C236" i="22"/>
  <c r="C157" i="20"/>
  <c r="C157" i="22"/>
  <c r="C168" i="20"/>
  <c r="C168" i="22"/>
  <c r="C153" i="20"/>
  <c r="C153" i="22"/>
  <c r="C102" i="20"/>
  <c r="C103" i="22"/>
  <c r="C36" i="22"/>
  <c r="C36" i="20"/>
  <c r="C174" i="22"/>
  <c r="C175" i="20"/>
  <c r="C242" i="22"/>
  <c r="C77" i="22"/>
  <c r="C78" i="20"/>
  <c r="C239" i="22"/>
  <c r="C64" i="22"/>
  <c r="C65" i="20"/>
  <c r="C237" i="22"/>
  <c r="C231" i="22"/>
  <c r="C234" i="22"/>
  <c r="C206" i="22"/>
  <c r="C206" i="20"/>
  <c r="C310" i="20"/>
  <c r="C267" i="22"/>
  <c r="C158" i="20"/>
  <c r="C158" i="22"/>
  <c r="C94" i="20"/>
  <c r="C95" i="22"/>
  <c r="C94" i="22"/>
  <c r="C93" i="20"/>
  <c r="C90" i="20"/>
  <c r="C91" i="22"/>
  <c r="C79" i="22"/>
  <c r="C80" i="20"/>
  <c r="C133" i="20"/>
  <c r="C134" i="22"/>
  <c r="C144" i="22"/>
  <c r="C142" i="20"/>
  <c r="C250" i="22"/>
  <c r="C293" i="20"/>
  <c r="C175" i="22"/>
  <c r="C176" i="20"/>
  <c r="C241" i="22"/>
  <c r="C232" i="22"/>
  <c r="C59" i="20"/>
  <c r="C58" i="22"/>
  <c r="C238" i="22"/>
  <c r="C108" i="20"/>
  <c r="C108" i="22"/>
  <c r="C106" i="22"/>
  <c r="C165" i="22"/>
  <c r="C165" i="20"/>
  <c r="C156" i="20"/>
  <c r="C156" i="22"/>
  <c r="C209" i="20"/>
  <c r="C209" i="22"/>
  <c r="C125" i="20"/>
  <c r="C126" i="22"/>
  <c r="C205" i="22"/>
  <c r="C205" i="20"/>
  <c r="C110" i="20"/>
  <c r="C110" i="22"/>
  <c r="C99" i="22"/>
  <c r="C98" i="20"/>
  <c r="C101" i="20"/>
  <c r="C102" i="22"/>
  <c r="C67" i="20"/>
  <c r="C66" i="22"/>
  <c r="C152" i="22"/>
  <c r="C152" i="20"/>
  <c r="C137" i="22"/>
  <c r="C136" i="20"/>
  <c r="C227" i="20"/>
  <c r="C227" i="22"/>
  <c r="C115" i="20"/>
  <c r="C115" i="22"/>
  <c r="C274" i="22"/>
  <c r="C318" i="20"/>
  <c r="C146" i="22"/>
  <c r="C144" i="20"/>
  <c r="C167" i="20"/>
  <c r="C167" i="22"/>
  <c r="C124" i="22"/>
  <c r="C123" i="20"/>
  <c r="C139" i="20"/>
  <c r="C141" i="22"/>
  <c r="C65" i="22"/>
  <c r="C66" i="20"/>
  <c r="C230" i="22"/>
  <c r="C118" i="20"/>
  <c r="C118" i="22"/>
  <c r="C195" i="20"/>
  <c r="C195" i="22"/>
  <c r="H63" i="4"/>
  <c r="I63" i="4"/>
  <c r="G75" i="4"/>
  <c r="H75" i="4" s="1"/>
  <c r="I139" i="4"/>
  <c r="H139" i="4"/>
  <c r="G79" i="4"/>
  <c r="H79" i="4" s="1"/>
  <c r="G76" i="4"/>
  <c r="I76" i="4" s="1"/>
  <c r="I416" i="14"/>
  <c r="I394" i="14"/>
  <c r="I383" i="14"/>
  <c r="I846" i="14"/>
  <c r="I361" i="14"/>
  <c r="I317" i="14"/>
  <c r="I475" i="14"/>
  <c r="I856" i="14"/>
  <c r="I196" i="14"/>
  <c r="F154" i="8" s="1"/>
  <c r="I295" i="14"/>
  <c r="I275" i="14"/>
  <c r="I255" i="14"/>
  <c r="I245" i="14"/>
  <c r="I224" i="14"/>
  <c r="F163" i="8" s="1"/>
  <c r="I206" i="14"/>
  <c r="I150" i="14"/>
  <c r="I141" i="14"/>
  <c r="I111" i="14"/>
  <c r="F161" i="8" s="1"/>
  <c r="I81" i="14"/>
  <c r="I61" i="14"/>
  <c r="I51" i="14"/>
  <c r="F152" i="8" s="1"/>
  <c r="I41" i="14"/>
  <c r="I11" i="14"/>
  <c r="I596" i="14"/>
  <c r="I586" i="14"/>
  <c r="I563" i="14"/>
  <c r="I537" i="14"/>
  <c r="I524" i="14"/>
  <c r="I511" i="14"/>
  <c r="I351" i="14"/>
  <c r="I440" i="14"/>
  <c r="I428" i="14"/>
  <c r="D44" i="13"/>
  <c r="H76" i="4"/>
  <c r="F28" i="1"/>
  <c r="N31" i="14" s="1"/>
  <c r="H64" i="4"/>
  <c r="I64" i="4"/>
  <c r="I686" i="14"/>
  <c r="I666" i="14"/>
  <c r="I636" i="14"/>
  <c r="I626" i="14"/>
  <c r="I786" i="14"/>
  <c r="I756" i="14"/>
  <c r="I746" i="14"/>
  <c r="I706" i="14"/>
  <c r="I886" i="14"/>
  <c r="I876" i="14"/>
  <c r="I866" i="14"/>
  <c r="I836" i="14"/>
  <c r="I826" i="14"/>
  <c r="I7" i="6"/>
  <c r="F330" i="8" s="1"/>
  <c r="F63" i="13" l="1"/>
  <c r="G122" i="13"/>
  <c r="G67" i="13"/>
  <c r="G105" i="13"/>
  <c r="H122" i="13"/>
  <c r="H105" i="13"/>
  <c r="H67" i="13"/>
  <c r="F122" i="13"/>
  <c r="F105" i="13"/>
  <c r="F67" i="13"/>
  <c r="F266" i="8"/>
  <c r="F267" i="8"/>
  <c r="F264" i="8"/>
  <c r="F265" i="8"/>
  <c r="I267" i="8"/>
  <c r="I265" i="8"/>
  <c r="I266" i="8"/>
  <c r="I264" i="8"/>
  <c r="G267" i="8"/>
  <c r="G265" i="8"/>
  <c r="G266" i="8"/>
  <c r="G264" i="8"/>
  <c r="S211" i="7"/>
  <c r="H45" i="8" s="1"/>
  <c r="H266" i="8"/>
  <c r="H264" i="8"/>
  <c r="H267" i="8"/>
  <c r="H265" i="8"/>
  <c r="H65" i="13"/>
  <c r="H83" i="13" s="1"/>
  <c r="I247" i="8"/>
  <c r="F65" i="13"/>
  <c r="F83" i="13" s="1"/>
  <c r="G247" i="8"/>
  <c r="F247" i="8"/>
  <c r="E65" i="13"/>
  <c r="E83" i="13" s="1"/>
  <c r="G65" i="13"/>
  <c r="G83" i="13" s="1"/>
  <c r="H247" i="8"/>
  <c r="I50" i="5"/>
  <c r="F64" i="13"/>
  <c r="F82" i="13" s="1"/>
  <c r="G230" i="8"/>
  <c r="H64" i="13"/>
  <c r="H82" i="13" s="1"/>
  <c r="I230" i="8"/>
  <c r="F230" i="8"/>
  <c r="E64" i="13"/>
  <c r="E82" i="13" s="1"/>
  <c r="H37" i="8"/>
  <c r="H39" i="8" s="1"/>
  <c r="G40" i="8"/>
  <c r="G39" i="8"/>
  <c r="G38" i="8"/>
  <c r="H104" i="13"/>
  <c r="H121" i="13" s="1"/>
  <c r="F121" i="13"/>
  <c r="F104" i="13"/>
  <c r="H102" i="13"/>
  <c r="H119" i="13" s="1"/>
  <c r="F102" i="13"/>
  <c r="F119" i="13" s="1"/>
  <c r="H101" i="13"/>
  <c r="H118" i="13" s="1"/>
  <c r="F101" i="13"/>
  <c r="F118" i="13" s="1"/>
  <c r="H100" i="13"/>
  <c r="H117" i="13" s="1"/>
  <c r="F100" i="13"/>
  <c r="H99" i="13"/>
  <c r="H116" i="13" s="1"/>
  <c r="H98" i="13"/>
  <c r="H115" i="13" s="1"/>
  <c r="F98" i="13"/>
  <c r="F115" i="13" s="1"/>
  <c r="H97" i="13"/>
  <c r="H114" i="13" s="1"/>
  <c r="F97" i="13"/>
  <c r="F114" i="13" s="1"/>
  <c r="G104" i="13"/>
  <c r="G121" i="13" s="1"/>
  <c r="E104" i="13"/>
  <c r="E121" i="13" s="1"/>
  <c r="G102" i="13"/>
  <c r="G119" i="13" s="1"/>
  <c r="E102" i="13"/>
  <c r="E119" i="13" s="1"/>
  <c r="G101" i="13"/>
  <c r="G118" i="13" s="1"/>
  <c r="E118" i="13"/>
  <c r="E101" i="13"/>
  <c r="E117" i="13"/>
  <c r="E100" i="13"/>
  <c r="G99" i="13"/>
  <c r="G116" i="13" s="1"/>
  <c r="E116" i="13"/>
  <c r="E99" i="13"/>
  <c r="G115" i="13"/>
  <c r="G98" i="13"/>
  <c r="E115" i="13"/>
  <c r="E98" i="13"/>
  <c r="G114" i="13"/>
  <c r="G97" i="13"/>
  <c r="E114" i="13"/>
  <c r="E97" i="13"/>
  <c r="I464" i="14"/>
  <c r="I119" i="7"/>
  <c r="F275" i="8" s="1"/>
  <c r="F260" i="8"/>
  <c r="I28" i="7"/>
  <c r="I38" i="7"/>
  <c r="F271" i="8" s="1"/>
  <c r="I48" i="7"/>
  <c r="I58" i="7"/>
  <c r="F261" i="8" s="1"/>
  <c r="I68" i="7"/>
  <c r="F272" i="8" s="1"/>
  <c r="I78" i="7"/>
  <c r="F268" i="8" s="1"/>
  <c r="I88" i="7"/>
  <c r="I109" i="7"/>
  <c r="F273" i="8" s="1"/>
  <c r="I382" i="7"/>
  <c r="I502" i="7"/>
  <c r="E122" i="13" s="1"/>
  <c r="I512" i="7"/>
  <c r="I572" i="7"/>
  <c r="Z5" i="25"/>
  <c r="I8" i="15"/>
  <c r="I7" i="16"/>
  <c r="F99" i="8" s="1"/>
  <c r="I144" i="4"/>
  <c r="H86" i="4"/>
  <c r="I86" i="4"/>
  <c r="H40" i="4"/>
  <c r="I36" i="4"/>
  <c r="I31" i="14"/>
  <c r="F153" i="8" s="1"/>
  <c r="I716" i="14"/>
  <c r="I332" i="7"/>
  <c r="I115" i="4"/>
  <c r="H115" i="4"/>
  <c r="I114" i="4"/>
  <c r="H114" i="4"/>
  <c r="H117" i="4"/>
  <c r="I117" i="4"/>
  <c r="I112" i="4"/>
  <c r="H112" i="4"/>
  <c r="I22" i="4"/>
  <c r="H22" i="4"/>
  <c r="G59" i="4"/>
  <c r="I59" i="4" s="1"/>
  <c r="G140" i="4"/>
  <c r="I140" i="4" s="1"/>
  <c r="G142" i="4"/>
  <c r="I142" i="4" s="1"/>
  <c r="G10" i="4"/>
  <c r="I10" i="4" s="1"/>
  <c r="H10" i="4"/>
  <c r="G12" i="4"/>
  <c r="H12" i="4"/>
  <c r="I12" i="4"/>
  <c r="G83" i="4"/>
  <c r="H83" i="4" s="1"/>
  <c r="G73" i="4"/>
  <c r="I73" i="4" s="1"/>
  <c r="I109" i="4"/>
  <c r="H109" i="4"/>
  <c r="H39" i="4"/>
  <c r="I39" i="4"/>
  <c r="G14" i="4"/>
  <c r="H14" i="4" s="1"/>
  <c r="G141" i="4"/>
  <c r="I141" i="4" s="1"/>
  <c r="G11" i="4"/>
  <c r="I11" i="4" s="1"/>
  <c r="G130" i="4"/>
  <c r="I130" i="4" s="1"/>
  <c r="D37" i="8"/>
  <c r="D30" i="13"/>
  <c r="H43" i="1"/>
  <c r="I341" i="5"/>
  <c r="I511" i="5"/>
  <c r="I591" i="5"/>
  <c r="I44" i="13"/>
  <c r="I30" i="13"/>
  <c r="F159" i="6"/>
  <c r="H28" i="1"/>
  <c r="H70" i="4"/>
  <c r="H41" i="4"/>
  <c r="I312" i="7"/>
  <c r="I601" i="5"/>
  <c r="F258" i="8" s="1"/>
  <c r="I129" i="7"/>
  <c r="F262" i="8" s="1"/>
  <c r="I149" i="7"/>
  <c r="F270" i="8" s="1"/>
  <c r="I292" i="7"/>
  <c r="I392" i="7"/>
  <c r="I462" i="7"/>
  <c r="I372" i="7"/>
  <c r="I432" i="7"/>
  <c r="E123" i="13" s="1"/>
  <c r="I402" i="7"/>
  <c r="I442" i="7"/>
  <c r="I599" i="7"/>
  <c r="F91" i="8" s="1"/>
  <c r="I99" i="7"/>
  <c r="F274" i="8" s="1"/>
  <c r="I282" i="7"/>
  <c r="I362" i="7"/>
  <c r="I422" i="7"/>
  <c r="I554" i="7"/>
  <c r="F97" i="8" s="1"/>
  <c r="I581" i="7"/>
  <c r="H132" i="4"/>
  <c r="I131" i="4"/>
  <c r="I135" i="4"/>
  <c r="H135" i="4"/>
  <c r="I126" i="4"/>
  <c r="H126" i="4"/>
  <c r="I122" i="4"/>
  <c r="H122" i="4"/>
  <c r="I125" i="4"/>
  <c r="H125" i="4"/>
  <c r="I121" i="4"/>
  <c r="H121" i="4"/>
  <c r="H119" i="4"/>
  <c r="I119" i="4"/>
  <c r="I75" i="4"/>
  <c r="J158" i="4"/>
  <c r="K158" i="4" s="1"/>
  <c r="N158" i="4" s="1"/>
  <c r="J71" i="4"/>
  <c r="K71" i="4" s="1"/>
  <c r="N71" i="4" s="1"/>
  <c r="J127" i="4"/>
  <c r="K127" i="4" s="1"/>
  <c r="N127" i="4" s="1"/>
  <c r="J151" i="4"/>
  <c r="K151" i="4" s="1"/>
  <c r="J70" i="4"/>
  <c r="K70" i="4" s="1"/>
  <c r="M70" i="4" s="1"/>
  <c r="J32" i="4"/>
  <c r="K32" i="4" s="1"/>
  <c r="J121" i="4"/>
  <c r="K121" i="4" s="1"/>
  <c r="N121" i="4" s="1"/>
  <c r="J114" i="4"/>
  <c r="K114" i="4" s="1"/>
  <c r="J109" i="4"/>
  <c r="K109" i="4" s="1"/>
  <c r="Z109" i="4" s="1"/>
  <c r="J135" i="4"/>
  <c r="K135" i="4" s="1"/>
  <c r="N135" i="4" s="1"/>
  <c r="J76" i="4"/>
  <c r="K76" i="4" s="1"/>
  <c r="M76" i="4" s="1"/>
  <c r="J132" i="4"/>
  <c r="K132" i="4" s="1"/>
  <c r="J152" i="4"/>
  <c r="K152" i="4" s="1"/>
  <c r="N152" i="4" s="1"/>
  <c r="J120" i="4"/>
  <c r="K120" i="4" s="1"/>
  <c r="M120" i="4" s="1"/>
  <c r="J86" i="4"/>
  <c r="K86" i="4" s="1"/>
  <c r="J126" i="4"/>
  <c r="K126" i="4" s="1"/>
  <c r="M126" i="4" s="1"/>
  <c r="J20" i="4"/>
  <c r="K20" i="4" s="1"/>
  <c r="J156" i="4"/>
  <c r="K156" i="4" s="1"/>
  <c r="M156" i="4" s="1"/>
  <c r="J155" i="4"/>
  <c r="K155" i="4" s="1"/>
  <c r="J39" i="4"/>
  <c r="K39" i="4" s="1"/>
  <c r="Z39" i="4" s="1"/>
  <c r="J112" i="4"/>
  <c r="K112" i="4" s="1"/>
  <c r="J144" i="4"/>
  <c r="K144" i="4" s="1"/>
  <c r="W76" i="4"/>
  <c r="J106" i="4"/>
  <c r="K106" i="4" s="1"/>
  <c r="J145" i="4"/>
  <c r="K145" i="4" s="1"/>
  <c r="M145" i="4" s="1"/>
  <c r="J26" i="4"/>
  <c r="K26" i="4" s="1"/>
  <c r="J96" i="4"/>
  <c r="K96" i="4" s="1"/>
  <c r="V96" i="4" s="1"/>
  <c r="J41" i="4"/>
  <c r="K41" i="4" s="1"/>
  <c r="J19" i="4"/>
  <c r="K19" i="4" s="1"/>
  <c r="M19" i="4" s="1"/>
  <c r="J27" i="4"/>
  <c r="K27" i="4" s="1"/>
  <c r="J153" i="4"/>
  <c r="K153" i="4" s="1"/>
  <c r="N153" i="4" s="1"/>
  <c r="J64" i="4"/>
  <c r="K64" i="4" s="1"/>
  <c r="N76" i="4"/>
  <c r="J22" i="4"/>
  <c r="K22" i="4" s="1"/>
  <c r="J115" i="4"/>
  <c r="K115" i="4" s="1"/>
  <c r="N115" i="4" s="1"/>
  <c r="J63" i="4"/>
  <c r="K63" i="4" s="1"/>
  <c r="Z63" i="4" s="1"/>
  <c r="J157" i="4"/>
  <c r="K157" i="4" s="1"/>
  <c r="J31" i="4"/>
  <c r="K31" i="4" s="1"/>
  <c r="N31" i="4" s="1"/>
  <c r="J12" i="4"/>
  <c r="K12" i="4" s="1"/>
  <c r="J33" i="4"/>
  <c r="K33" i="4" s="1"/>
  <c r="S33" i="4" s="1"/>
  <c r="J36" i="4"/>
  <c r="K36" i="4" s="1"/>
  <c r="J122" i="4"/>
  <c r="K122" i="4" s="1"/>
  <c r="M122" i="4" s="1"/>
  <c r="C10" i="6" s="1"/>
  <c r="J139" i="4"/>
  <c r="K139" i="4" s="1"/>
  <c r="J18" i="4"/>
  <c r="K18" i="4" s="1"/>
  <c r="N18" i="4" s="1"/>
  <c r="J117" i="4"/>
  <c r="K117" i="4" s="1"/>
  <c r="J23" i="4"/>
  <c r="K23" i="4" s="1"/>
  <c r="M23" i="4" s="1"/>
  <c r="J94" i="4"/>
  <c r="K94" i="4" s="1"/>
  <c r="J75" i="4"/>
  <c r="K75" i="4" s="1"/>
  <c r="W75" i="4" s="1"/>
  <c r="J69" i="4"/>
  <c r="K69" i="4" s="1"/>
  <c r="M69" i="4" s="1"/>
  <c r="J131" i="4"/>
  <c r="K131" i="4" s="1"/>
  <c r="J105" i="4"/>
  <c r="K105" i="4" s="1"/>
  <c r="M105" i="4" s="1"/>
  <c r="J61" i="4"/>
  <c r="K61" i="4" s="1"/>
  <c r="J40" i="4"/>
  <c r="K40" i="4" s="1"/>
  <c r="N40" i="4" s="1"/>
  <c r="J28" i="4"/>
  <c r="K28" i="4" s="1"/>
  <c r="J111" i="4"/>
  <c r="K111" i="4" s="1"/>
  <c r="N111" i="4" s="1"/>
  <c r="S302" i="7"/>
  <c r="S292" i="7"/>
  <c r="H47" i="1"/>
  <c r="H39" i="1"/>
  <c r="S282" i="7"/>
  <c r="H31" i="1"/>
  <c r="S9" i="5"/>
  <c r="C213" i="7"/>
  <c r="C223" i="7" s="1"/>
  <c r="C233" i="7" s="1"/>
  <c r="N114" i="4"/>
  <c r="M114" i="4"/>
  <c r="H68" i="4"/>
  <c r="I68" i="4"/>
  <c r="H50" i="4"/>
  <c r="I50" i="4"/>
  <c r="I66" i="4"/>
  <c r="H66" i="4"/>
  <c r="I49" i="4"/>
  <c r="H49" i="4"/>
  <c r="J49" i="4" s="1"/>
  <c r="K49" i="4" s="1"/>
  <c r="H110" i="4"/>
  <c r="I110" i="4"/>
  <c r="J110" i="4" s="1"/>
  <c r="K110" i="4" s="1"/>
  <c r="I100" i="4"/>
  <c r="H100" i="4"/>
  <c r="H102" i="4"/>
  <c r="I102" i="4"/>
  <c r="I81" i="4"/>
  <c r="H81" i="4"/>
  <c r="H90" i="4"/>
  <c r="I90" i="4"/>
  <c r="H92" i="4"/>
  <c r="I92" i="4"/>
  <c r="I95" i="4"/>
  <c r="H95" i="4"/>
  <c r="G55" i="4"/>
  <c r="H55" i="4" s="1"/>
  <c r="G56" i="4"/>
  <c r="I56" i="4" s="1"/>
  <c r="I150" i="4"/>
  <c r="H150" i="4"/>
  <c r="G46" i="4"/>
  <c r="I46" i="4" s="1"/>
  <c r="I134" i="4"/>
  <c r="H134" i="4"/>
  <c r="I137" i="4"/>
  <c r="H137" i="4"/>
  <c r="G147" i="4"/>
  <c r="H147" i="4" s="1"/>
  <c r="G85" i="4"/>
  <c r="H85" i="4"/>
  <c r="I85" i="4"/>
  <c r="J85" i="4"/>
  <c r="K85" i="4" s="1"/>
  <c r="N85" i="4" s="1"/>
  <c r="G104" i="4"/>
  <c r="I104" i="4"/>
  <c r="H116" i="4"/>
  <c r="I116" i="4"/>
  <c r="G74" i="4"/>
  <c r="H74" i="4" s="1"/>
  <c r="I74" i="4"/>
  <c r="Z5" i="13"/>
  <c r="Z3" i="11"/>
  <c r="Z7" i="14"/>
  <c r="Z5" i="7"/>
  <c r="Z5" i="6"/>
  <c r="Z5" i="2"/>
  <c r="Z5" i="15"/>
  <c r="Z5" i="16"/>
  <c r="Z5" i="5"/>
  <c r="I107" i="4"/>
  <c r="H107" i="4"/>
  <c r="H58" i="4"/>
  <c r="I58" i="4"/>
  <c r="I65" i="4"/>
  <c r="H65" i="4"/>
  <c r="I45" i="4"/>
  <c r="H45" i="4"/>
  <c r="I60" i="4"/>
  <c r="H60" i="4"/>
  <c r="H15" i="4"/>
  <c r="I15" i="4"/>
  <c r="I35" i="4"/>
  <c r="H35" i="4"/>
  <c r="H124" i="4"/>
  <c r="I124" i="4"/>
  <c r="I101" i="4"/>
  <c r="H101" i="4"/>
  <c r="I99" i="4"/>
  <c r="H99" i="4"/>
  <c r="I78" i="4"/>
  <c r="H78" i="4"/>
  <c r="I91" i="4"/>
  <c r="H91" i="4"/>
  <c r="I89" i="4"/>
  <c r="H89" i="4"/>
  <c r="S68" i="7"/>
  <c r="H272" i="8" s="1"/>
  <c r="S150" i="7"/>
  <c r="S149" i="7" s="1"/>
  <c r="H270" i="8" s="1"/>
  <c r="S49" i="7"/>
  <c r="S48" i="7" s="1"/>
  <c r="S130" i="7"/>
  <c r="S129" i="7" s="1"/>
  <c r="H262" i="8" s="1"/>
  <c r="S38" i="7"/>
  <c r="H271" i="8" s="1"/>
  <c r="S110" i="7"/>
  <c r="S109" i="7" s="1"/>
  <c r="H273" i="8" s="1"/>
  <c r="S8" i="7"/>
  <c r="H260" i="8" s="1"/>
  <c r="S272" i="7"/>
  <c r="G53" i="4"/>
  <c r="I53" i="4" s="1"/>
  <c r="G54" i="4"/>
  <c r="G47" i="4"/>
  <c r="H47" i="4" s="1"/>
  <c r="G136" i="4"/>
  <c r="G146" i="4"/>
  <c r="H146" i="4" s="1"/>
  <c r="I129" i="4"/>
  <c r="H129" i="4"/>
  <c r="G84" i="4"/>
  <c r="I97" i="4"/>
  <c r="H97" i="4"/>
  <c r="G80" i="4"/>
  <c r="I80" i="4" s="1"/>
  <c r="S7" i="6"/>
  <c r="S44" i="13"/>
  <c r="Z44" i="13" s="1"/>
  <c r="M135" i="4"/>
  <c r="V76" i="4"/>
  <c r="I55" i="4"/>
  <c r="H56" i="4"/>
  <c r="J66" i="4"/>
  <c r="K66" i="4" s="1"/>
  <c r="H104" i="4"/>
  <c r="J104" i="4" s="1"/>
  <c r="K104" i="4" s="1"/>
  <c r="J100" i="4"/>
  <c r="K100" i="4" s="1"/>
  <c r="M100" i="4" s="1"/>
  <c r="J68" i="4"/>
  <c r="G85" i="13"/>
  <c r="G86" i="13"/>
  <c r="E87" i="13"/>
  <c r="G87" i="13"/>
  <c r="I79" i="4"/>
  <c r="J79" i="4" s="1"/>
  <c r="K79" i="4" s="1"/>
  <c r="F85" i="13"/>
  <c r="H85" i="13"/>
  <c r="F86" i="13"/>
  <c r="H86" i="13"/>
  <c r="F87" i="13"/>
  <c r="H87" i="13"/>
  <c r="Z112" i="4"/>
  <c r="N112" i="4"/>
  <c r="M112" i="4"/>
  <c r="N109" i="4"/>
  <c r="M109" i="4"/>
  <c r="N28" i="4"/>
  <c r="M28" i="4"/>
  <c r="Y28" i="4"/>
  <c r="N22" i="4"/>
  <c r="M22" i="4"/>
  <c r="Z111" i="4"/>
  <c r="M40" i="4"/>
  <c r="Z64" i="4"/>
  <c r="N64" i="4"/>
  <c r="M64" i="4"/>
  <c r="M155" i="4"/>
  <c r="N155" i="4"/>
  <c r="U32" i="4"/>
  <c r="N32" i="4"/>
  <c r="S32" i="4"/>
  <c r="M32" i="4"/>
  <c r="S31" i="4"/>
  <c r="M12" i="4"/>
  <c r="O12" i="4"/>
  <c r="N12" i="4"/>
  <c r="W12" i="4"/>
  <c r="U33" i="4"/>
  <c r="Z105" i="4"/>
  <c r="N36" i="4"/>
  <c r="M36" i="4"/>
  <c r="W96" i="4"/>
  <c r="M61" i="4"/>
  <c r="N61" i="4"/>
  <c r="O126" i="4"/>
  <c r="M127" i="4"/>
  <c r="O127" i="4"/>
  <c r="M86" i="4"/>
  <c r="N86" i="4"/>
  <c r="T86" i="4"/>
  <c r="N23" i="4"/>
  <c r="M94" i="4"/>
  <c r="C11" i="7" s="1"/>
  <c r="N94" i="4"/>
  <c r="V94" i="4"/>
  <c r="W94" i="4"/>
  <c r="M71" i="4"/>
  <c r="M158" i="4"/>
  <c r="Q132" i="4"/>
  <c r="M132" i="4"/>
  <c r="C557" i="7" s="1"/>
  <c r="R132" i="4"/>
  <c r="N132" i="4"/>
  <c r="H120" i="13"/>
  <c r="F120" i="13"/>
  <c r="M39" i="4"/>
  <c r="N39" i="4"/>
  <c r="N27" i="4"/>
  <c r="M27" i="4"/>
  <c r="Y27" i="4"/>
  <c r="N41" i="4"/>
  <c r="Z41" i="4"/>
  <c r="M41" i="4"/>
  <c r="N63" i="4"/>
  <c r="M157" i="4"/>
  <c r="N157" i="4"/>
  <c r="N106" i="4"/>
  <c r="M106" i="4"/>
  <c r="Z106" i="4"/>
  <c r="T106" i="4"/>
  <c r="N156" i="4"/>
  <c r="N70" i="4"/>
  <c r="M20" i="4"/>
  <c r="N20" i="4"/>
  <c r="N26" i="4"/>
  <c r="M26" i="4"/>
  <c r="Y26" i="4"/>
  <c r="M151" i="4"/>
  <c r="N151" i="4"/>
  <c r="M139" i="4"/>
  <c r="N139" i="4"/>
  <c r="M18" i="4"/>
  <c r="M144" i="4"/>
  <c r="O144" i="4"/>
  <c r="N144" i="4"/>
  <c r="M117" i="4"/>
  <c r="C9" i="11" s="1"/>
  <c r="N117" i="4"/>
  <c r="N120" i="4"/>
  <c r="Q131" i="4"/>
  <c r="N131" i="4"/>
  <c r="R131" i="4"/>
  <c r="M131" i="4"/>
  <c r="M152" i="4"/>
  <c r="G120" i="13"/>
  <c r="E120" i="13"/>
  <c r="C601" i="7" l="1"/>
  <c r="C610" i="7" s="1"/>
  <c r="C619" i="7" s="1"/>
  <c r="C628" i="7" s="1"/>
  <c r="C2" i="26"/>
  <c r="C2" i="2"/>
  <c r="C2" i="15"/>
  <c r="C2" i="25"/>
  <c r="H38" i="8"/>
  <c r="F81" i="13"/>
  <c r="H40" i="8"/>
  <c r="G64" i="13"/>
  <c r="G82" i="13" s="1"/>
  <c r="G100" i="13" s="1"/>
  <c r="H230" i="8"/>
  <c r="G117" i="13"/>
  <c r="G108" i="13"/>
  <c r="F117" i="13"/>
  <c r="J37" i="8"/>
  <c r="J40" i="8" s="1"/>
  <c r="F37" i="8"/>
  <c r="E125" i="13"/>
  <c r="G125" i="13"/>
  <c r="C253" i="7"/>
  <c r="C243" i="7"/>
  <c r="H108" i="13"/>
  <c r="E72" i="13"/>
  <c r="F42" i="8" s="1"/>
  <c r="E86" i="13"/>
  <c r="E85" i="13"/>
  <c r="E108" i="13"/>
  <c r="J91" i="4"/>
  <c r="K91" i="4" s="1"/>
  <c r="J99" i="4"/>
  <c r="K99" i="4" s="1"/>
  <c r="J35" i="4"/>
  <c r="K35" i="4" s="1"/>
  <c r="J65" i="4"/>
  <c r="K65" i="4" s="1"/>
  <c r="M65" i="4" s="1"/>
  <c r="J107" i="4"/>
  <c r="K107" i="4" s="1"/>
  <c r="J119" i="4"/>
  <c r="K119" i="4" s="1"/>
  <c r="M119" i="4" s="1"/>
  <c r="H11" i="4"/>
  <c r="J11" i="4" s="1"/>
  <c r="K11" i="4" s="1"/>
  <c r="H141" i="4"/>
  <c r="J141" i="4" s="1"/>
  <c r="K141" i="4" s="1"/>
  <c r="I83" i="4"/>
  <c r="J83" i="4" s="1"/>
  <c r="K83" i="4" s="1"/>
  <c r="J10" i="4"/>
  <c r="K10" i="4" s="1"/>
  <c r="I147" i="4"/>
  <c r="J134" i="4"/>
  <c r="K134" i="4" s="1"/>
  <c r="O135" i="4"/>
  <c r="H130" i="4"/>
  <c r="J130" i="4" s="1"/>
  <c r="K130" i="4" s="1"/>
  <c r="J101" i="4"/>
  <c r="K101" i="4" s="1"/>
  <c r="H73" i="4"/>
  <c r="J73" i="4" s="1"/>
  <c r="K73" i="4" s="1"/>
  <c r="D40" i="8"/>
  <c r="D39" i="8"/>
  <c r="E37" i="8"/>
  <c r="D38" i="8"/>
  <c r="P100" i="4"/>
  <c r="J147" i="4"/>
  <c r="K147" i="4" s="1"/>
  <c r="N119" i="4"/>
  <c r="Y126" i="4"/>
  <c r="M121" i="4"/>
  <c r="J116" i="4"/>
  <c r="K116" i="4" s="1"/>
  <c r="M116" i="4" s="1"/>
  <c r="J78" i="4"/>
  <c r="K78" i="4" s="1"/>
  <c r="N75" i="4"/>
  <c r="W10" i="4"/>
  <c r="O10" i="4"/>
  <c r="AA30" i="13"/>
  <c r="AC30" i="13" s="1"/>
  <c r="J137" i="4"/>
  <c r="K137" i="4" s="1"/>
  <c r="J95" i="4"/>
  <c r="K95" i="4" s="1"/>
  <c r="V95" i="4" s="1"/>
  <c r="J92" i="4"/>
  <c r="K92" i="4" s="1"/>
  <c r="J90" i="4"/>
  <c r="K90" i="4" s="1"/>
  <c r="J50" i="4"/>
  <c r="K50" i="4" s="1"/>
  <c r="J125" i="4"/>
  <c r="K125" i="4" s="1"/>
  <c r="Y125" i="4" s="1"/>
  <c r="I14" i="4"/>
  <c r="J14" i="4" s="1"/>
  <c r="K14" i="4" s="1"/>
  <c r="H142" i="4"/>
  <c r="J142" i="4" s="1"/>
  <c r="K142" i="4" s="1"/>
  <c r="H140" i="4"/>
  <c r="J140" i="4" s="1"/>
  <c r="K140" i="4" s="1"/>
  <c r="H59" i="4"/>
  <c r="J59" i="4" s="1"/>
  <c r="K59" i="4" s="1"/>
  <c r="G90" i="13"/>
  <c r="H43" i="8" s="1"/>
  <c r="I146" i="4"/>
  <c r="J146" i="4" s="1"/>
  <c r="K146" i="4" s="1"/>
  <c r="J129" i="4"/>
  <c r="K129" i="4" s="1"/>
  <c r="N129" i="4" s="1"/>
  <c r="O125" i="4"/>
  <c r="J102" i="4"/>
  <c r="K102" i="4" s="1"/>
  <c r="N10" i="4"/>
  <c r="N122" i="4"/>
  <c r="N145" i="4"/>
  <c r="M63" i="4"/>
  <c r="N69" i="4"/>
  <c r="M153" i="4"/>
  <c r="M11" i="4"/>
  <c r="Y127" i="4"/>
  <c r="N126" i="4"/>
  <c r="M96" i="4"/>
  <c r="N105" i="4"/>
  <c r="N33" i="4"/>
  <c r="M31" i="4"/>
  <c r="N19" i="4"/>
  <c r="N73" i="4"/>
  <c r="M111" i="4"/>
  <c r="M75" i="4"/>
  <c r="M115" i="4"/>
  <c r="M10" i="4"/>
  <c r="O145" i="4"/>
  <c r="N96" i="4"/>
  <c r="T105" i="4"/>
  <c r="M33" i="4"/>
  <c r="U31" i="4"/>
  <c r="Z40" i="4"/>
  <c r="Z65" i="4"/>
  <c r="V75" i="4"/>
  <c r="T85" i="4"/>
  <c r="N100" i="4"/>
  <c r="U100" i="4"/>
  <c r="Z107" i="4"/>
  <c r="X79" i="4"/>
  <c r="S79" i="4"/>
  <c r="W79" i="4"/>
  <c r="N79" i="4"/>
  <c r="Q79" i="4"/>
  <c r="R79" i="4"/>
  <c r="Y79" i="4"/>
  <c r="U79" i="4"/>
  <c r="M79" i="4"/>
  <c r="C203" i="2" s="1"/>
  <c r="N104" i="4"/>
  <c r="T104" i="4"/>
  <c r="Z104" i="4"/>
  <c r="M104" i="4"/>
  <c r="C267" i="7" s="1"/>
  <c r="N147" i="4"/>
  <c r="O147" i="4"/>
  <c r="M147" i="4"/>
  <c r="M95" i="4"/>
  <c r="W90" i="4"/>
  <c r="M90" i="4"/>
  <c r="N90" i="4"/>
  <c r="W50" i="4"/>
  <c r="M50" i="4"/>
  <c r="N50" i="4"/>
  <c r="AA44" i="13"/>
  <c r="AC44" i="13" s="1"/>
  <c r="M35" i="4"/>
  <c r="N35" i="4"/>
  <c r="N116" i="4"/>
  <c r="M110" i="4"/>
  <c r="Z110" i="4"/>
  <c r="N110" i="4"/>
  <c r="N134" i="4"/>
  <c r="O134" i="4"/>
  <c r="M134" i="4"/>
  <c r="N66" i="4"/>
  <c r="M66" i="4"/>
  <c r="Z66" i="4"/>
  <c r="I84" i="4"/>
  <c r="H136" i="4"/>
  <c r="J89" i="4"/>
  <c r="K89" i="4" s="1"/>
  <c r="W91" i="4"/>
  <c r="N91" i="4"/>
  <c r="M91" i="4"/>
  <c r="W78" i="4"/>
  <c r="X78" i="4"/>
  <c r="S78" i="4"/>
  <c r="U78" i="4"/>
  <c r="Q78" i="4"/>
  <c r="R78" i="4"/>
  <c r="N78" i="4"/>
  <c r="Y78" i="4"/>
  <c r="M78" i="4"/>
  <c r="U99" i="4"/>
  <c r="M99" i="4"/>
  <c r="N99" i="4"/>
  <c r="X99" i="4"/>
  <c r="S99" i="4"/>
  <c r="Y99" i="4"/>
  <c r="P99" i="4"/>
  <c r="M101" i="4"/>
  <c r="Y101" i="4"/>
  <c r="N101" i="4"/>
  <c r="U101" i="4"/>
  <c r="X101" i="4"/>
  <c r="S101" i="4"/>
  <c r="P101" i="4"/>
  <c r="J60" i="4"/>
  <c r="K60" i="4" s="1"/>
  <c r="J45" i="4"/>
  <c r="K45" i="4" s="1"/>
  <c r="N92" i="4"/>
  <c r="W92" i="4"/>
  <c r="M92" i="4"/>
  <c r="P102" i="4"/>
  <c r="N102" i="4"/>
  <c r="Y102" i="4"/>
  <c r="S102" i="4"/>
  <c r="X102" i="4"/>
  <c r="U102" i="4"/>
  <c r="M102" i="4"/>
  <c r="C265" i="7" s="1"/>
  <c r="M49" i="4"/>
  <c r="N49" i="4"/>
  <c r="W49" i="4"/>
  <c r="H80" i="4"/>
  <c r="J80" i="4" s="1"/>
  <c r="K80" i="4" s="1"/>
  <c r="H53" i="4"/>
  <c r="J53" i="4"/>
  <c r="J55" i="4"/>
  <c r="K55" i="4" s="1"/>
  <c r="F72" i="13"/>
  <c r="G42" i="8" s="1"/>
  <c r="F90" i="13"/>
  <c r="G43" i="8" s="1"/>
  <c r="G72" i="13"/>
  <c r="H42" i="8" s="1"/>
  <c r="H54" i="4"/>
  <c r="J124" i="4"/>
  <c r="K124" i="4" s="1"/>
  <c r="H46" i="4"/>
  <c r="K68" i="4"/>
  <c r="C9" i="6"/>
  <c r="M137" i="4"/>
  <c r="N65" i="4"/>
  <c r="M85" i="4"/>
  <c r="S100" i="4"/>
  <c r="Y100" i="4"/>
  <c r="X100" i="4"/>
  <c r="T107" i="4"/>
  <c r="H72" i="13"/>
  <c r="I42" i="8" s="1"/>
  <c r="H90" i="13"/>
  <c r="I43" i="8" s="1"/>
  <c r="J97" i="4"/>
  <c r="K97" i="4" s="1"/>
  <c r="H84" i="4"/>
  <c r="J84" i="4" s="1"/>
  <c r="K84" i="4" s="1"/>
  <c r="I136" i="4"/>
  <c r="I47" i="4"/>
  <c r="J47" i="4" s="1"/>
  <c r="K47" i="4" s="1"/>
  <c r="I54" i="4"/>
  <c r="J15" i="4"/>
  <c r="K15" i="4" s="1"/>
  <c r="J58" i="4"/>
  <c r="K58" i="4" s="1"/>
  <c r="J74" i="4"/>
  <c r="K74" i="4" s="1"/>
  <c r="J46" i="4"/>
  <c r="J150" i="4"/>
  <c r="K150" i="4" s="1"/>
  <c r="J56" i="4"/>
  <c r="K56" i="4" s="1"/>
  <c r="J81" i="4"/>
  <c r="K81" i="4" s="1"/>
  <c r="C15" i="7"/>
  <c r="C8" i="7" s="1"/>
  <c r="C21" i="7"/>
  <c r="C2" i="5"/>
  <c r="C61" i="2"/>
  <c r="C13" i="11"/>
  <c r="C6" i="11" s="1"/>
  <c r="C18" i="11"/>
  <c r="H125" i="13"/>
  <c r="C561" i="7"/>
  <c r="C554" i="7" s="1"/>
  <c r="C566" i="7"/>
  <c r="C14" i="6"/>
  <c r="C7" i="6" s="1"/>
  <c r="M129" i="4" l="1"/>
  <c r="C3" i="16"/>
  <c r="C10" i="16" s="1"/>
  <c r="C20" i="16" s="1"/>
  <c r="C30" i="16" s="1"/>
  <c r="C40" i="16" s="1"/>
  <c r="C50" i="16" s="1"/>
  <c r="C60" i="16" s="1"/>
  <c r="C70" i="16" s="1"/>
  <c r="C80" i="16" s="1"/>
  <c r="C90" i="16" s="1"/>
  <c r="C100" i="16" s="1"/>
  <c r="C110" i="16" s="1"/>
  <c r="C120" i="16" s="1"/>
  <c r="W95" i="4"/>
  <c r="C11" i="26"/>
  <c r="C21" i="26"/>
  <c r="C21" i="25"/>
  <c r="C11" i="25"/>
  <c r="J39" i="8"/>
  <c r="F99" i="13"/>
  <c r="J38" i="8"/>
  <c r="E90" i="13"/>
  <c r="F43" i="8" s="1"/>
  <c r="F38" i="8"/>
  <c r="F39" i="8"/>
  <c r="F40" i="8"/>
  <c r="N83" i="4"/>
  <c r="T83" i="4"/>
  <c r="M83" i="4"/>
  <c r="N11" i="4"/>
  <c r="W11" i="4"/>
  <c r="O11" i="4"/>
  <c r="M141" i="4"/>
  <c r="N141" i="4"/>
  <c r="M107" i="4"/>
  <c r="N107" i="4"/>
  <c r="R130" i="4"/>
  <c r="Q130" i="4"/>
  <c r="N130" i="4"/>
  <c r="M130" i="4"/>
  <c r="Q129" i="4"/>
  <c r="N125" i="4"/>
  <c r="N95" i="4"/>
  <c r="C11" i="5"/>
  <c r="C21" i="5"/>
  <c r="W73" i="4"/>
  <c r="V73" i="4"/>
  <c r="M73" i="4"/>
  <c r="E38" i="8"/>
  <c r="E39" i="8"/>
  <c r="E40" i="8"/>
  <c r="K37" i="8"/>
  <c r="L37" i="8" s="1"/>
  <c r="R129" i="4"/>
  <c r="M125" i="4"/>
  <c r="M59" i="4"/>
  <c r="N59" i="4"/>
  <c r="N142" i="4"/>
  <c r="M142" i="4"/>
  <c r="O137" i="4"/>
  <c r="N137" i="4"/>
  <c r="N140" i="4"/>
  <c r="M140" i="4"/>
  <c r="M14" i="4"/>
  <c r="N14" i="4"/>
  <c r="M146" i="4"/>
  <c r="N146" i="4"/>
  <c r="O146" i="4"/>
  <c r="C10" i="13"/>
  <c r="C11" i="2"/>
  <c r="C21" i="2" s="1"/>
  <c r="C31" i="2" s="1"/>
  <c r="J136" i="4"/>
  <c r="K136" i="4" s="1"/>
  <c r="M136" i="4" s="1"/>
  <c r="K53" i="4"/>
  <c r="M53" i="4" s="1"/>
  <c r="M56" i="4"/>
  <c r="N56" i="4"/>
  <c r="P47" i="4"/>
  <c r="N47" i="4"/>
  <c r="T47" i="4"/>
  <c r="W47" i="4"/>
  <c r="M47" i="4"/>
  <c r="N84" i="4"/>
  <c r="M84" i="4"/>
  <c r="T84" i="4"/>
  <c r="R81" i="4"/>
  <c r="U81" i="4"/>
  <c r="M81" i="4"/>
  <c r="C264" i="7" s="1"/>
  <c r="S81" i="4"/>
  <c r="W81" i="4"/>
  <c r="Y81" i="4"/>
  <c r="Q81" i="4"/>
  <c r="N81" i="4"/>
  <c r="X81" i="4"/>
  <c r="M150" i="4"/>
  <c r="N150" i="4"/>
  <c r="V74" i="4"/>
  <c r="N74" i="4"/>
  <c r="W74" i="4"/>
  <c r="M74" i="4"/>
  <c r="C10" i="15" s="1"/>
  <c r="C20" i="15" s="1"/>
  <c r="N15" i="4"/>
  <c r="M15" i="4"/>
  <c r="M55" i="4"/>
  <c r="N55" i="4"/>
  <c r="Y80" i="4"/>
  <c r="U80" i="4"/>
  <c r="W80" i="4"/>
  <c r="C2" i="14" s="1"/>
  <c r="C939" i="14" s="1"/>
  <c r="M80" i="4"/>
  <c r="N80" i="4"/>
  <c r="S80" i="4"/>
  <c r="Q80" i="4"/>
  <c r="X80" i="4"/>
  <c r="R80" i="4"/>
  <c r="C3" i="5"/>
  <c r="C275" i="7"/>
  <c r="C285" i="7" s="1"/>
  <c r="C295" i="7" s="1"/>
  <c r="C305" i="7" s="1"/>
  <c r="C315" i="7" s="1"/>
  <c r="C325" i="7" s="1"/>
  <c r="C335" i="7" s="1"/>
  <c r="C345" i="7" s="1"/>
  <c r="C355" i="7" s="1"/>
  <c r="C365" i="7" s="1"/>
  <c r="C375" i="7" s="1"/>
  <c r="P45" i="4"/>
  <c r="W45" i="4"/>
  <c r="T45" i="4"/>
  <c r="N45" i="4"/>
  <c r="M45" i="4"/>
  <c r="M60" i="4"/>
  <c r="N60" i="4"/>
  <c r="M89" i="4"/>
  <c r="W89" i="4"/>
  <c r="N89" i="4"/>
  <c r="K46" i="4"/>
  <c r="J54" i="4"/>
  <c r="K54" i="4" s="1"/>
  <c r="M58" i="4"/>
  <c r="N58" i="4"/>
  <c r="O124" i="4"/>
  <c r="M124" i="4"/>
  <c r="N124" i="4"/>
  <c r="Y124" i="4"/>
  <c r="N97" i="4"/>
  <c r="M97" i="4"/>
  <c r="C3" i="25" s="1"/>
  <c r="V97" i="4"/>
  <c r="W97" i="4"/>
  <c r="M68" i="4"/>
  <c r="N68" i="4"/>
  <c r="D330" i="8"/>
  <c r="D7" i="6"/>
  <c r="Z7" i="6" s="1"/>
  <c r="J330" i="8" s="1"/>
  <c r="D97" i="8"/>
  <c r="Z554" i="7"/>
  <c r="J97" i="8" s="1"/>
  <c r="D553" i="7"/>
  <c r="C570" i="7"/>
  <c r="C563" i="7" s="1"/>
  <c r="C575" i="7"/>
  <c r="C26" i="11"/>
  <c r="C22" i="11"/>
  <c r="C15" i="11" s="1"/>
  <c r="C132" i="2"/>
  <c r="C31" i="5"/>
  <c r="D8" i="7"/>
  <c r="D260" i="8"/>
  <c r="Z8" i="7"/>
  <c r="J260" i="8" s="1"/>
  <c r="D299" i="8"/>
  <c r="D6" i="11"/>
  <c r="C30" i="15"/>
  <c r="C25" i="7"/>
  <c r="C18" i="7" s="1"/>
  <c r="C31" i="7"/>
  <c r="C22" i="25" l="1"/>
  <c r="C42" i="25" s="1"/>
  <c r="C62" i="25" s="1"/>
  <c r="C82" i="25" s="1"/>
  <c r="C102" i="25" s="1"/>
  <c r="C122" i="25" s="1"/>
  <c r="C142" i="25" s="1"/>
  <c r="C162" i="25" s="1"/>
  <c r="C182" i="25" s="1"/>
  <c r="C202" i="25" s="1"/>
  <c r="C222" i="25" s="1"/>
  <c r="C242" i="25" s="1"/>
  <c r="C262" i="25" s="1"/>
  <c r="C282" i="25" s="1"/>
  <c r="C302" i="25" s="1"/>
  <c r="C322" i="25" s="1"/>
  <c r="C342" i="25" s="1"/>
  <c r="C12" i="25"/>
  <c r="C32" i="25" s="1"/>
  <c r="C52" i="25" s="1"/>
  <c r="C72" i="25" s="1"/>
  <c r="C92" i="25" s="1"/>
  <c r="C112" i="25" s="1"/>
  <c r="C132" i="25" s="1"/>
  <c r="C152" i="25" s="1"/>
  <c r="C172" i="25" s="1"/>
  <c r="C192" i="25" s="1"/>
  <c r="C212" i="25" s="1"/>
  <c r="C232" i="25" s="1"/>
  <c r="C252" i="25" s="1"/>
  <c r="C272" i="25" s="1"/>
  <c r="C292" i="25" s="1"/>
  <c r="C312" i="25" s="1"/>
  <c r="C332" i="25" s="1"/>
  <c r="C352" i="25" s="1"/>
  <c r="C31" i="25"/>
  <c r="C16" i="25"/>
  <c r="C9" i="25" s="1"/>
  <c r="C41" i="26"/>
  <c r="C26" i="26"/>
  <c r="C19" i="26" s="1"/>
  <c r="C2" i="16"/>
  <c r="C9" i="16" s="1"/>
  <c r="C41" i="25"/>
  <c r="C26" i="25"/>
  <c r="C19" i="25" s="1"/>
  <c r="C31" i="26"/>
  <c r="C16" i="26"/>
  <c r="C9" i="26" s="1"/>
  <c r="F116" i="13"/>
  <c r="F108" i="13"/>
  <c r="K38" i="8"/>
  <c r="M37" i="8"/>
  <c r="C949" i="14"/>
  <c r="C13" i="14"/>
  <c r="C909" i="14"/>
  <c r="C929" i="14"/>
  <c r="C919" i="14"/>
  <c r="O136" i="4"/>
  <c r="C12" i="5"/>
  <c r="C22" i="5"/>
  <c r="C26" i="5" s="1"/>
  <c r="C19" i="5" s="1"/>
  <c r="K39" i="8"/>
  <c r="K40" i="8"/>
  <c r="C21" i="24"/>
  <c r="C21" i="13"/>
  <c r="C26" i="13" s="1"/>
  <c r="C19" i="13" s="1"/>
  <c r="D19" i="13" s="1"/>
  <c r="Z19" i="13" s="1"/>
  <c r="AA19" i="13" s="1"/>
  <c r="AC19" i="13" s="1"/>
  <c r="C15" i="13"/>
  <c r="C8" i="13" s="1"/>
  <c r="N136" i="4"/>
  <c r="N53" i="4"/>
  <c r="C385" i="7"/>
  <c r="C379" i="7"/>
  <c r="C372" i="7" s="1"/>
  <c r="D309" i="8" s="1"/>
  <c r="C23" i="14"/>
  <c r="C3" i="14"/>
  <c r="C940" i="14" s="1"/>
  <c r="C950" i="14" s="1"/>
  <c r="C214" i="7"/>
  <c r="C3" i="15"/>
  <c r="C11" i="15" s="1"/>
  <c r="C3" i="2"/>
  <c r="C12" i="2" s="1"/>
  <c r="M54" i="4"/>
  <c r="N54" i="4"/>
  <c r="P46" i="4"/>
  <c r="T46" i="4"/>
  <c r="W46" i="4"/>
  <c r="N46" i="4"/>
  <c r="M46" i="4"/>
  <c r="C274" i="7"/>
  <c r="C269" i="7"/>
  <c r="AA8" i="7"/>
  <c r="AC8" i="7" s="1"/>
  <c r="AA554" i="7"/>
  <c r="AC554" i="7" s="1"/>
  <c r="Z6" i="11"/>
  <c r="J299" i="8" s="1"/>
  <c r="E299" i="8"/>
  <c r="E260" i="8"/>
  <c r="K260" i="8" s="1"/>
  <c r="L260" i="8" s="1"/>
  <c r="C41" i="5"/>
  <c r="D288" i="8"/>
  <c r="D15" i="11"/>
  <c r="Z15" i="11" s="1"/>
  <c r="J288" i="8" s="1"/>
  <c r="D563" i="7"/>
  <c r="Z563" i="7" s="1"/>
  <c r="D96" i="8"/>
  <c r="E97" i="8"/>
  <c r="K97" i="8" s="1"/>
  <c r="L97" i="8" s="1"/>
  <c r="E330" i="8"/>
  <c r="K330" i="8" s="1"/>
  <c r="L330" i="8" s="1"/>
  <c r="C35" i="7"/>
  <c r="C28" i="7" s="1"/>
  <c r="C41" i="7"/>
  <c r="C40" i="15"/>
  <c r="D263" i="8"/>
  <c r="D18" i="7"/>
  <c r="C41" i="2"/>
  <c r="C30" i="11"/>
  <c r="C23" i="11" s="1"/>
  <c r="C35" i="11"/>
  <c r="C579" i="7"/>
  <c r="C572" i="7" s="1"/>
  <c r="C584" i="7"/>
  <c r="AA7" i="6"/>
  <c r="AC7" i="6" s="1"/>
  <c r="C14" i="16" l="1"/>
  <c r="C7" i="16" s="1"/>
  <c r="C19" i="16"/>
  <c r="D122" i="8"/>
  <c r="E122" i="8" s="1"/>
  <c r="D9" i="26"/>
  <c r="Z9" i="26"/>
  <c r="J122" i="8" s="1"/>
  <c r="K122" i="8" s="1"/>
  <c r="D53" i="8"/>
  <c r="D19" i="25"/>
  <c r="E53" i="8" s="1"/>
  <c r="Z19" i="25"/>
  <c r="AA19" i="25" s="1"/>
  <c r="AC19" i="25" s="1"/>
  <c r="D123" i="8"/>
  <c r="E123" i="8" s="1"/>
  <c r="D19" i="26"/>
  <c r="Z19" i="26" s="1"/>
  <c r="D52" i="8"/>
  <c r="D9" i="25"/>
  <c r="E52" i="8" s="1"/>
  <c r="C51" i="26"/>
  <c r="C36" i="26"/>
  <c r="C29" i="26" s="1"/>
  <c r="C61" i="25"/>
  <c r="C46" i="25"/>
  <c r="C39" i="25" s="1"/>
  <c r="C46" i="26"/>
  <c r="C39" i="26" s="1"/>
  <c r="C61" i="26"/>
  <c r="C51" i="25"/>
  <c r="C36" i="25"/>
  <c r="C29" i="25" s="1"/>
  <c r="F125" i="13"/>
  <c r="D266" i="8"/>
  <c r="D264" i="8"/>
  <c r="D267" i="8"/>
  <c r="D265" i="8"/>
  <c r="L38" i="8"/>
  <c r="C48" i="17"/>
  <c r="R37" i="8"/>
  <c r="Q37" i="8"/>
  <c r="C954" i="14"/>
  <c r="C947" i="14" s="1"/>
  <c r="C944" i="14"/>
  <c r="C937" i="14" s="1"/>
  <c r="C14" i="14"/>
  <c r="C24" i="14" s="1"/>
  <c r="C34" i="14" s="1"/>
  <c r="C44" i="14" s="1"/>
  <c r="C54" i="14" s="1"/>
  <c r="C64" i="14" s="1"/>
  <c r="C74" i="14" s="1"/>
  <c r="C84" i="14" s="1"/>
  <c r="C94" i="14" s="1"/>
  <c r="C104" i="14" s="1"/>
  <c r="C114" i="14" s="1"/>
  <c r="C124" i="14" s="1"/>
  <c r="C134" i="14" s="1"/>
  <c r="C144" i="14" s="1"/>
  <c r="C153" i="14" s="1"/>
  <c r="C162" i="14" s="1"/>
  <c r="C171" i="14" s="1"/>
  <c r="C180" i="14" s="1"/>
  <c r="C190" i="14" s="1"/>
  <c r="C199" i="14" s="1"/>
  <c r="C209" i="14" s="1"/>
  <c r="C218" i="14" s="1"/>
  <c r="C227" i="14" s="1"/>
  <c r="C238" i="14" s="1"/>
  <c r="C248" i="14" s="1"/>
  <c r="C258" i="14" s="1"/>
  <c r="C268" i="14" s="1"/>
  <c r="C278" i="14" s="1"/>
  <c r="C288" i="14" s="1"/>
  <c r="C298" i="14" s="1"/>
  <c r="C308" i="14" s="1"/>
  <c r="C320" i="14" s="1"/>
  <c r="C332" i="14" s="1"/>
  <c r="C344" i="14" s="1"/>
  <c r="C354" i="14" s="1"/>
  <c r="C364" i="14" s="1"/>
  <c r="C374" i="14" s="1"/>
  <c r="C386" i="14" s="1"/>
  <c r="C397" i="14" s="1"/>
  <c r="C408" i="14" s="1"/>
  <c r="C419" i="14" s="1"/>
  <c r="C431" i="14" s="1"/>
  <c r="C443" i="14" s="1"/>
  <c r="C455" i="14" s="1"/>
  <c r="C467" i="14" s="1"/>
  <c r="C478" i="14" s="1"/>
  <c r="C490" i="14" s="1"/>
  <c r="C500" i="14" s="1"/>
  <c r="C514" i="14" s="1"/>
  <c r="C527" i="14" s="1"/>
  <c r="C540" i="14" s="1"/>
  <c r="C553" i="14" s="1"/>
  <c r="C566" i="14" s="1"/>
  <c r="C579" i="14" s="1"/>
  <c r="C589" i="14" s="1"/>
  <c r="C599" i="14" s="1"/>
  <c r="C609" i="14" s="1"/>
  <c r="C619" i="14" s="1"/>
  <c r="C629" i="14" s="1"/>
  <c r="C639" i="14" s="1"/>
  <c r="C649" i="14" s="1"/>
  <c r="C659" i="14" s="1"/>
  <c r="C669" i="14" s="1"/>
  <c r="C679" i="14" s="1"/>
  <c r="C689" i="14" s="1"/>
  <c r="C699" i="14" s="1"/>
  <c r="C709" i="14" s="1"/>
  <c r="C719" i="14" s="1"/>
  <c r="C729" i="14" s="1"/>
  <c r="C739" i="14" s="1"/>
  <c r="C749" i="14" s="1"/>
  <c r="C759" i="14" s="1"/>
  <c r="C769" i="14" s="1"/>
  <c r="C779" i="14" s="1"/>
  <c r="C789" i="14" s="1"/>
  <c r="C799" i="14" s="1"/>
  <c r="C809" i="14" s="1"/>
  <c r="C819" i="14" s="1"/>
  <c r="C829" i="14" s="1"/>
  <c r="C839" i="14" s="1"/>
  <c r="C849" i="14" s="1"/>
  <c r="C859" i="14" s="1"/>
  <c r="C869" i="14" s="1"/>
  <c r="C879" i="14" s="1"/>
  <c r="C889" i="14" s="1"/>
  <c r="C900" i="14" s="1"/>
  <c r="C930" i="14"/>
  <c r="C920" i="14"/>
  <c r="C910" i="14"/>
  <c r="C924" i="14"/>
  <c r="C917" i="14" s="1"/>
  <c r="C914" i="14"/>
  <c r="C907" i="14" s="1"/>
  <c r="C934" i="14"/>
  <c r="C927" i="14" s="1"/>
  <c r="D19" i="5"/>
  <c r="Z19" i="5" s="1"/>
  <c r="AA19" i="5" s="1"/>
  <c r="AC19" i="5" s="1"/>
  <c r="D231" i="8"/>
  <c r="E231" i="8" s="1"/>
  <c r="C32" i="5"/>
  <c r="C16" i="5"/>
  <c r="C9" i="5" s="1"/>
  <c r="C64" i="13" s="1"/>
  <c r="D64" i="13" s="1"/>
  <c r="J231" i="8"/>
  <c r="D7" i="16"/>
  <c r="Z7" i="16" s="1"/>
  <c r="J99" i="8" s="1"/>
  <c r="D99" i="8"/>
  <c r="E99" i="8" s="1"/>
  <c r="C29" i="16"/>
  <c r="C24" i="16"/>
  <c r="C17" i="16" s="1"/>
  <c r="M39" i="8"/>
  <c r="M40" i="8"/>
  <c r="L40" i="8"/>
  <c r="L39" i="8"/>
  <c r="M38" i="8"/>
  <c r="C218" i="7"/>
  <c r="C211" i="7" s="1"/>
  <c r="D45" i="8" s="1"/>
  <c r="E45" i="8" s="1"/>
  <c r="C224" i="7"/>
  <c r="C262" i="7"/>
  <c r="D313" i="8" s="1"/>
  <c r="D8" i="13"/>
  <c r="AA8" i="13" s="1"/>
  <c r="AC8" i="13" s="1"/>
  <c r="J96" i="8"/>
  <c r="AA563" i="7"/>
  <c r="AC563" i="7" s="1"/>
  <c r="C21" i="15"/>
  <c r="C15" i="15"/>
  <c r="C8" i="15" s="1"/>
  <c r="C33" i="14"/>
  <c r="C395" i="7"/>
  <c r="C405" i="7" s="1"/>
  <c r="C389" i="7"/>
  <c r="C382" i="7" s="1"/>
  <c r="D308" i="8" s="1"/>
  <c r="C284" i="7"/>
  <c r="C279" i="7"/>
  <c r="C272" i="7" s="1"/>
  <c r="D326" i="8" s="1"/>
  <c r="C22" i="2"/>
  <c r="C16" i="2"/>
  <c r="C9" i="2" s="1"/>
  <c r="D372" i="7"/>
  <c r="Z372" i="7" s="1"/>
  <c r="K299" i="8"/>
  <c r="L299" i="8" s="1"/>
  <c r="AA6" i="11"/>
  <c r="AC6" i="11" s="1"/>
  <c r="Z18" i="7"/>
  <c r="J263" i="8" s="1"/>
  <c r="M97" i="8"/>
  <c r="M260" i="8"/>
  <c r="R260" i="8" s="1"/>
  <c r="E288" i="8"/>
  <c r="K288" i="8" s="1"/>
  <c r="L288" i="8" s="1"/>
  <c r="C52" i="5"/>
  <c r="AA15" i="11"/>
  <c r="AC15" i="11" s="1"/>
  <c r="AA7" i="16"/>
  <c r="AC7" i="16" s="1"/>
  <c r="C588" i="7"/>
  <c r="C581" i="7" s="1"/>
  <c r="C593" i="7"/>
  <c r="C39" i="11"/>
  <c r="C32" i="11" s="1"/>
  <c r="C43" i="11"/>
  <c r="C51" i="2"/>
  <c r="E263" i="8"/>
  <c r="C50" i="15"/>
  <c r="D28" i="7"/>
  <c r="M330" i="8"/>
  <c r="R330" i="8" s="1"/>
  <c r="D95" i="8"/>
  <c r="D572" i="7"/>
  <c r="Z572" i="7" s="1"/>
  <c r="D298" i="8"/>
  <c r="D23" i="11"/>
  <c r="Z23" i="11" s="1"/>
  <c r="C45" i="7"/>
  <c r="C38" i="7" s="1"/>
  <c r="C51" i="7"/>
  <c r="E96" i="8"/>
  <c r="J53" i="8" l="1"/>
  <c r="K53" i="8" s="1"/>
  <c r="M53" i="8" s="1"/>
  <c r="C28" i="14"/>
  <c r="C21" i="14" s="1"/>
  <c r="C63" i="13" s="1"/>
  <c r="D63" i="13" s="1"/>
  <c r="C18" i="14"/>
  <c r="C11" i="14" s="1"/>
  <c r="D11" i="14" s="1"/>
  <c r="J123" i="8"/>
  <c r="K123" i="8" s="1"/>
  <c r="AA19" i="26"/>
  <c r="AC19" i="26" s="1"/>
  <c r="D54" i="8"/>
  <c r="D29" i="25"/>
  <c r="E54" i="8" s="1"/>
  <c r="Z29" i="25"/>
  <c r="AA29" i="25" s="1"/>
  <c r="AC29" i="25" s="1"/>
  <c r="C66" i="26"/>
  <c r="C59" i="26" s="1"/>
  <c r="C81" i="26"/>
  <c r="D39" i="25"/>
  <c r="E55" i="8" s="1"/>
  <c r="D55" i="8"/>
  <c r="Z39" i="25"/>
  <c r="AA39" i="25" s="1"/>
  <c r="AC39" i="25" s="1"/>
  <c r="D124" i="8"/>
  <c r="E124" i="8" s="1"/>
  <c r="D29" i="26"/>
  <c r="Z29" i="26"/>
  <c r="J124" i="8" s="1"/>
  <c r="K124" i="8" s="1"/>
  <c r="L124" i="8" s="1"/>
  <c r="Z9" i="25"/>
  <c r="AA9" i="25" s="1"/>
  <c r="AC9" i="25" s="1"/>
  <c r="J52" i="8"/>
  <c r="K52" i="8" s="1"/>
  <c r="M52" i="8" s="1"/>
  <c r="AA9" i="26"/>
  <c r="AC9" i="26" s="1"/>
  <c r="C56" i="25"/>
  <c r="C49" i="25" s="1"/>
  <c r="C71" i="25"/>
  <c r="D125" i="8"/>
  <c r="E125" i="8" s="1"/>
  <c r="D39" i="26"/>
  <c r="Z39" i="26" s="1"/>
  <c r="C66" i="25"/>
  <c r="C59" i="25" s="1"/>
  <c r="C81" i="25"/>
  <c r="C71" i="26"/>
  <c r="C56" i="26"/>
  <c r="C49" i="26" s="1"/>
  <c r="R53" i="8"/>
  <c r="Q53" i="8"/>
  <c r="C62" i="17"/>
  <c r="M122" i="8"/>
  <c r="C131" i="17" s="1"/>
  <c r="M288" i="8"/>
  <c r="E267" i="8"/>
  <c r="E264" i="8"/>
  <c r="E266" i="8"/>
  <c r="E265" i="8"/>
  <c r="J266" i="8"/>
  <c r="J265" i="8"/>
  <c r="J267" i="8"/>
  <c r="J264" i="8"/>
  <c r="D144" i="8"/>
  <c r="Q97" i="8"/>
  <c r="R97" i="8"/>
  <c r="C51" i="17"/>
  <c r="R40" i="8"/>
  <c r="Q40" i="8"/>
  <c r="C49" i="17"/>
  <c r="R38" i="8"/>
  <c r="Q38" i="8"/>
  <c r="C50" i="17"/>
  <c r="R39" i="8"/>
  <c r="Q39" i="8"/>
  <c r="D211" i="7"/>
  <c r="K99" i="8"/>
  <c r="L99" i="8" s="1"/>
  <c r="D937" i="14"/>
  <c r="Z937" i="14" s="1"/>
  <c r="AA937" i="14" s="1"/>
  <c r="AC937" i="14" s="1"/>
  <c r="D947" i="14"/>
  <c r="Z947" i="14" s="1"/>
  <c r="AA947" i="14" s="1"/>
  <c r="AC947" i="14" s="1"/>
  <c r="D907" i="14"/>
  <c r="Z907" i="14" s="1"/>
  <c r="D917" i="14"/>
  <c r="Z917" i="14" s="1"/>
  <c r="AA917" i="14" s="1"/>
  <c r="AC917" i="14" s="1"/>
  <c r="D927" i="14"/>
  <c r="Z927" i="14" s="1"/>
  <c r="AA927" i="14" s="1"/>
  <c r="AC927" i="14" s="1"/>
  <c r="D230" i="8"/>
  <c r="E230" i="8" s="1"/>
  <c r="D9" i="5"/>
  <c r="K231" i="8"/>
  <c r="L231" i="8" s="1"/>
  <c r="C42" i="5"/>
  <c r="C36" i="5"/>
  <c r="C29" i="5" s="1"/>
  <c r="C65" i="13" s="1"/>
  <c r="D143" i="8"/>
  <c r="E143" i="8" s="1"/>
  <c r="D17" i="16"/>
  <c r="D100" i="8"/>
  <c r="E100" i="8" s="1"/>
  <c r="C34" i="16"/>
  <c r="C27" i="16" s="1"/>
  <c r="C39" i="16"/>
  <c r="C228" i="7"/>
  <c r="C221" i="7" s="1"/>
  <c r="D47" i="8" s="1"/>
  <c r="C234" i="7"/>
  <c r="C244" i="7" s="1"/>
  <c r="C248" i="7" s="1"/>
  <c r="C241" i="7" s="1"/>
  <c r="C106" i="17"/>
  <c r="M299" i="8"/>
  <c r="C264" i="17"/>
  <c r="D262" i="7"/>
  <c r="J309" i="8"/>
  <c r="K96" i="8"/>
  <c r="L96" i="8" s="1"/>
  <c r="K263" i="8"/>
  <c r="AA372" i="7"/>
  <c r="AC372" i="7" s="1"/>
  <c r="Z11" i="14"/>
  <c r="J143" i="8" s="1"/>
  <c r="Z211" i="7"/>
  <c r="J45" i="8" s="1"/>
  <c r="K45" i="8" s="1"/>
  <c r="L45" i="8" s="1"/>
  <c r="C32" i="2"/>
  <c r="C26" i="2"/>
  <c r="C19" i="2" s="1"/>
  <c r="C289" i="7"/>
  <c r="C282" i="7" s="1"/>
  <c r="D323" i="8" s="1"/>
  <c r="C294" i="7"/>
  <c r="C409" i="7"/>
  <c r="C402" i="7" s="1"/>
  <c r="C415" i="7"/>
  <c r="C43" i="14"/>
  <c r="C38" i="14"/>
  <c r="C31" i="14" s="1"/>
  <c r="C31" i="15"/>
  <c r="C25" i="15"/>
  <c r="C18" i="15" s="1"/>
  <c r="D10" i="8"/>
  <c r="E10" i="8" s="1"/>
  <c r="D9" i="2"/>
  <c r="Z9" i="2" s="1"/>
  <c r="J10" i="8" s="1"/>
  <c r="D272" i="7"/>
  <c r="D382" i="7"/>
  <c r="Z382" i="7" s="1"/>
  <c r="J308" i="8" s="1"/>
  <c r="D21" i="14"/>
  <c r="E144" i="8"/>
  <c r="Z21" i="14"/>
  <c r="I63" i="13" s="1"/>
  <c r="J63" i="13" s="1"/>
  <c r="D112" i="8"/>
  <c r="E112" i="8" s="1"/>
  <c r="D8" i="15"/>
  <c r="Z8" i="15" s="1"/>
  <c r="J112" i="8" s="1"/>
  <c r="AA18" i="7"/>
  <c r="AC18" i="7" s="1"/>
  <c r="AA23" i="11"/>
  <c r="AC23" i="11" s="1"/>
  <c r="J298" i="8"/>
  <c r="J95" i="8"/>
  <c r="AA572" i="7"/>
  <c r="AC572" i="7" s="1"/>
  <c r="C217" i="18"/>
  <c r="D271" i="8"/>
  <c r="D38" i="7"/>
  <c r="Z38" i="7" s="1"/>
  <c r="E95" i="8"/>
  <c r="C60" i="15"/>
  <c r="C71" i="2"/>
  <c r="C47" i="11"/>
  <c r="C40" i="11" s="1"/>
  <c r="C52" i="11"/>
  <c r="C597" i="7"/>
  <c r="C590" i="7" s="1"/>
  <c r="C602" i="7"/>
  <c r="C63" i="5"/>
  <c r="Z28" i="7"/>
  <c r="C55" i="7"/>
  <c r="C48" i="7" s="1"/>
  <c r="C61" i="7"/>
  <c r="E298" i="8"/>
  <c r="C272" i="18"/>
  <c r="C334" i="17"/>
  <c r="D32" i="11"/>
  <c r="Z32" i="11" s="1"/>
  <c r="D289" i="8"/>
  <c r="D581" i="7"/>
  <c r="Z581" i="7" s="1"/>
  <c r="J55" i="8" l="1"/>
  <c r="K55" i="8" s="1"/>
  <c r="M55" i="8" s="1"/>
  <c r="J54" i="8"/>
  <c r="K54" i="8" s="1"/>
  <c r="M54" i="8" s="1"/>
  <c r="R54" i="8" s="1"/>
  <c r="M123" i="8"/>
  <c r="C132" i="17" s="1"/>
  <c r="J125" i="8"/>
  <c r="K125" i="8" s="1"/>
  <c r="AA39" i="26"/>
  <c r="AC39" i="26" s="1"/>
  <c r="C91" i="26"/>
  <c r="C76" i="26"/>
  <c r="C69" i="26" s="1"/>
  <c r="D59" i="25"/>
  <c r="E57" i="8" s="1"/>
  <c r="D57" i="8"/>
  <c r="Z59" i="25"/>
  <c r="AA59" i="25" s="1"/>
  <c r="AC59" i="25" s="1"/>
  <c r="D56" i="8"/>
  <c r="D49" i="25"/>
  <c r="E56" i="8" s="1"/>
  <c r="Z49" i="25"/>
  <c r="AA49" i="25" s="1"/>
  <c r="AC49" i="25" s="1"/>
  <c r="R52" i="8"/>
  <c r="Q52" i="8"/>
  <c r="C61" i="17"/>
  <c r="AA29" i="26"/>
  <c r="AC29" i="26" s="1"/>
  <c r="D127" i="8"/>
  <c r="E127" i="8" s="1"/>
  <c r="D59" i="26"/>
  <c r="Z59" i="26" s="1"/>
  <c r="J127" i="8" s="1"/>
  <c r="D126" i="8"/>
  <c r="E126" i="8" s="1"/>
  <c r="D49" i="26"/>
  <c r="Z49" i="26" s="1"/>
  <c r="J126" i="8" s="1"/>
  <c r="AA49" i="26"/>
  <c r="AC49" i="26" s="1"/>
  <c r="C86" i="25"/>
  <c r="C79" i="25" s="1"/>
  <c r="C101" i="25"/>
  <c r="C76" i="25"/>
  <c r="C69" i="25" s="1"/>
  <c r="C91" i="25"/>
  <c r="M124" i="8"/>
  <c r="C133" i="17" s="1"/>
  <c r="C64" i="17"/>
  <c r="R55" i="8"/>
  <c r="Q55" i="8"/>
  <c r="C101" i="26"/>
  <c r="C86" i="26"/>
  <c r="C79" i="26" s="1"/>
  <c r="Q54" i="8"/>
  <c r="C63" i="17"/>
  <c r="L263" i="8"/>
  <c r="M263" i="8" s="1"/>
  <c r="K267" i="8"/>
  <c r="K264" i="8"/>
  <c r="K266" i="8"/>
  <c r="K265" i="8"/>
  <c r="P288" i="8"/>
  <c r="R288" i="8"/>
  <c r="P299" i="8"/>
  <c r="R299" i="8"/>
  <c r="M231" i="8"/>
  <c r="D65" i="13"/>
  <c r="D48" i="8"/>
  <c r="E48" i="8" s="1"/>
  <c r="D241" i="7"/>
  <c r="Z241" i="7" s="1"/>
  <c r="J48" i="8" s="1"/>
  <c r="C238" i="7"/>
  <c r="C231" i="7" s="1"/>
  <c r="D46" i="8" s="1"/>
  <c r="C254" i="7"/>
  <c r="C258" i="7" s="1"/>
  <c r="C251" i="7" s="1"/>
  <c r="AA9" i="2"/>
  <c r="AC9" i="2" s="1"/>
  <c r="M96" i="8"/>
  <c r="M99" i="8"/>
  <c r="R99" i="8" s="1"/>
  <c r="AA907" i="14"/>
  <c r="AC907" i="14" s="1"/>
  <c r="K298" i="8"/>
  <c r="L298" i="8" s="1"/>
  <c r="AA8" i="15"/>
  <c r="AC8" i="15" s="1"/>
  <c r="D247" i="8"/>
  <c r="E247" i="8" s="1"/>
  <c r="D29" i="5"/>
  <c r="Z9" i="5"/>
  <c r="I64" i="13" s="1"/>
  <c r="J64" i="13" s="1"/>
  <c r="C53" i="5"/>
  <c r="C46" i="5"/>
  <c r="C39" i="5" s="1"/>
  <c r="D39" i="5" s="1"/>
  <c r="Z39" i="5" s="1"/>
  <c r="AA39" i="5" s="1"/>
  <c r="AC39" i="5" s="1"/>
  <c r="C82" i="13"/>
  <c r="D31" i="14"/>
  <c r="D153" i="8"/>
  <c r="K143" i="8"/>
  <c r="L143" i="8" s="1"/>
  <c r="C44" i="16"/>
  <c r="C37" i="16" s="1"/>
  <c r="C49" i="16"/>
  <c r="D103" i="8"/>
  <c r="E103" i="8" s="1"/>
  <c r="D27" i="16"/>
  <c r="Z27" i="16" s="1"/>
  <c r="J103" i="8" s="1"/>
  <c r="Z17" i="16"/>
  <c r="J100" i="8" s="1"/>
  <c r="K100" i="8" s="1"/>
  <c r="L100" i="8" s="1"/>
  <c r="D221" i="7"/>
  <c r="Z221" i="7" s="1"/>
  <c r="E47" i="8"/>
  <c r="C606" i="7"/>
  <c r="C599" i="7" s="1"/>
  <c r="D599" i="7" s="1"/>
  <c r="C611" i="7"/>
  <c r="C620" i="7" s="1"/>
  <c r="D231" i="7"/>
  <c r="Z231" i="7" s="1"/>
  <c r="J46" i="8" s="1"/>
  <c r="C303" i="17"/>
  <c r="C247" i="18"/>
  <c r="C292" i="17"/>
  <c r="E46" i="8"/>
  <c r="Z262" i="7"/>
  <c r="AA262" i="7" s="1"/>
  <c r="AC262" i="7" s="1"/>
  <c r="AA382" i="7"/>
  <c r="AC382" i="7" s="1"/>
  <c r="M45" i="8"/>
  <c r="K112" i="8"/>
  <c r="L112" i="8" s="1"/>
  <c r="K95" i="8"/>
  <c r="L95" i="8" s="1"/>
  <c r="AA211" i="7"/>
  <c r="AC211" i="7" s="1"/>
  <c r="J144" i="8"/>
  <c r="K144" i="8" s="1"/>
  <c r="L144" i="8" s="1"/>
  <c r="Z272" i="7"/>
  <c r="C41" i="15"/>
  <c r="C35" i="15"/>
  <c r="C28" i="15" s="1"/>
  <c r="C48" i="14"/>
  <c r="C41" i="14" s="1"/>
  <c r="D157" i="8" s="1"/>
  <c r="C53" i="14"/>
  <c r="D304" i="8"/>
  <c r="E304" i="8" s="1"/>
  <c r="D402" i="7"/>
  <c r="Z402" i="7" s="1"/>
  <c r="J304" i="8" s="1"/>
  <c r="D282" i="7"/>
  <c r="C42" i="2"/>
  <c r="C36" i="2"/>
  <c r="C29" i="2" s="1"/>
  <c r="AA21" i="14"/>
  <c r="AC21" i="14" s="1"/>
  <c r="K10" i="8"/>
  <c r="AA11" i="14"/>
  <c r="AC11" i="14" s="1"/>
  <c r="D81" i="13"/>
  <c r="D99" i="13" s="1"/>
  <c r="D116" i="13" s="1"/>
  <c r="C81" i="13"/>
  <c r="C99" i="13" s="1"/>
  <c r="C116" i="13" s="1"/>
  <c r="D18" i="15"/>
  <c r="D113" i="8"/>
  <c r="E113" i="8" s="1"/>
  <c r="Z18" i="15"/>
  <c r="J113" i="8" s="1"/>
  <c r="C425" i="7"/>
  <c r="C419" i="7"/>
  <c r="C412" i="7" s="1"/>
  <c r="D306" i="8" s="1"/>
  <c r="C304" i="7"/>
  <c r="C299" i="7"/>
  <c r="C292" i="7" s="1"/>
  <c r="D314" i="8" s="1"/>
  <c r="D19" i="2"/>
  <c r="Z19" i="2" s="1"/>
  <c r="J11" i="8" s="1"/>
  <c r="D11" i="8"/>
  <c r="E11" i="8" s="1"/>
  <c r="J271" i="8"/>
  <c r="AA38" i="7"/>
  <c r="AC38" i="7" s="1"/>
  <c r="AA32" i="11"/>
  <c r="AC32" i="11" s="1"/>
  <c r="J289" i="8"/>
  <c r="D48" i="7"/>
  <c r="Z48" i="7" s="1"/>
  <c r="J261" i="8" s="1"/>
  <c r="C73" i="5"/>
  <c r="D91" i="8"/>
  <c r="C56" i="11"/>
  <c r="C49" i="11" s="1"/>
  <c r="C61" i="11"/>
  <c r="C70" i="15"/>
  <c r="AA28" i="7"/>
  <c r="AC28" i="7" s="1"/>
  <c r="E289" i="8"/>
  <c r="C65" i="7"/>
  <c r="C58" i="7" s="1"/>
  <c r="D261" i="8" s="1"/>
  <c r="C71" i="7"/>
  <c r="C81" i="7" s="1"/>
  <c r="D590" i="7"/>
  <c r="Z590" i="7" s="1"/>
  <c r="D297" i="8"/>
  <c r="D40" i="11"/>
  <c r="Z40" i="11" s="1"/>
  <c r="C82" i="2"/>
  <c r="E271" i="8"/>
  <c r="C236" i="18"/>
  <c r="AA581" i="7"/>
  <c r="AC581" i="7" s="1"/>
  <c r="K127" i="8" l="1"/>
  <c r="J56" i="8"/>
  <c r="K56" i="8" s="1"/>
  <c r="M56" i="8" s="1"/>
  <c r="C65" i="17" s="1"/>
  <c r="J57" i="8"/>
  <c r="K57" i="8" s="1"/>
  <c r="M57" i="8" s="1"/>
  <c r="R57" i="8" s="1"/>
  <c r="J326" i="8"/>
  <c r="C121" i="26"/>
  <c r="C106" i="26"/>
  <c r="C99" i="26" s="1"/>
  <c r="C96" i="25"/>
  <c r="C89" i="25" s="1"/>
  <c r="C111" i="25"/>
  <c r="C106" i="25"/>
  <c r="C99" i="25" s="1"/>
  <c r="C121" i="25"/>
  <c r="R56" i="8"/>
  <c r="Q56" i="8"/>
  <c r="C66" i="17"/>
  <c r="Q57" i="8"/>
  <c r="D128" i="8"/>
  <c r="E128" i="8" s="1"/>
  <c r="D69" i="26"/>
  <c r="Z69" i="26" s="1"/>
  <c r="J128" i="8" s="1"/>
  <c r="K128" i="8" s="1"/>
  <c r="D129" i="8"/>
  <c r="E129" i="8" s="1"/>
  <c r="D79" i="26"/>
  <c r="Z79" i="26"/>
  <c r="J129" i="8" s="1"/>
  <c r="K129" i="8" s="1"/>
  <c r="L129" i="8" s="1"/>
  <c r="D69" i="25"/>
  <c r="E58" i="8" s="1"/>
  <c r="D58" i="8"/>
  <c r="Z69" i="25"/>
  <c r="AA69" i="25" s="1"/>
  <c r="AC69" i="25" s="1"/>
  <c r="D79" i="25"/>
  <c r="E59" i="8" s="1"/>
  <c r="D59" i="8"/>
  <c r="Z79" i="25"/>
  <c r="AA79" i="25" s="1"/>
  <c r="AC79" i="25" s="1"/>
  <c r="K126" i="8"/>
  <c r="L126" i="8" s="1"/>
  <c r="AA59" i="26"/>
  <c r="AC59" i="26" s="1"/>
  <c r="C111" i="26"/>
  <c r="C96" i="26"/>
  <c r="C89" i="26" s="1"/>
  <c r="C134" i="17"/>
  <c r="C108" i="17"/>
  <c r="M143" i="8"/>
  <c r="C147" i="17" s="1"/>
  <c r="M298" i="8"/>
  <c r="R263" i="8"/>
  <c r="C267" i="17"/>
  <c r="C222" i="18"/>
  <c r="L266" i="8"/>
  <c r="M266" i="8" s="1"/>
  <c r="L267" i="8"/>
  <c r="M267" i="8" s="1"/>
  <c r="K271" i="8"/>
  <c r="L271" i="8" s="1"/>
  <c r="K48" i="8"/>
  <c r="L48" i="8" s="1"/>
  <c r="L265" i="8"/>
  <c r="M265" i="8" s="1"/>
  <c r="L264" i="8"/>
  <c r="M264" i="8" s="1"/>
  <c r="Q45" i="8"/>
  <c r="R45" i="8"/>
  <c r="R231" i="8"/>
  <c r="C235" i="17"/>
  <c r="C157" i="18" s="1"/>
  <c r="R143" i="8"/>
  <c r="Q96" i="8"/>
  <c r="R96" i="8"/>
  <c r="AA241" i="7"/>
  <c r="AC241" i="7" s="1"/>
  <c r="D251" i="7"/>
  <c r="Z251" i="7" s="1"/>
  <c r="D49" i="8"/>
  <c r="J47" i="8"/>
  <c r="K47" i="8" s="1"/>
  <c r="L47" i="8" s="1"/>
  <c r="C105" i="17"/>
  <c r="M95" i="8"/>
  <c r="R95" i="8" s="1"/>
  <c r="AA221" i="7"/>
  <c r="AC221" i="7" s="1"/>
  <c r="Q99" i="8"/>
  <c r="AA27" i="16"/>
  <c r="AC27" i="16" s="1"/>
  <c r="C47" i="18"/>
  <c r="C624" i="7"/>
  <c r="C617" i="7" s="1"/>
  <c r="D617" i="7" s="1"/>
  <c r="Z617" i="7" s="1"/>
  <c r="J94" i="8" s="1"/>
  <c r="C629" i="7"/>
  <c r="C633" i="7" s="1"/>
  <c r="C626" i="7" s="1"/>
  <c r="AA17" i="16"/>
  <c r="AC17" i="16" s="1"/>
  <c r="K103" i="8"/>
  <c r="L103" i="8" s="1"/>
  <c r="C100" i="13"/>
  <c r="C64" i="5"/>
  <c r="C57" i="5"/>
  <c r="C50" i="5" s="1"/>
  <c r="D50" i="5" s="1"/>
  <c r="I82" i="13"/>
  <c r="J230" i="8"/>
  <c r="K230" i="8" s="1"/>
  <c r="Z29" i="5"/>
  <c r="D82" i="13"/>
  <c r="D100" i="13" s="1"/>
  <c r="D117" i="13" s="1"/>
  <c r="AA9" i="5"/>
  <c r="AC9" i="5" s="1"/>
  <c r="C83" i="13"/>
  <c r="Z31" i="14"/>
  <c r="J153" i="8" s="1"/>
  <c r="C54" i="16"/>
  <c r="C47" i="16" s="1"/>
  <c r="C59" i="16"/>
  <c r="D94" i="8"/>
  <c r="E94" i="8" s="1"/>
  <c r="M100" i="8"/>
  <c r="R100" i="8" s="1"/>
  <c r="D37" i="16"/>
  <c r="D104" i="8"/>
  <c r="E104" i="8" s="1"/>
  <c r="K46" i="8"/>
  <c r="L46" i="8" s="1"/>
  <c r="C615" i="7"/>
  <c r="C608" i="7" s="1"/>
  <c r="D92" i="8" s="1"/>
  <c r="C69" i="18"/>
  <c r="C56" i="17"/>
  <c r="AA231" i="7"/>
  <c r="AC231" i="7" s="1"/>
  <c r="L10" i="8"/>
  <c r="M10" i="8" s="1"/>
  <c r="M112" i="8"/>
  <c r="J313" i="8"/>
  <c r="C43" i="18"/>
  <c r="K289" i="8"/>
  <c r="L289" i="8" s="1"/>
  <c r="AA19" i="2"/>
  <c r="AC19" i="2" s="1"/>
  <c r="AA272" i="7"/>
  <c r="AC272" i="7" s="1"/>
  <c r="AA18" i="15"/>
  <c r="AC18" i="15" s="1"/>
  <c r="K11" i="8"/>
  <c r="L11" i="8" s="1"/>
  <c r="K113" i="8"/>
  <c r="L113" i="8" s="1"/>
  <c r="C314" i="7"/>
  <c r="C309" i="7"/>
  <c r="C302" i="7" s="1"/>
  <c r="D307" i="8" s="1"/>
  <c r="E307" i="8" s="1"/>
  <c r="C429" i="7"/>
  <c r="C422" i="7" s="1"/>
  <c r="C435" i="7"/>
  <c r="C52" i="2"/>
  <c r="C46" i="2"/>
  <c r="C39" i="2" s="1"/>
  <c r="C58" i="14"/>
  <c r="C51" i="14" s="1"/>
  <c r="D152" i="8" s="1"/>
  <c r="C63" i="14"/>
  <c r="D28" i="15"/>
  <c r="Z28" i="15" s="1"/>
  <c r="J114" i="8" s="1"/>
  <c r="D114" i="8"/>
  <c r="E114" i="8" s="1"/>
  <c r="M144" i="8"/>
  <c r="Z599" i="7"/>
  <c r="J91" i="8" s="1"/>
  <c r="D292" i="7"/>
  <c r="D412" i="7"/>
  <c r="Z412" i="7" s="1"/>
  <c r="D29" i="2"/>
  <c r="D12" i="8"/>
  <c r="E12" i="8" s="1"/>
  <c r="Z29" i="2"/>
  <c r="J12" i="8" s="1"/>
  <c r="Z282" i="7"/>
  <c r="J323" i="8" s="1"/>
  <c r="D41" i="14"/>
  <c r="E157" i="8"/>
  <c r="Z41" i="14"/>
  <c r="J157" i="8" s="1"/>
  <c r="C51" i="15"/>
  <c r="C45" i="15"/>
  <c r="C38" i="15" s="1"/>
  <c r="I81" i="13"/>
  <c r="AA402" i="7"/>
  <c r="AC402" i="7" s="1"/>
  <c r="K304" i="8"/>
  <c r="L304" i="8" s="1"/>
  <c r="AA48" i="7"/>
  <c r="AC48" i="7" s="1"/>
  <c r="AA590" i="7"/>
  <c r="AC590" i="7" s="1"/>
  <c r="C218" i="18"/>
  <c r="C92" i="2"/>
  <c r="E297" i="8"/>
  <c r="C75" i="7"/>
  <c r="C68" i="7" s="1"/>
  <c r="D285" i="8"/>
  <c r="D49" i="11"/>
  <c r="Z49" i="11" s="1"/>
  <c r="Z50" i="5"/>
  <c r="M271" i="8"/>
  <c r="R271" i="8" s="1"/>
  <c r="AA40" i="11"/>
  <c r="AC40" i="11" s="1"/>
  <c r="J297" i="8"/>
  <c r="D58" i="7"/>
  <c r="Z58" i="7" s="1"/>
  <c r="C80" i="15"/>
  <c r="C65" i="11"/>
  <c r="C58" i="11" s="1"/>
  <c r="C70" i="11"/>
  <c r="E91" i="8"/>
  <c r="C83" i="5"/>
  <c r="E261" i="8"/>
  <c r="K261" i="8" s="1"/>
  <c r="L261" i="8" s="1"/>
  <c r="J59" i="8" l="1"/>
  <c r="K59" i="8" s="1"/>
  <c r="M59" i="8" s="1"/>
  <c r="R59" i="8" s="1"/>
  <c r="L128" i="8"/>
  <c r="M128" i="8" s="1"/>
  <c r="C137" i="17" s="1"/>
  <c r="L127" i="8"/>
  <c r="M127" i="8" s="1"/>
  <c r="C136" i="17" s="1"/>
  <c r="C131" i="26"/>
  <c r="C136" i="26" s="1"/>
  <c r="C129" i="26" s="1"/>
  <c r="C116" i="26"/>
  <c r="C109" i="26" s="1"/>
  <c r="M126" i="8"/>
  <c r="C135" i="17" s="1"/>
  <c r="C68" i="17"/>
  <c r="M129" i="8"/>
  <c r="C138" i="17" s="1"/>
  <c r="C141" i="25"/>
  <c r="C126" i="25"/>
  <c r="C119" i="25" s="1"/>
  <c r="C131" i="25"/>
  <c r="C116" i="25"/>
  <c r="C109" i="25" s="1"/>
  <c r="D131" i="8"/>
  <c r="E131" i="8" s="1"/>
  <c r="D99" i="26"/>
  <c r="Z99" i="26"/>
  <c r="J131" i="8" s="1"/>
  <c r="K131" i="8" s="1"/>
  <c r="D130" i="8"/>
  <c r="E130" i="8" s="1"/>
  <c r="D89" i="26"/>
  <c r="Z89" i="26" s="1"/>
  <c r="J130" i="8" s="1"/>
  <c r="AA89" i="26"/>
  <c r="AC89" i="26" s="1"/>
  <c r="J58" i="8"/>
  <c r="K58" i="8" s="1"/>
  <c r="M58" i="8" s="1"/>
  <c r="AA79" i="26"/>
  <c r="AC79" i="26" s="1"/>
  <c r="AA69" i="26"/>
  <c r="AC69" i="26" s="1"/>
  <c r="D99" i="25"/>
  <c r="E61" i="8" s="1"/>
  <c r="D61" i="8"/>
  <c r="Z99" i="25"/>
  <c r="AA99" i="25" s="1"/>
  <c r="AC99" i="25" s="1"/>
  <c r="D60" i="8"/>
  <c r="D89" i="25"/>
  <c r="E60" i="8" s="1"/>
  <c r="C126" i="26"/>
  <c r="C119" i="26" s="1"/>
  <c r="C141" i="26"/>
  <c r="C146" i="26" s="1"/>
  <c r="C139" i="26" s="1"/>
  <c r="M48" i="8"/>
  <c r="R48" i="8" s="1"/>
  <c r="I99" i="13"/>
  <c r="J99" i="13" s="1"/>
  <c r="J81" i="13"/>
  <c r="R298" i="8"/>
  <c r="C246" i="18"/>
  <c r="M289" i="8"/>
  <c r="R289" i="8" s="1"/>
  <c r="C66" i="13"/>
  <c r="R264" i="8"/>
  <c r="C268" i="17"/>
  <c r="R267" i="8"/>
  <c r="C271" i="17"/>
  <c r="R265" i="8"/>
  <c r="C269" i="17"/>
  <c r="R266" i="8"/>
  <c r="C270" i="17"/>
  <c r="Q112" i="8"/>
  <c r="R112" i="8"/>
  <c r="K94" i="8"/>
  <c r="L94" i="8" s="1"/>
  <c r="M94" i="8" s="1"/>
  <c r="R94" i="8" s="1"/>
  <c r="AA29" i="5"/>
  <c r="AC29" i="5" s="1"/>
  <c r="I65" i="13"/>
  <c r="J65" i="13" s="1"/>
  <c r="J82" i="13"/>
  <c r="I100" i="13"/>
  <c r="C148" i="17"/>
  <c r="R144" i="8"/>
  <c r="AA599" i="7"/>
  <c r="AC599" i="7" s="1"/>
  <c r="C59" i="17"/>
  <c r="Q48" i="8"/>
  <c r="M47" i="8"/>
  <c r="R47" i="8" s="1"/>
  <c r="M46" i="8"/>
  <c r="R46" i="8" s="1"/>
  <c r="E49" i="8"/>
  <c r="AA251" i="7"/>
  <c r="AC251" i="7" s="1"/>
  <c r="J49" i="8"/>
  <c r="K49" i="8" s="1"/>
  <c r="Q94" i="8"/>
  <c r="C104" i="17"/>
  <c r="Q95" i="8"/>
  <c r="C302" i="17"/>
  <c r="P298" i="8"/>
  <c r="R10" i="8"/>
  <c r="Q10" i="8"/>
  <c r="Q100" i="8"/>
  <c r="D626" i="7"/>
  <c r="Z626" i="7" s="1"/>
  <c r="J93" i="8" s="1"/>
  <c r="M103" i="8"/>
  <c r="R103" i="8" s="1"/>
  <c r="C101" i="13"/>
  <c r="L230" i="8"/>
  <c r="M230" i="8" s="1"/>
  <c r="R230" i="8" s="1"/>
  <c r="D83" i="13"/>
  <c r="D101" i="13" s="1"/>
  <c r="D118" i="13" s="1"/>
  <c r="J247" i="8"/>
  <c r="K247" i="8" s="1"/>
  <c r="L247" i="8" s="1"/>
  <c r="C74" i="5"/>
  <c r="C68" i="5"/>
  <c r="C61" i="5" s="1"/>
  <c r="D61" i="5" s="1"/>
  <c r="Z61" i="5" s="1"/>
  <c r="C117" i="13"/>
  <c r="AA31" i="14"/>
  <c r="AC31" i="14" s="1"/>
  <c r="C109" i="17"/>
  <c r="C48" i="18"/>
  <c r="C64" i="16"/>
  <c r="C57" i="16" s="1"/>
  <c r="C69" i="16"/>
  <c r="Z37" i="16"/>
  <c r="J104" i="8" s="1"/>
  <c r="K104" i="8" s="1"/>
  <c r="L104" i="8" s="1"/>
  <c r="D101" i="8"/>
  <c r="E101" i="8" s="1"/>
  <c r="D47" i="16"/>
  <c r="Z47" i="16" s="1"/>
  <c r="J101" i="8" s="1"/>
  <c r="AA617" i="7"/>
  <c r="AC617" i="7" s="1"/>
  <c r="D608" i="7"/>
  <c r="E92" i="8" s="1"/>
  <c r="D93" i="8"/>
  <c r="Z608" i="7"/>
  <c r="M11" i="8"/>
  <c r="C21" i="17"/>
  <c r="C18" i="18"/>
  <c r="C121" i="17"/>
  <c r="C57" i="18"/>
  <c r="C275" i="17"/>
  <c r="M113" i="8"/>
  <c r="M304" i="8"/>
  <c r="R304" i="8" s="1"/>
  <c r="K91" i="8"/>
  <c r="L91" i="8" s="1"/>
  <c r="AA28" i="15"/>
  <c r="AC28" i="15" s="1"/>
  <c r="K114" i="8"/>
  <c r="L114" i="8" s="1"/>
  <c r="K157" i="8"/>
  <c r="L157" i="8" s="1"/>
  <c r="AA412" i="7"/>
  <c r="AC412" i="7" s="1"/>
  <c r="D115" i="8"/>
  <c r="E115" i="8" s="1"/>
  <c r="D38" i="15"/>
  <c r="Z38" i="15" s="1"/>
  <c r="J115" i="8" s="1"/>
  <c r="C70" i="18"/>
  <c r="C68" i="14"/>
  <c r="C61" i="14" s="1"/>
  <c r="D158" i="8" s="1"/>
  <c r="C73" i="14"/>
  <c r="C78" i="14" s="1"/>
  <c r="D13" i="8"/>
  <c r="E13" i="8" s="1"/>
  <c r="D39" i="2"/>
  <c r="Z39" i="2" s="1"/>
  <c r="J13" i="8" s="1"/>
  <c r="D303" i="8"/>
  <c r="E303" i="8" s="1"/>
  <c r="D422" i="7"/>
  <c r="Z422" i="7" s="1"/>
  <c r="C319" i="7"/>
  <c r="C312" i="7" s="1"/>
  <c r="D325" i="8" s="1"/>
  <c r="E325" i="8" s="1"/>
  <c r="C324" i="7"/>
  <c r="AA41" i="14"/>
  <c r="AC41" i="14" s="1"/>
  <c r="C61" i="15"/>
  <c r="C55" i="15"/>
  <c r="C48" i="15" s="1"/>
  <c r="D51" i="14"/>
  <c r="E153" i="8"/>
  <c r="Z51" i="14"/>
  <c r="J152" i="8" s="1"/>
  <c r="C62" i="2"/>
  <c r="C56" i="2"/>
  <c r="C49" i="2" s="1"/>
  <c r="C439" i="7"/>
  <c r="C432" i="7" s="1"/>
  <c r="C445" i="7"/>
  <c r="D302" i="7"/>
  <c r="AA282" i="7"/>
  <c r="AC282" i="7" s="1"/>
  <c r="K12" i="8"/>
  <c r="L12" i="8" s="1"/>
  <c r="AA29" i="2"/>
  <c r="AC29" i="2" s="1"/>
  <c r="Z292" i="7"/>
  <c r="K297" i="8"/>
  <c r="L297" i="8" s="1"/>
  <c r="M261" i="8"/>
  <c r="R261" i="8" s="1"/>
  <c r="C226" i="18"/>
  <c r="C93" i="5"/>
  <c r="D287" i="8"/>
  <c r="D58" i="11"/>
  <c r="Z58" i="11" s="1"/>
  <c r="E285" i="8"/>
  <c r="D272" i="8"/>
  <c r="D68" i="7"/>
  <c r="Z68" i="7" s="1"/>
  <c r="J272" i="8" s="1"/>
  <c r="C102" i="2"/>
  <c r="AA58" i="7"/>
  <c r="AC58" i="7" s="1"/>
  <c r="C74" i="11"/>
  <c r="C67" i="11" s="1"/>
  <c r="C79" i="11"/>
  <c r="C90" i="15"/>
  <c r="AA49" i="11"/>
  <c r="AC49" i="11" s="1"/>
  <c r="J285" i="8"/>
  <c r="C178" i="18"/>
  <c r="C85" i="7"/>
  <c r="C78" i="7" s="1"/>
  <c r="C91" i="7"/>
  <c r="AA50" i="5"/>
  <c r="AC50" i="5" s="1"/>
  <c r="Q59" i="8" l="1"/>
  <c r="C103" i="17"/>
  <c r="Z89" i="25"/>
  <c r="AA89" i="25" s="1"/>
  <c r="AC89" i="25" s="1"/>
  <c r="J60" i="8"/>
  <c r="K60" i="8" s="1"/>
  <c r="M60" i="8" s="1"/>
  <c r="J61" i="8"/>
  <c r="K61" i="8" s="1"/>
  <c r="M61" i="8" s="1"/>
  <c r="D133" i="8"/>
  <c r="E133" i="8" s="1"/>
  <c r="D119" i="26"/>
  <c r="Z119" i="26" s="1"/>
  <c r="J133" i="8" s="1"/>
  <c r="K133" i="8" s="1"/>
  <c r="M131" i="8"/>
  <c r="C140" i="17" s="1"/>
  <c r="C136" i="25"/>
  <c r="C129" i="25" s="1"/>
  <c r="C151" i="25"/>
  <c r="C161" i="25"/>
  <c r="C146" i="25"/>
  <c r="C139" i="25" s="1"/>
  <c r="D132" i="8"/>
  <c r="E132" i="8" s="1"/>
  <c r="D109" i="26"/>
  <c r="Z109" i="26" s="1"/>
  <c r="J132" i="8" s="1"/>
  <c r="AA109" i="26"/>
  <c r="AC109" i="26" s="1"/>
  <c r="D135" i="8"/>
  <c r="E135" i="8" s="1"/>
  <c r="D139" i="26"/>
  <c r="Z139" i="26" s="1"/>
  <c r="R60" i="8"/>
  <c r="Q60" i="8"/>
  <c r="C69" i="17"/>
  <c r="C70" i="17"/>
  <c r="R61" i="8"/>
  <c r="Q61" i="8"/>
  <c r="C67" i="17"/>
  <c r="R58" i="8"/>
  <c r="Q58" i="8"/>
  <c r="K130" i="8"/>
  <c r="AA99" i="26"/>
  <c r="AC99" i="26" s="1"/>
  <c r="D62" i="8"/>
  <c r="D109" i="25"/>
  <c r="E62" i="8" s="1"/>
  <c r="D63" i="8"/>
  <c r="D119" i="25"/>
  <c r="E63" i="8" s="1"/>
  <c r="D134" i="8"/>
  <c r="E134" i="8" s="1"/>
  <c r="D129" i="26"/>
  <c r="Z129" i="26"/>
  <c r="J134" i="8" s="1"/>
  <c r="K134" i="8" s="1"/>
  <c r="AA422" i="7"/>
  <c r="AC422" i="7" s="1"/>
  <c r="D66" i="13"/>
  <c r="D324" i="8"/>
  <c r="C68" i="13"/>
  <c r="I66" i="13"/>
  <c r="J66" i="13" s="1"/>
  <c r="Q113" i="8"/>
  <c r="R113" i="8"/>
  <c r="AA61" i="5"/>
  <c r="AC61" i="5" s="1"/>
  <c r="I83" i="13"/>
  <c r="J83" i="13" s="1"/>
  <c r="I117" i="13"/>
  <c r="J117" i="13" s="1"/>
  <c r="J100" i="13"/>
  <c r="L49" i="8"/>
  <c r="M49" i="8" s="1"/>
  <c r="R49" i="8" s="1"/>
  <c r="C58" i="17"/>
  <c r="Q47" i="8"/>
  <c r="Q46" i="8"/>
  <c r="C57" i="17"/>
  <c r="M91" i="8"/>
  <c r="C293" i="17"/>
  <c r="P289" i="8"/>
  <c r="Q11" i="8"/>
  <c r="R11" i="8"/>
  <c r="C237" i="18"/>
  <c r="Q103" i="8"/>
  <c r="AA626" i="7"/>
  <c r="AC626" i="7" s="1"/>
  <c r="C51" i="18"/>
  <c r="C112" i="17"/>
  <c r="C84" i="5"/>
  <c r="C78" i="5"/>
  <c r="C71" i="5" s="1"/>
  <c r="D71" i="5" s="1"/>
  <c r="Z71" i="5" s="1"/>
  <c r="M247" i="8"/>
  <c r="R247" i="8" s="1"/>
  <c r="C234" i="17"/>
  <c r="C118" i="13"/>
  <c r="M104" i="8"/>
  <c r="R104" i="8" s="1"/>
  <c r="K101" i="8"/>
  <c r="L101" i="8" s="1"/>
  <c r="D102" i="8"/>
  <c r="E102" i="8" s="1"/>
  <c r="D57" i="16"/>
  <c r="Z57" i="16" s="1"/>
  <c r="J102" i="8" s="1"/>
  <c r="E93" i="8"/>
  <c r="K93" i="8" s="1"/>
  <c r="L93" i="8" s="1"/>
  <c r="M93" i="8" s="1"/>
  <c r="R93" i="8" s="1"/>
  <c r="AA47" i="16"/>
  <c r="AC47" i="16" s="1"/>
  <c r="AA37" i="16"/>
  <c r="AC37" i="16" s="1"/>
  <c r="C79" i="16"/>
  <c r="C74" i="16"/>
  <c r="C67" i="16" s="1"/>
  <c r="C71" i="13" s="1"/>
  <c r="AA608" i="7"/>
  <c r="AC608" i="7" s="1"/>
  <c r="J92" i="8"/>
  <c r="K92" i="8" s="1"/>
  <c r="L92" i="8" s="1"/>
  <c r="M92" i="8" s="1"/>
  <c r="R92" i="8" s="1"/>
  <c r="M114" i="8"/>
  <c r="C22" i="17"/>
  <c r="M157" i="8"/>
  <c r="C308" i="17"/>
  <c r="C122" i="17"/>
  <c r="C58" i="18"/>
  <c r="M297" i="8"/>
  <c r="C265" i="17"/>
  <c r="J314" i="8"/>
  <c r="C250" i="18"/>
  <c r="K13" i="8"/>
  <c r="AA38" i="15"/>
  <c r="AC38" i="15" s="1"/>
  <c r="M12" i="8"/>
  <c r="Z302" i="7"/>
  <c r="J307" i="8" s="1"/>
  <c r="K307" i="8" s="1"/>
  <c r="L307" i="8" s="1"/>
  <c r="C449" i="7"/>
  <c r="C442" i="7" s="1"/>
  <c r="C455" i="7"/>
  <c r="D14" i="8"/>
  <c r="E14" i="8" s="1"/>
  <c r="D49" i="2"/>
  <c r="C71" i="15"/>
  <c r="C65" i="15"/>
  <c r="C58" i="15" s="1"/>
  <c r="I116" i="13"/>
  <c r="J116" i="13" s="1"/>
  <c r="C334" i="7"/>
  <c r="C329" i="7"/>
  <c r="C322" i="7" s="1"/>
  <c r="D322" i="7" s="1"/>
  <c r="Z322" i="7" s="1"/>
  <c r="J303" i="8"/>
  <c r="K303" i="8" s="1"/>
  <c r="L303" i="8" s="1"/>
  <c r="I84" i="13"/>
  <c r="C71" i="14"/>
  <c r="C83" i="14"/>
  <c r="K153" i="8"/>
  <c r="L153" i="8" s="1"/>
  <c r="AA51" i="14"/>
  <c r="AC51" i="14" s="1"/>
  <c r="AA292" i="7"/>
  <c r="AC292" i="7" s="1"/>
  <c r="AA39" i="2"/>
  <c r="AC39" i="2" s="1"/>
  <c r="C106" i="13"/>
  <c r="C86" i="13"/>
  <c r="C123" i="13"/>
  <c r="D432" i="7"/>
  <c r="D68" i="13" s="1"/>
  <c r="C72" i="2"/>
  <c r="C66" i="2"/>
  <c r="C59" i="2" s="1"/>
  <c r="D48" i="15"/>
  <c r="D116" i="8"/>
  <c r="E116" i="8" s="1"/>
  <c r="D312" i="7"/>
  <c r="Z312" i="7" s="1"/>
  <c r="J325" i="8" s="1"/>
  <c r="K325" i="8" s="1"/>
  <c r="L325" i="8" s="1"/>
  <c r="C84" i="13"/>
  <c r="E158" i="8"/>
  <c r="D61" i="14"/>
  <c r="K115" i="8"/>
  <c r="L115" i="8" s="1"/>
  <c r="K285" i="8"/>
  <c r="L285" i="8" s="1"/>
  <c r="C160" i="18"/>
  <c r="D268" i="8"/>
  <c r="D78" i="7"/>
  <c r="Z78" i="7" s="1"/>
  <c r="J268" i="8" s="1"/>
  <c r="C83" i="11"/>
  <c r="C76" i="11" s="1"/>
  <c r="C88" i="11"/>
  <c r="C219" i="18"/>
  <c r="AA71" i="5"/>
  <c r="AC71" i="5" s="1"/>
  <c r="AA68" i="7"/>
  <c r="AC68" i="7" s="1"/>
  <c r="C95" i="7"/>
  <c r="C88" i="7" s="1"/>
  <c r="C102" i="7"/>
  <c r="C100" i="15"/>
  <c r="D295" i="8"/>
  <c r="D67" i="11"/>
  <c r="Z67" i="11" s="1"/>
  <c r="C112" i="2"/>
  <c r="E272" i="8"/>
  <c r="K272" i="8" s="1"/>
  <c r="L272" i="8" s="1"/>
  <c r="AA58" i="11"/>
  <c r="AC58" i="11" s="1"/>
  <c r="J287" i="8"/>
  <c r="E287" i="8"/>
  <c r="C103" i="5"/>
  <c r="L134" i="8" l="1"/>
  <c r="M134" i="8" s="1"/>
  <c r="C143" i="17" s="1"/>
  <c r="M130" i="8"/>
  <c r="C139" i="17" s="1"/>
  <c r="M133" i="8"/>
  <c r="C142" i="17" s="1"/>
  <c r="I101" i="13"/>
  <c r="I118" i="13" s="1"/>
  <c r="J118" i="13" s="1"/>
  <c r="Z109" i="25"/>
  <c r="AA109" i="25" s="1"/>
  <c r="AC109" i="25" s="1"/>
  <c r="J62" i="8"/>
  <c r="K62" i="8" s="1"/>
  <c r="M62" i="8" s="1"/>
  <c r="R62" i="8" s="1"/>
  <c r="J135" i="8"/>
  <c r="K135" i="8" s="1"/>
  <c r="AA139" i="26"/>
  <c r="AC139" i="26" s="1"/>
  <c r="C166" i="25"/>
  <c r="C159" i="25" s="1"/>
  <c r="C181" i="25"/>
  <c r="D64" i="8"/>
  <c r="J64" i="8" s="1"/>
  <c r="K64" i="8" s="1"/>
  <c r="M64" i="8" s="1"/>
  <c r="D129" i="25"/>
  <c r="E64" i="8" s="1"/>
  <c r="Z129" i="25"/>
  <c r="AA129" i="25" s="1"/>
  <c r="AC129" i="25" s="1"/>
  <c r="D71" i="13"/>
  <c r="AA129" i="26"/>
  <c r="AC129" i="26" s="1"/>
  <c r="Z119" i="25"/>
  <c r="AA119" i="25" s="1"/>
  <c r="AC119" i="25" s="1"/>
  <c r="J63" i="8"/>
  <c r="K63" i="8" s="1"/>
  <c r="M63" i="8" s="1"/>
  <c r="K132" i="8"/>
  <c r="D65" i="8"/>
  <c r="D139" i="25"/>
  <c r="E65" i="8" s="1"/>
  <c r="C156" i="25"/>
  <c r="C149" i="25" s="1"/>
  <c r="C171" i="25"/>
  <c r="AA119" i="26"/>
  <c r="AC119" i="26" s="1"/>
  <c r="C102" i="13"/>
  <c r="P297" i="8"/>
  <c r="R297" i="8"/>
  <c r="Q114" i="8"/>
  <c r="R114" i="8"/>
  <c r="J101" i="13"/>
  <c r="I102" i="13"/>
  <c r="I119" i="13" s="1"/>
  <c r="C161" i="17"/>
  <c r="R157" i="8"/>
  <c r="Q91" i="8"/>
  <c r="R91" i="8"/>
  <c r="Q49" i="8"/>
  <c r="C100" i="17"/>
  <c r="C101" i="17"/>
  <c r="Q92" i="8"/>
  <c r="C102" i="17"/>
  <c r="Q93" i="8"/>
  <c r="R12" i="8"/>
  <c r="Q12" i="8"/>
  <c r="C59" i="18"/>
  <c r="C123" i="17"/>
  <c r="Z48" i="15"/>
  <c r="J116" i="8" s="1"/>
  <c r="K116" i="8" s="1"/>
  <c r="L116" i="8" s="1"/>
  <c r="Q104" i="8"/>
  <c r="C251" i="17"/>
  <c r="C188" i="18" s="1"/>
  <c r="C94" i="5"/>
  <c r="C88" i="5"/>
  <c r="C81" i="5" s="1"/>
  <c r="D105" i="8"/>
  <c r="E105" i="8" s="1"/>
  <c r="D67" i="16"/>
  <c r="K102" i="8"/>
  <c r="L102" i="8" s="1"/>
  <c r="C113" i="17"/>
  <c r="C52" i="18"/>
  <c r="C84" i="16"/>
  <c r="C77" i="16" s="1"/>
  <c r="C89" i="16"/>
  <c r="AA57" i="16"/>
  <c r="AC57" i="16" s="1"/>
  <c r="M101" i="8"/>
  <c r="R101" i="8" s="1"/>
  <c r="D147" i="8"/>
  <c r="E147" i="8" s="1"/>
  <c r="D146" i="8"/>
  <c r="C83" i="18"/>
  <c r="M153" i="8"/>
  <c r="C245" i="18"/>
  <c r="AA322" i="7"/>
  <c r="AC322" i="7" s="1"/>
  <c r="M285" i="8"/>
  <c r="L13" i="8"/>
  <c r="M13" i="8" s="1"/>
  <c r="C301" i="17"/>
  <c r="M115" i="8"/>
  <c r="C23" i="17"/>
  <c r="M325" i="8"/>
  <c r="R325" i="8" s="1"/>
  <c r="M303" i="8"/>
  <c r="R303" i="8" s="1"/>
  <c r="M307" i="8"/>
  <c r="R307" i="8" s="1"/>
  <c r="K287" i="8"/>
  <c r="L287" i="8" s="1"/>
  <c r="D59" i="2"/>
  <c r="D15" i="8"/>
  <c r="E15" i="8" s="1"/>
  <c r="Z59" i="2"/>
  <c r="J15" i="8" s="1"/>
  <c r="C88" i="14"/>
  <c r="C81" i="14" s="1"/>
  <c r="C93" i="14"/>
  <c r="D58" i="15"/>
  <c r="Z58" i="15" s="1"/>
  <c r="D442" i="7"/>
  <c r="Z442" i="7" s="1"/>
  <c r="C19" i="18"/>
  <c r="AA312" i="7"/>
  <c r="AC312" i="7" s="1"/>
  <c r="Z61" i="14"/>
  <c r="J158" i="8" s="1"/>
  <c r="K158" i="8" s="1"/>
  <c r="L158" i="8" s="1"/>
  <c r="D84" i="13"/>
  <c r="J84" i="13" s="1"/>
  <c r="C83" i="2"/>
  <c r="C76" i="2"/>
  <c r="C69" i="2" s="1"/>
  <c r="D106" i="13"/>
  <c r="D86" i="13"/>
  <c r="D123" i="13"/>
  <c r="D71" i="14"/>
  <c r="C344" i="7"/>
  <c r="C339" i="7"/>
  <c r="C332" i="7" s="1"/>
  <c r="C81" i="15"/>
  <c r="C75" i="15"/>
  <c r="C68" i="15" s="1"/>
  <c r="C459" i="7"/>
  <c r="C452" i="7" s="1"/>
  <c r="C465" i="7"/>
  <c r="C475" i="7" s="1"/>
  <c r="Z432" i="7"/>
  <c r="Z49" i="2"/>
  <c r="J14" i="8" s="1"/>
  <c r="K14" i="8" s="1"/>
  <c r="AA302" i="7"/>
  <c r="AC302" i="7" s="1"/>
  <c r="M272" i="8"/>
  <c r="R272" i="8" s="1"/>
  <c r="C220" i="18"/>
  <c r="C187" i="18"/>
  <c r="AA67" i="11"/>
  <c r="AC67" i="11" s="1"/>
  <c r="J295" i="8"/>
  <c r="C106" i="7"/>
  <c r="C99" i="7" s="1"/>
  <c r="C112" i="7"/>
  <c r="C92" i="11"/>
  <c r="C85" i="11" s="1"/>
  <c r="C97" i="11"/>
  <c r="E268" i="8"/>
  <c r="K268" i="8" s="1"/>
  <c r="L268" i="8" s="1"/>
  <c r="C113" i="5"/>
  <c r="C122" i="2"/>
  <c r="E295" i="8"/>
  <c r="D88" i="7"/>
  <c r="Z88" i="7" s="1"/>
  <c r="D292" i="8"/>
  <c r="D76" i="11"/>
  <c r="Z76" i="11" s="1"/>
  <c r="AA78" i="7"/>
  <c r="AC78" i="7" s="1"/>
  <c r="Q62" i="8" l="1"/>
  <c r="C70" i="13"/>
  <c r="D328" i="8"/>
  <c r="E328" i="8" s="1"/>
  <c r="C71" i="17"/>
  <c r="D66" i="8"/>
  <c r="D149" i="25"/>
  <c r="E66" i="8" s="1"/>
  <c r="M132" i="8"/>
  <c r="C141" i="17" s="1"/>
  <c r="R64" i="8"/>
  <c r="Q64" i="8"/>
  <c r="C73" i="17"/>
  <c r="D159" i="25"/>
  <c r="E67" i="8" s="1"/>
  <c r="D67" i="8"/>
  <c r="Z159" i="25"/>
  <c r="AA159" i="25" s="1"/>
  <c r="AC159" i="25" s="1"/>
  <c r="AA48" i="15"/>
  <c r="AC48" i="15" s="1"/>
  <c r="C176" i="25"/>
  <c r="C169" i="25" s="1"/>
  <c r="C191" i="25"/>
  <c r="Z139" i="25"/>
  <c r="AA139" i="25" s="1"/>
  <c r="AC139" i="25" s="1"/>
  <c r="J65" i="8"/>
  <c r="K65" i="8" s="1"/>
  <c r="M65" i="8" s="1"/>
  <c r="R63" i="8"/>
  <c r="Q63" i="8"/>
  <c r="C72" i="17"/>
  <c r="C186" i="25"/>
  <c r="C179" i="25" s="1"/>
  <c r="C201" i="25"/>
  <c r="M135" i="8"/>
  <c r="C144" i="17" s="1"/>
  <c r="J324" i="8"/>
  <c r="I68" i="13"/>
  <c r="J68" i="13" s="1"/>
  <c r="I106" i="13"/>
  <c r="J106" i="13" s="1"/>
  <c r="D70" i="13"/>
  <c r="C119" i="13"/>
  <c r="Q115" i="8"/>
  <c r="R115" i="8"/>
  <c r="P285" i="8"/>
  <c r="R285" i="8"/>
  <c r="C157" i="17"/>
  <c r="R153" i="8"/>
  <c r="Q13" i="8"/>
  <c r="R13" i="8"/>
  <c r="Q101" i="8"/>
  <c r="C104" i="5"/>
  <c r="C98" i="5"/>
  <c r="C91" i="5" s="1"/>
  <c r="D232" i="8"/>
  <c r="E232" i="8" s="1"/>
  <c r="D81" i="5"/>
  <c r="C49" i="18"/>
  <c r="C110" i="17"/>
  <c r="D77" i="16"/>
  <c r="D106" i="8"/>
  <c r="E106" i="8" s="1"/>
  <c r="C89" i="13"/>
  <c r="D89" i="13"/>
  <c r="D104" i="13" s="1"/>
  <c r="D121" i="13" s="1"/>
  <c r="C99" i="16"/>
  <c r="C94" i="16"/>
  <c r="C87" i="16" s="1"/>
  <c r="M102" i="8"/>
  <c r="R102" i="8" s="1"/>
  <c r="Z67" i="16"/>
  <c r="C79" i="18"/>
  <c r="M158" i="8"/>
  <c r="C329" i="17"/>
  <c r="C311" i="17"/>
  <c r="C307" i="17"/>
  <c r="C24" i="17"/>
  <c r="C20" i="18"/>
  <c r="C124" i="17"/>
  <c r="C60" i="18"/>
  <c r="C289" i="17"/>
  <c r="C233" i="18"/>
  <c r="M287" i="8"/>
  <c r="C276" i="17"/>
  <c r="L14" i="8"/>
  <c r="M14" i="8" s="1"/>
  <c r="C485" i="7"/>
  <c r="C489" i="7" s="1"/>
  <c r="C482" i="7" s="1"/>
  <c r="D321" i="8" s="1"/>
  <c r="E321" i="8" s="1"/>
  <c r="C479" i="7"/>
  <c r="C472" i="7" s="1"/>
  <c r="C269" i="18"/>
  <c r="C495" i="7"/>
  <c r="C505" i="7" s="1"/>
  <c r="C515" i="7" s="1"/>
  <c r="C249" i="18"/>
  <c r="D332" i="7"/>
  <c r="Z332" i="7" s="1"/>
  <c r="D302" i="8"/>
  <c r="E302" i="8" s="1"/>
  <c r="C253" i="18"/>
  <c r="K295" i="8"/>
  <c r="L295" i="8" s="1"/>
  <c r="K15" i="8"/>
  <c r="AA58" i="15"/>
  <c r="AC58" i="15" s="1"/>
  <c r="AA442" i="7"/>
  <c r="AC442" i="7" s="1"/>
  <c r="AA59" i="2"/>
  <c r="AC59" i="2" s="1"/>
  <c r="M116" i="8"/>
  <c r="E306" i="8"/>
  <c r="D452" i="7"/>
  <c r="Z452" i="7" s="1"/>
  <c r="C91" i="15"/>
  <c r="C85" i="15"/>
  <c r="C78" i="15" s="1"/>
  <c r="C349" i="7"/>
  <c r="C342" i="7" s="1"/>
  <c r="C354" i="7"/>
  <c r="Z71" i="14"/>
  <c r="D16" i="8"/>
  <c r="E16" i="8" s="1"/>
  <c r="D69" i="2"/>
  <c r="Z69" i="2" s="1"/>
  <c r="J16" i="8" s="1"/>
  <c r="D102" i="13"/>
  <c r="J102" i="13" s="1"/>
  <c r="C98" i="14"/>
  <c r="C91" i="14" s="1"/>
  <c r="D145" i="8" s="1"/>
  <c r="E145" i="8" s="1"/>
  <c r="C103" i="14"/>
  <c r="AA61" i="14"/>
  <c r="AC61" i="14" s="1"/>
  <c r="I123" i="13"/>
  <c r="J123" i="13" s="1"/>
  <c r="I86" i="13"/>
  <c r="J86" i="13" s="1"/>
  <c r="AA432" i="7"/>
  <c r="D117" i="8"/>
  <c r="E117" i="8" s="1"/>
  <c r="D68" i="15"/>
  <c r="D118" i="8"/>
  <c r="E118" i="8" s="1"/>
  <c r="C93" i="2"/>
  <c r="C87" i="2"/>
  <c r="C80" i="2" s="1"/>
  <c r="C62" i="18"/>
  <c r="D81" i="14"/>
  <c r="AA49" i="2"/>
  <c r="AC49" i="2" s="1"/>
  <c r="M268" i="8"/>
  <c r="R268" i="8" s="1"/>
  <c r="AA76" i="11"/>
  <c r="AC76" i="11" s="1"/>
  <c r="J292" i="8"/>
  <c r="AA88" i="7"/>
  <c r="AC88" i="7" s="1"/>
  <c r="C227" i="18"/>
  <c r="E292" i="8"/>
  <c r="C142" i="2"/>
  <c r="D296" i="8"/>
  <c r="D85" i="11"/>
  <c r="Z85" i="11" s="1"/>
  <c r="D274" i="8"/>
  <c r="D99" i="7"/>
  <c r="Z99" i="7" s="1"/>
  <c r="C170" i="18"/>
  <c r="C123" i="5"/>
  <c r="C101" i="11"/>
  <c r="C94" i="11" s="1"/>
  <c r="C106" i="11"/>
  <c r="C116" i="7"/>
  <c r="C109" i="7" s="1"/>
  <c r="C122" i="7"/>
  <c r="J67" i="8" l="1"/>
  <c r="K67" i="8" s="1"/>
  <c r="M67" i="8" s="1"/>
  <c r="R67" i="8" s="1"/>
  <c r="I70" i="13"/>
  <c r="J328" i="8"/>
  <c r="K328" i="8" s="1"/>
  <c r="D179" i="25"/>
  <c r="E69" i="8" s="1"/>
  <c r="D69" i="8"/>
  <c r="Z179" i="25"/>
  <c r="AA179" i="25" s="1"/>
  <c r="AC179" i="25" s="1"/>
  <c r="C74" i="17"/>
  <c r="R65" i="8"/>
  <c r="Q65" i="8"/>
  <c r="C196" i="25"/>
  <c r="C189" i="25" s="1"/>
  <c r="C211" i="25"/>
  <c r="Q67" i="8"/>
  <c r="C76" i="17"/>
  <c r="AA67" i="16"/>
  <c r="AC67" i="16" s="1"/>
  <c r="I71" i="13"/>
  <c r="J71" i="13" s="1"/>
  <c r="C206" i="25"/>
  <c r="C199" i="25" s="1"/>
  <c r="C221" i="25"/>
  <c r="D68" i="8"/>
  <c r="D169" i="25"/>
  <c r="E68" i="8" s="1"/>
  <c r="Z149" i="25"/>
  <c r="AA149" i="25" s="1"/>
  <c r="AC149" i="25" s="1"/>
  <c r="J66" i="8"/>
  <c r="K66" i="8" s="1"/>
  <c r="M66" i="8" s="1"/>
  <c r="M295" i="8"/>
  <c r="C243" i="18" s="1"/>
  <c r="J70" i="13"/>
  <c r="AA452" i="7"/>
  <c r="AC452" i="7" s="1"/>
  <c r="Q116" i="8"/>
  <c r="R116" i="8"/>
  <c r="P287" i="8"/>
  <c r="R287" i="8"/>
  <c r="C162" i="17"/>
  <c r="R158" i="8"/>
  <c r="R14" i="8"/>
  <c r="Q14" i="8"/>
  <c r="Z68" i="15"/>
  <c r="J118" i="8" s="1"/>
  <c r="K118" i="8" s="1"/>
  <c r="L118" i="8" s="1"/>
  <c r="Q102" i="8"/>
  <c r="Z81" i="5"/>
  <c r="J232" i="8" s="1"/>
  <c r="K232" i="8" s="1"/>
  <c r="L232" i="8" s="1"/>
  <c r="D91" i="5"/>
  <c r="D233" i="8"/>
  <c r="E233" i="8" s="1"/>
  <c r="C114" i="5"/>
  <c r="C108" i="5"/>
  <c r="C101" i="5" s="1"/>
  <c r="D101" i="5" s="1"/>
  <c r="Z101" i="5" s="1"/>
  <c r="C111" i="17"/>
  <c r="C50" i="18"/>
  <c r="D87" i="16"/>
  <c r="D107" i="8"/>
  <c r="E107" i="8" s="1"/>
  <c r="J105" i="8"/>
  <c r="K105" i="8" s="1"/>
  <c r="L105" i="8" s="1"/>
  <c r="C109" i="16"/>
  <c r="C104" i="16"/>
  <c r="C97" i="16" s="1"/>
  <c r="C104" i="13"/>
  <c r="Z77" i="16"/>
  <c r="J106" i="8" s="1"/>
  <c r="K106" i="8" s="1"/>
  <c r="L106" i="8" s="1"/>
  <c r="J147" i="8"/>
  <c r="K147" i="8" s="1"/>
  <c r="J146" i="8"/>
  <c r="C84" i="18"/>
  <c r="C235" i="18"/>
  <c r="C25" i="17"/>
  <c r="C21" i="18"/>
  <c r="C299" i="17"/>
  <c r="L15" i="8"/>
  <c r="M15" i="8" s="1"/>
  <c r="C291" i="17"/>
  <c r="C272" i="17"/>
  <c r="C125" i="17"/>
  <c r="D482" i="7"/>
  <c r="D320" i="8"/>
  <c r="E320" i="8" s="1"/>
  <c r="D472" i="7"/>
  <c r="Z472" i="7" s="1"/>
  <c r="J320" i="8" s="1"/>
  <c r="C525" i="7"/>
  <c r="C535" i="7" s="1"/>
  <c r="C545" i="7"/>
  <c r="AA332" i="7"/>
  <c r="AC332" i="7" s="1"/>
  <c r="J302" i="8"/>
  <c r="K302" i="8" s="1"/>
  <c r="L302" i="8" s="1"/>
  <c r="AA69" i="2"/>
  <c r="AC69" i="2" s="1"/>
  <c r="K16" i="8"/>
  <c r="AA71" i="14"/>
  <c r="AC71" i="14" s="1"/>
  <c r="C61" i="18"/>
  <c r="Z81" i="14"/>
  <c r="C103" i="2"/>
  <c r="C97" i="2"/>
  <c r="C90" i="2" s="1"/>
  <c r="C113" i="14"/>
  <c r="C108" i="14"/>
  <c r="C101" i="14" s="1"/>
  <c r="D148" i="8" s="1"/>
  <c r="D119" i="13"/>
  <c r="J119" i="13" s="1"/>
  <c r="D342" i="7"/>
  <c r="D305" i="8"/>
  <c r="E305" i="8" s="1"/>
  <c r="C101" i="15"/>
  <c r="C105" i="15" s="1"/>
  <c r="C98" i="15" s="1"/>
  <c r="C95" i="15"/>
  <c r="C88" i="15" s="1"/>
  <c r="C88" i="13"/>
  <c r="K292" i="8"/>
  <c r="L292" i="8" s="1"/>
  <c r="D19" i="8"/>
  <c r="E19" i="8" s="1"/>
  <c r="D80" i="2"/>
  <c r="AC432" i="7"/>
  <c r="E146" i="8"/>
  <c r="K146" i="8" s="1"/>
  <c r="L146" i="8" s="1"/>
  <c r="D91" i="14"/>
  <c r="C364" i="7"/>
  <c r="C359" i="7"/>
  <c r="C352" i="7" s="1"/>
  <c r="D78" i="15"/>
  <c r="Z78" i="15" s="1"/>
  <c r="J117" i="8" s="1"/>
  <c r="K117" i="8" s="1"/>
  <c r="L117" i="8" s="1"/>
  <c r="I88" i="13"/>
  <c r="J306" i="8"/>
  <c r="K306" i="8" s="1"/>
  <c r="L306" i="8" s="1"/>
  <c r="AA85" i="11"/>
  <c r="AC85" i="11" s="1"/>
  <c r="J296" i="8"/>
  <c r="J274" i="8"/>
  <c r="AA99" i="7"/>
  <c r="AC99" i="7" s="1"/>
  <c r="C126" i="7"/>
  <c r="C119" i="7" s="1"/>
  <c r="C132" i="7"/>
  <c r="C142" i="7" s="1"/>
  <c r="C110" i="11"/>
  <c r="C103" i="11" s="1"/>
  <c r="C115" i="11"/>
  <c r="E274" i="8"/>
  <c r="C223" i="18"/>
  <c r="D109" i="7"/>
  <c r="Z109" i="7" s="1"/>
  <c r="J273" i="8" s="1"/>
  <c r="D273" i="8"/>
  <c r="D293" i="8"/>
  <c r="D94" i="11"/>
  <c r="Z94" i="11" s="1"/>
  <c r="C133" i="5"/>
  <c r="E296" i="8"/>
  <c r="C153" i="2"/>
  <c r="L328" i="8" l="1"/>
  <c r="M328" i="8"/>
  <c r="C146" i="7"/>
  <c r="C139" i="7" s="1"/>
  <c r="C162" i="7"/>
  <c r="C241" i="25"/>
  <c r="C226" i="25"/>
  <c r="C219" i="25" s="1"/>
  <c r="D70" i="8"/>
  <c r="D189" i="25"/>
  <c r="E70" i="8" s="1"/>
  <c r="AA68" i="15"/>
  <c r="AC68" i="15" s="1"/>
  <c r="C75" i="17"/>
  <c r="R66" i="8"/>
  <c r="Q66" i="8"/>
  <c r="Z169" i="25"/>
  <c r="AA169" i="25" s="1"/>
  <c r="AC169" i="25" s="1"/>
  <c r="J68" i="8"/>
  <c r="K68" i="8" s="1"/>
  <c r="M68" i="8" s="1"/>
  <c r="D71" i="8"/>
  <c r="D199" i="25"/>
  <c r="E71" i="8" s="1"/>
  <c r="C231" i="25"/>
  <c r="C216" i="25"/>
  <c r="C209" i="25" s="1"/>
  <c r="J69" i="8"/>
  <c r="K69" i="8" s="1"/>
  <c r="M69" i="8" s="1"/>
  <c r="L147" i="8"/>
  <c r="M147" i="8" s="1"/>
  <c r="D269" i="8"/>
  <c r="D139" i="7"/>
  <c r="E269" i="8" s="1"/>
  <c r="C103" i="13"/>
  <c r="P295" i="8"/>
  <c r="R295" i="8"/>
  <c r="AA101" i="5"/>
  <c r="AC101" i="5" s="1"/>
  <c r="I103" i="13"/>
  <c r="I120" i="13" s="1"/>
  <c r="R15" i="8"/>
  <c r="Q15" i="8"/>
  <c r="AA81" i="5"/>
  <c r="AC81" i="5" s="1"/>
  <c r="AA77" i="16"/>
  <c r="AC77" i="16" s="1"/>
  <c r="C124" i="5"/>
  <c r="C118" i="5"/>
  <c r="C111" i="5" s="1"/>
  <c r="D111" i="5" s="1"/>
  <c r="Z111" i="5" s="1"/>
  <c r="M232" i="8"/>
  <c r="R232" i="8" s="1"/>
  <c r="Z91" i="5"/>
  <c r="J233" i="8" s="1"/>
  <c r="K233" i="8" s="1"/>
  <c r="L233" i="8" s="1"/>
  <c r="M106" i="8"/>
  <c r="R106" i="8" s="1"/>
  <c r="C121" i="13"/>
  <c r="D108" i="8"/>
  <c r="D97" i="16"/>
  <c r="Z97" i="16" s="1"/>
  <c r="J108" i="8" s="1"/>
  <c r="M105" i="8"/>
  <c r="R105" i="8" s="1"/>
  <c r="C119" i="16"/>
  <c r="C124" i="16" s="1"/>
  <c r="C117" i="16" s="1"/>
  <c r="C114" i="16"/>
  <c r="C107" i="16" s="1"/>
  <c r="I89" i="13"/>
  <c r="Z87" i="16"/>
  <c r="J107" i="8" s="1"/>
  <c r="K107" i="8" s="1"/>
  <c r="L107" i="8" s="1"/>
  <c r="K296" i="8"/>
  <c r="L296" i="8" s="1"/>
  <c r="C26" i="17"/>
  <c r="C22" i="18"/>
  <c r="M117" i="8"/>
  <c r="M292" i="8"/>
  <c r="L16" i="8"/>
  <c r="M16" i="8" s="1"/>
  <c r="M118" i="8"/>
  <c r="Z482" i="7"/>
  <c r="AA472" i="7"/>
  <c r="AC472" i="7" s="1"/>
  <c r="K320" i="8"/>
  <c r="L320" i="8" s="1"/>
  <c r="M302" i="8"/>
  <c r="R302" i="8" s="1"/>
  <c r="M306" i="8"/>
  <c r="R306" i="8" s="1"/>
  <c r="K274" i="8"/>
  <c r="L274" i="8" s="1"/>
  <c r="AA78" i="15"/>
  <c r="AC78" i="15" s="1"/>
  <c r="AA81" i="14"/>
  <c r="AC81" i="14" s="1"/>
  <c r="E326" i="8"/>
  <c r="K326" i="8" s="1"/>
  <c r="L326" i="8" s="1"/>
  <c r="D352" i="7"/>
  <c r="Z352" i="7" s="1"/>
  <c r="D119" i="8"/>
  <c r="E119" i="8" s="1"/>
  <c r="D98" i="15"/>
  <c r="Z98" i="15" s="1"/>
  <c r="J119" i="8" s="1"/>
  <c r="Z342" i="7"/>
  <c r="J305" i="8" s="1"/>
  <c r="K305" i="8" s="1"/>
  <c r="L305" i="8" s="1"/>
  <c r="C123" i="14"/>
  <c r="C118" i="14"/>
  <c r="C111" i="14" s="1"/>
  <c r="D161" i="8" s="1"/>
  <c r="E161" i="8" s="1"/>
  <c r="D90" i="2"/>
  <c r="Z90" i="2" s="1"/>
  <c r="J20" i="8" s="1"/>
  <c r="D20" i="8"/>
  <c r="E20" i="8" s="1"/>
  <c r="C394" i="7"/>
  <c r="C369" i="7"/>
  <c r="C362" i="7" s="1"/>
  <c r="Z91" i="14"/>
  <c r="J145" i="8" s="1"/>
  <c r="K145" i="8" s="1"/>
  <c r="L145" i="8" s="1"/>
  <c r="D88" i="13"/>
  <c r="J88" i="13" s="1"/>
  <c r="D88" i="15"/>
  <c r="Z88" i="15" s="1"/>
  <c r="J120" i="8" s="1"/>
  <c r="D120" i="8"/>
  <c r="E120" i="8" s="1"/>
  <c r="D101" i="14"/>
  <c r="Z101" i="14" s="1"/>
  <c r="J148" i="8" s="1"/>
  <c r="C113" i="2"/>
  <c r="C107" i="2"/>
  <c r="C100" i="2" s="1"/>
  <c r="Z80" i="2"/>
  <c r="J19" i="8" s="1"/>
  <c r="K19" i="8" s="1"/>
  <c r="AA109" i="7"/>
  <c r="AC109" i="7" s="1"/>
  <c r="AA94" i="11"/>
  <c r="AC94" i="11" s="1"/>
  <c r="J293" i="8"/>
  <c r="E293" i="8"/>
  <c r="E273" i="8"/>
  <c r="K273" i="8" s="1"/>
  <c r="L273" i="8" s="1"/>
  <c r="C119" i="11"/>
  <c r="C112" i="11" s="1"/>
  <c r="C124" i="11"/>
  <c r="C136" i="7"/>
  <c r="C129" i="7" s="1"/>
  <c r="C152" i="7"/>
  <c r="C224" i="18"/>
  <c r="AA111" i="5"/>
  <c r="AC111" i="5" s="1"/>
  <c r="C163" i="2"/>
  <c r="C143" i="5"/>
  <c r="D103" i="11"/>
  <c r="Z103" i="11" s="1"/>
  <c r="AA103" i="11" s="1"/>
  <c r="AC103" i="11" s="1"/>
  <c r="D275" i="8"/>
  <c r="D119" i="7"/>
  <c r="AA482" i="7" l="1"/>
  <c r="AC482" i="7" s="1"/>
  <c r="J321" i="8"/>
  <c r="K321" i="8" s="1"/>
  <c r="R328" i="8"/>
  <c r="C332" i="17"/>
  <c r="C156" i="7"/>
  <c r="C149" i="7" s="1"/>
  <c r="C172" i="7"/>
  <c r="C182" i="7"/>
  <c r="C166" i="7"/>
  <c r="C159" i="7" s="1"/>
  <c r="I104" i="13"/>
  <c r="J104" i="13" s="1"/>
  <c r="J89" i="13"/>
  <c r="C78" i="17"/>
  <c r="R69" i="8"/>
  <c r="Q69" i="8"/>
  <c r="C236" i="25"/>
  <c r="C229" i="25" s="1"/>
  <c r="C251" i="25"/>
  <c r="R68" i="8"/>
  <c r="Q68" i="8"/>
  <c r="C77" i="17"/>
  <c r="D219" i="25"/>
  <c r="E73" i="8" s="1"/>
  <c r="D73" i="8"/>
  <c r="J73" i="8" s="1"/>
  <c r="K73" i="8" s="1"/>
  <c r="Z219" i="25"/>
  <c r="AA219" i="25" s="1"/>
  <c r="AC219" i="25" s="1"/>
  <c r="D72" i="8"/>
  <c r="D209" i="25"/>
  <c r="E72" i="8" s="1"/>
  <c r="Z209" i="25"/>
  <c r="AA209" i="25" s="1"/>
  <c r="AC209" i="25" s="1"/>
  <c r="Z199" i="25"/>
  <c r="AA199" i="25" s="1"/>
  <c r="AC199" i="25" s="1"/>
  <c r="J71" i="8"/>
  <c r="K71" i="8" s="1"/>
  <c r="M71" i="8" s="1"/>
  <c r="Z189" i="25"/>
  <c r="AA189" i="25" s="1"/>
  <c r="AC189" i="25" s="1"/>
  <c r="J70" i="8"/>
  <c r="K70" i="8" s="1"/>
  <c r="M70" i="8" s="1"/>
  <c r="C246" i="25"/>
  <c r="C239" i="25" s="1"/>
  <c r="C261" i="25"/>
  <c r="R147" i="8"/>
  <c r="C73" i="18"/>
  <c r="C151" i="17"/>
  <c r="M296" i="8"/>
  <c r="Z139" i="7"/>
  <c r="C120" i="13"/>
  <c r="Q117" i="8"/>
  <c r="R117" i="8"/>
  <c r="Q118" i="8"/>
  <c r="R118" i="8"/>
  <c r="P292" i="8"/>
  <c r="R292" i="8"/>
  <c r="AA352" i="7"/>
  <c r="AC352" i="7" s="1"/>
  <c r="R16" i="8"/>
  <c r="Q16" i="8"/>
  <c r="Q105" i="8"/>
  <c r="Q106" i="8"/>
  <c r="M274" i="8"/>
  <c r="C278" i="17" s="1"/>
  <c r="AA87" i="16"/>
  <c r="AC87" i="16" s="1"/>
  <c r="M233" i="8"/>
  <c r="R233" i="8" s="1"/>
  <c r="C236" i="17"/>
  <c r="C158" i="18" s="1"/>
  <c r="AA91" i="5"/>
  <c r="AC91" i="5" s="1"/>
  <c r="C134" i="5"/>
  <c r="C128" i="5"/>
  <c r="C121" i="5" s="1"/>
  <c r="C53" i="18"/>
  <c r="C114" i="17"/>
  <c r="M107" i="8"/>
  <c r="R107" i="8" s="1"/>
  <c r="D107" i="16"/>
  <c r="Z107" i="16" s="1"/>
  <c r="J109" i="8" s="1"/>
  <c r="D109" i="8"/>
  <c r="AA107" i="16"/>
  <c r="AC107" i="16" s="1"/>
  <c r="C115" i="17"/>
  <c r="C54" i="18"/>
  <c r="D110" i="8"/>
  <c r="E110" i="8" s="1"/>
  <c r="D117" i="16"/>
  <c r="AA97" i="16"/>
  <c r="AC97" i="16" s="1"/>
  <c r="E108" i="8"/>
  <c r="K108" i="8" s="1"/>
  <c r="M145" i="8"/>
  <c r="R145" i="8" s="1"/>
  <c r="M146" i="8"/>
  <c r="C240" i="18"/>
  <c r="C310" i="17"/>
  <c r="C126" i="17"/>
  <c r="C63" i="18"/>
  <c r="L19" i="8"/>
  <c r="M19" i="8" s="1"/>
  <c r="M320" i="8"/>
  <c r="R320" i="8" s="1"/>
  <c r="C127" i="17"/>
  <c r="C64" i="18"/>
  <c r="C27" i="17"/>
  <c r="C23" i="18"/>
  <c r="C296" i="17"/>
  <c r="C306" i="17"/>
  <c r="C252" i="18"/>
  <c r="M305" i="8"/>
  <c r="R305" i="8" s="1"/>
  <c r="K293" i="8"/>
  <c r="L293" i="8" s="1"/>
  <c r="K120" i="8"/>
  <c r="L120" i="8" s="1"/>
  <c r="K119" i="8"/>
  <c r="L119" i="8" s="1"/>
  <c r="AA90" i="2"/>
  <c r="AC90" i="2" s="1"/>
  <c r="K20" i="8"/>
  <c r="AA98" i="15"/>
  <c r="AC98" i="15" s="1"/>
  <c r="D100" i="2"/>
  <c r="D21" i="8"/>
  <c r="E21" i="8" s="1"/>
  <c r="Z100" i="2"/>
  <c r="J21" i="8" s="1"/>
  <c r="E324" i="8"/>
  <c r="K324" i="8" s="1"/>
  <c r="L324" i="8" s="1"/>
  <c r="D362" i="7"/>
  <c r="D111" i="14"/>
  <c r="Z111" i="14" s="1"/>
  <c r="J161" i="8" s="1"/>
  <c r="K161" i="8" s="1"/>
  <c r="L161" i="8" s="1"/>
  <c r="AA101" i="14"/>
  <c r="AC101" i="14" s="1"/>
  <c r="AA91" i="14"/>
  <c r="AC91" i="14" s="1"/>
  <c r="AA342" i="7"/>
  <c r="AC342" i="7" s="1"/>
  <c r="AA80" i="2"/>
  <c r="AC80" i="2" s="1"/>
  <c r="C123" i="2"/>
  <c r="C117" i="2"/>
  <c r="C110" i="2" s="1"/>
  <c r="D103" i="13"/>
  <c r="J103" i="13" s="1"/>
  <c r="C399" i="7"/>
  <c r="C392" i="7" s="1"/>
  <c r="C464" i="7"/>
  <c r="C494" i="7" s="1"/>
  <c r="C499" i="7" s="1"/>
  <c r="C492" i="7" s="1"/>
  <c r="C69" i="13" s="1"/>
  <c r="C128" i="14"/>
  <c r="C121" i="14" s="1"/>
  <c r="D162" i="8" s="1"/>
  <c r="E162" i="8" s="1"/>
  <c r="C133" i="14"/>
  <c r="AA88" i="15"/>
  <c r="AC88" i="15" s="1"/>
  <c r="C171" i="18"/>
  <c r="E275" i="8"/>
  <c r="C153" i="5"/>
  <c r="D262" i="8"/>
  <c r="D129" i="7"/>
  <c r="Z129" i="7" s="1"/>
  <c r="D112" i="11"/>
  <c r="Z112" i="11" s="1"/>
  <c r="AA112" i="11" s="1"/>
  <c r="AC112" i="11" s="1"/>
  <c r="Z119" i="7"/>
  <c r="J275" i="8" s="1"/>
  <c r="C173" i="2"/>
  <c r="D149" i="7"/>
  <c r="Z149" i="7" s="1"/>
  <c r="J270" i="8" s="1"/>
  <c r="D270" i="8"/>
  <c r="C128" i="11"/>
  <c r="C121" i="11" s="1"/>
  <c r="C133" i="11"/>
  <c r="M273" i="8"/>
  <c r="R273" i="8" s="1"/>
  <c r="L321" i="8" l="1"/>
  <c r="M321" i="8"/>
  <c r="D277" i="8"/>
  <c r="D159" i="7"/>
  <c r="E277" i="8" s="1"/>
  <c r="E278" i="8" s="1"/>
  <c r="Z159" i="7"/>
  <c r="J277" i="8" s="1"/>
  <c r="J278" i="8" s="1"/>
  <c r="C176" i="7"/>
  <c r="C169" i="7" s="1"/>
  <c r="C192" i="7"/>
  <c r="C196" i="7" s="1"/>
  <c r="C189" i="7" s="1"/>
  <c r="J72" i="8"/>
  <c r="K72" i="8" s="1"/>
  <c r="M72" i="8" s="1"/>
  <c r="Q72" i="8" s="1"/>
  <c r="C186" i="7"/>
  <c r="C179" i="7" s="1"/>
  <c r="C202" i="7"/>
  <c r="C206" i="7" s="1"/>
  <c r="C199" i="7" s="1"/>
  <c r="D239" i="25"/>
  <c r="E75" i="8" s="1"/>
  <c r="D75" i="8"/>
  <c r="J75" i="8" s="1"/>
  <c r="K75" i="8" s="1"/>
  <c r="M75" i="8" s="1"/>
  <c r="Z239" i="25"/>
  <c r="AA239" i="25" s="1"/>
  <c r="AC239" i="25" s="1"/>
  <c r="R72" i="8"/>
  <c r="C256" i="25"/>
  <c r="C249" i="25" s="1"/>
  <c r="C271" i="25"/>
  <c r="C266" i="25"/>
  <c r="C259" i="25" s="1"/>
  <c r="C281" i="25"/>
  <c r="C79" i="17"/>
  <c r="R70" i="8"/>
  <c r="Q70" i="8"/>
  <c r="C80" i="17"/>
  <c r="R71" i="8"/>
  <c r="Q71" i="8"/>
  <c r="M73" i="8"/>
  <c r="D74" i="8"/>
  <c r="D229" i="25"/>
  <c r="E74" i="8" s="1"/>
  <c r="Z229" i="25"/>
  <c r="AA229" i="25" s="1"/>
  <c r="AC229" i="25" s="1"/>
  <c r="L108" i="8"/>
  <c r="M108" i="8" s="1"/>
  <c r="M293" i="8"/>
  <c r="AA139" i="7"/>
  <c r="AC139" i="7" s="1"/>
  <c r="J269" i="8"/>
  <c r="K269" i="8" s="1"/>
  <c r="L269" i="8" s="1"/>
  <c r="M269" i="8" s="1"/>
  <c r="C273" i="17" s="1"/>
  <c r="P296" i="8"/>
  <c r="R296" i="8"/>
  <c r="C229" i="18"/>
  <c r="R274" i="8"/>
  <c r="C150" i="17"/>
  <c r="R146" i="8"/>
  <c r="R19" i="8"/>
  <c r="Q19" i="8"/>
  <c r="Q107" i="8"/>
  <c r="D121" i="5"/>
  <c r="D240" i="8"/>
  <c r="E240" i="8" s="1"/>
  <c r="C237" i="17"/>
  <c r="C159" i="18" s="1"/>
  <c r="C144" i="5"/>
  <c r="C138" i="5"/>
  <c r="C131" i="5" s="1"/>
  <c r="Z117" i="16"/>
  <c r="J110" i="8" s="1"/>
  <c r="K110" i="8" s="1"/>
  <c r="E109" i="8"/>
  <c r="K109" i="8" s="1"/>
  <c r="C55" i="18"/>
  <c r="C116" i="17"/>
  <c r="I121" i="13"/>
  <c r="J121" i="13" s="1"/>
  <c r="C149" i="17"/>
  <c r="C71" i="18"/>
  <c r="M161" i="8"/>
  <c r="R161" i="8" s="1"/>
  <c r="C244" i="18"/>
  <c r="C300" i="17"/>
  <c r="C72" i="18"/>
  <c r="C309" i="17"/>
  <c r="C324" i="17"/>
  <c r="C265" i="18"/>
  <c r="C30" i="17"/>
  <c r="C25" i="18"/>
  <c r="L20" i="8"/>
  <c r="M20" i="8" s="1"/>
  <c r="M119" i="8"/>
  <c r="C277" i="17"/>
  <c r="C297" i="17"/>
  <c r="M120" i="8"/>
  <c r="D492" i="7"/>
  <c r="D69" i="13" s="1"/>
  <c r="D318" i="8"/>
  <c r="E318" i="8" s="1"/>
  <c r="Z492" i="7"/>
  <c r="C251" i="18"/>
  <c r="M326" i="8"/>
  <c r="R326" i="8" s="1"/>
  <c r="K21" i="8"/>
  <c r="L21" i="8" s="1"/>
  <c r="AA149" i="7"/>
  <c r="AC149" i="7" s="1"/>
  <c r="AA100" i="2"/>
  <c r="AC100" i="2" s="1"/>
  <c r="D121" i="14"/>
  <c r="D392" i="7"/>
  <c r="E323" i="8"/>
  <c r="K323" i="8" s="1"/>
  <c r="L323" i="8" s="1"/>
  <c r="D120" i="13"/>
  <c r="J120" i="13" s="1"/>
  <c r="D110" i="2"/>
  <c r="Z110" i="2" s="1"/>
  <c r="J22" i="8" s="1"/>
  <c r="D22" i="8"/>
  <c r="E22" i="8" s="1"/>
  <c r="Z362" i="7"/>
  <c r="C143" i="14"/>
  <c r="C138" i="14"/>
  <c r="C131" i="14" s="1"/>
  <c r="D150" i="8" s="1"/>
  <c r="C469" i="7"/>
  <c r="C462" i="7" s="1"/>
  <c r="D319" i="8" s="1"/>
  <c r="E319" i="8" s="1"/>
  <c r="C133" i="2"/>
  <c r="C127" i="2"/>
  <c r="C120" i="2" s="1"/>
  <c r="AA111" i="14"/>
  <c r="AC111" i="14" s="1"/>
  <c r="K275" i="8"/>
  <c r="L275" i="8" s="1"/>
  <c r="C241" i="18"/>
  <c r="C172" i="18"/>
  <c r="C228" i="18"/>
  <c r="J262" i="8"/>
  <c r="AA129" i="7"/>
  <c r="AC129" i="7" s="1"/>
  <c r="C137" i="11"/>
  <c r="C130" i="11" s="1"/>
  <c r="C142" i="11"/>
  <c r="D121" i="11"/>
  <c r="Z121" i="11" s="1"/>
  <c r="AA121" i="11" s="1"/>
  <c r="AC121" i="11" s="1"/>
  <c r="E270" i="8"/>
  <c r="K270" i="8" s="1"/>
  <c r="L270" i="8" s="1"/>
  <c r="C183" i="2"/>
  <c r="E262" i="8"/>
  <c r="C163" i="5"/>
  <c r="AA119" i="7"/>
  <c r="AC119" i="7" s="1"/>
  <c r="C81" i="17" l="1"/>
  <c r="J74" i="8"/>
  <c r="K74" i="8" s="1"/>
  <c r="M74" i="8" s="1"/>
  <c r="Q74" i="8" s="1"/>
  <c r="R321" i="8"/>
  <c r="C325" i="17"/>
  <c r="C266" i="18"/>
  <c r="D280" i="8"/>
  <c r="D179" i="7"/>
  <c r="E280" i="8" s="1"/>
  <c r="D281" i="8"/>
  <c r="D189" i="7"/>
  <c r="AA159" i="7"/>
  <c r="AC159" i="7" s="1"/>
  <c r="D282" i="8"/>
  <c r="D199" i="7"/>
  <c r="E282" i="8" s="1"/>
  <c r="D279" i="8"/>
  <c r="D169" i="7"/>
  <c r="D278" i="8"/>
  <c r="K278" i="8" s="1"/>
  <c r="L278" i="8" s="1"/>
  <c r="M278" i="8" s="1"/>
  <c r="C282" i="17" s="1"/>
  <c r="K277" i="8"/>
  <c r="L277" i="8" s="1"/>
  <c r="M277" i="8" s="1"/>
  <c r="C281" i="17" s="1"/>
  <c r="R73" i="8"/>
  <c r="C82" i="17"/>
  <c r="Q73" i="8"/>
  <c r="R74" i="8"/>
  <c r="C83" i="17"/>
  <c r="C286" i="25"/>
  <c r="C279" i="25" s="1"/>
  <c r="C301" i="25"/>
  <c r="C276" i="25"/>
  <c r="C269" i="25" s="1"/>
  <c r="C291" i="25"/>
  <c r="R75" i="8"/>
  <c r="Q75" i="8"/>
  <c r="C84" i="17"/>
  <c r="D259" i="25"/>
  <c r="E77" i="8" s="1"/>
  <c r="D77" i="8"/>
  <c r="Z259" i="25"/>
  <c r="AA259" i="25" s="1"/>
  <c r="AC259" i="25" s="1"/>
  <c r="D76" i="8"/>
  <c r="D249" i="25"/>
  <c r="E76" i="8" s="1"/>
  <c r="R108" i="8"/>
  <c r="Q108" i="8"/>
  <c r="C117" i="17"/>
  <c r="L109" i="8"/>
  <c r="M109" i="8" s="1"/>
  <c r="L110" i="8"/>
  <c r="M110" i="8" s="1"/>
  <c r="J318" i="8"/>
  <c r="K318" i="8" s="1"/>
  <c r="L318" i="8" s="1"/>
  <c r="I69" i="13"/>
  <c r="J69" i="13" s="1"/>
  <c r="I107" i="13"/>
  <c r="Q119" i="8"/>
  <c r="R119" i="8"/>
  <c r="P293" i="8"/>
  <c r="R293" i="8"/>
  <c r="Q120" i="8"/>
  <c r="R120" i="8"/>
  <c r="R20" i="8"/>
  <c r="Q20" i="8"/>
  <c r="AA117" i="16"/>
  <c r="AC117" i="16" s="1"/>
  <c r="C154" i="5"/>
  <c r="C148" i="5"/>
  <c r="C141" i="5" s="1"/>
  <c r="D234" i="8"/>
  <c r="E234" i="8" s="1"/>
  <c r="D131" i="5"/>
  <c r="Z121" i="5"/>
  <c r="J240" i="8" s="1"/>
  <c r="K240" i="8" s="1"/>
  <c r="L240" i="8" s="1"/>
  <c r="C165" i="17"/>
  <c r="C87" i="18"/>
  <c r="C330" i="17"/>
  <c r="C128" i="17"/>
  <c r="C65" i="18"/>
  <c r="C129" i="17"/>
  <c r="C66" i="18"/>
  <c r="C31" i="17"/>
  <c r="M21" i="8"/>
  <c r="AA492" i="7"/>
  <c r="AC492" i="7" s="1"/>
  <c r="C270" i="18"/>
  <c r="M275" i="8"/>
  <c r="R275" i="8" s="1"/>
  <c r="M324" i="8"/>
  <c r="R324" i="8" s="1"/>
  <c r="K262" i="8"/>
  <c r="L262" i="8" s="1"/>
  <c r="K22" i="8"/>
  <c r="AA362" i="7"/>
  <c r="AC362" i="7" s="1"/>
  <c r="AA110" i="2"/>
  <c r="AC110" i="2" s="1"/>
  <c r="D120" i="2"/>
  <c r="D23" i="8"/>
  <c r="E23" i="8" s="1"/>
  <c r="Z120" i="2"/>
  <c r="J23" i="8" s="1"/>
  <c r="C504" i="7"/>
  <c r="E152" i="8"/>
  <c r="D131" i="14"/>
  <c r="Z392" i="7"/>
  <c r="Z121" i="14"/>
  <c r="C143" i="2"/>
  <c r="C137" i="2"/>
  <c r="C130" i="2" s="1"/>
  <c r="D462" i="7"/>
  <c r="E309" i="8"/>
  <c r="C152" i="14"/>
  <c r="C148" i="14"/>
  <c r="C141" i="14" s="1"/>
  <c r="D151" i="8" s="1"/>
  <c r="M270" i="8"/>
  <c r="R270" i="8" s="1"/>
  <c r="C146" i="11"/>
  <c r="C139" i="11" s="1"/>
  <c r="C151" i="11"/>
  <c r="C173" i="5"/>
  <c r="C193" i="2"/>
  <c r="D130" i="11"/>
  <c r="Z130" i="11" s="1"/>
  <c r="AA130" i="11" s="1"/>
  <c r="AC130" i="11" s="1"/>
  <c r="Z189" i="7" l="1"/>
  <c r="J281" i="8" s="1"/>
  <c r="E281" i="8"/>
  <c r="J76" i="8"/>
  <c r="K76" i="8" s="1"/>
  <c r="M76" i="8" s="1"/>
  <c r="R76" i="8" s="1"/>
  <c r="Z169" i="7"/>
  <c r="E279" i="8"/>
  <c r="Z199" i="7"/>
  <c r="AA189" i="7"/>
  <c r="AC189" i="7" s="1"/>
  <c r="Z179" i="7"/>
  <c r="Q76" i="8"/>
  <c r="J77" i="8"/>
  <c r="K77" i="8" s="1"/>
  <c r="M77" i="8" s="1"/>
  <c r="C311" i="25"/>
  <c r="C296" i="25"/>
  <c r="C289" i="25" s="1"/>
  <c r="C306" i="25"/>
  <c r="C299" i="25" s="1"/>
  <c r="C321" i="25"/>
  <c r="Z249" i="25"/>
  <c r="AA249" i="25" s="1"/>
  <c r="AC249" i="25" s="1"/>
  <c r="D269" i="25"/>
  <c r="E78" i="8" s="1"/>
  <c r="D78" i="8"/>
  <c r="Z269" i="25"/>
  <c r="AA269" i="25" s="1"/>
  <c r="AC269" i="25" s="1"/>
  <c r="D279" i="25"/>
  <c r="E79" i="8" s="1"/>
  <c r="D79" i="8"/>
  <c r="Z279" i="25"/>
  <c r="AA279" i="25" s="1"/>
  <c r="AC279" i="25" s="1"/>
  <c r="R110" i="8"/>
  <c r="Q110" i="8"/>
  <c r="C119" i="17"/>
  <c r="R109" i="8"/>
  <c r="Q109" i="8"/>
  <c r="C118" i="17"/>
  <c r="R21" i="8"/>
  <c r="Q21" i="8"/>
  <c r="M240" i="8"/>
  <c r="R240" i="8" s="1"/>
  <c r="D141" i="5"/>
  <c r="D235" i="8"/>
  <c r="E235" i="8" s="1"/>
  <c r="AA121" i="5"/>
  <c r="AC121" i="5" s="1"/>
  <c r="Z131" i="5"/>
  <c r="J234" i="8" s="1"/>
  <c r="K234" i="8" s="1"/>
  <c r="L234" i="8" s="1"/>
  <c r="C164" i="5"/>
  <c r="C158" i="5"/>
  <c r="C151" i="5" s="1"/>
  <c r="J162" i="8"/>
  <c r="K162" i="8" s="1"/>
  <c r="L162" i="8" s="1"/>
  <c r="C279" i="17"/>
  <c r="C328" i="17"/>
  <c r="M262" i="8"/>
  <c r="R262" i="8" s="1"/>
  <c r="C32" i="17"/>
  <c r="C26" i="18"/>
  <c r="C274" i="17"/>
  <c r="L22" i="8"/>
  <c r="M22" i="8" s="1"/>
  <c r="M318" i="8"/>
  <c r="R318" i="8" s="1"/>
  <c r="C268" i="18"/>
  <c r="C230" i="18"/>
  <c r="M323" i="8"/>
  <c r="R323" i="8" s="1"/>
  <c r="K23" i="8"/>
  <c r="L23" i="8" s="1"/>
  <c r="AA120" i="2"/>
  <c r="AC120" i="2" s="1"/>
  <c r="C161" i="14"/>
  <c r="C157" i="14"/>
  <c r="C150" i="14" s="1"/>
  <c r="Z462" i="7"/>
  <c r="C154" i="2"/>
  <c r="C147" i="2"/>
  <c r="C140" i="2" s="1"/>
  <c r="E308" i="8"/>
  <c r="C87" i="13"/>
  <c r="C107" i="13"/>
  <c r="E151" i="8"/>
  <c r="D141" i="14"/>
  <c r="D130" i="2"/>
  <c r="Z130" i="2" s="1"/>
  <c r="J24" i="8" s="1"/>
  <c r="D24" i="8"/>
  <c r="E24" i="8" s="1"/>
  <c r="C509" i="7"/>
  <c r="C502" i="7" s="1"/>
  <c r="C514" i="7"/>
  <c r="C524" i="7" s="1"/>
  <c r="AA121" i="14"/>
  <c r="AC121" i="14" s="1"/>
  <c r="AA392" i="7"/>
  <c r="AC392" i="7" s="1"/>
  <c r="Z131" i="14"/>
  <c r="C225" i="18"/>
  <c r="C183" i="5"/>
  <c r="C155" i="11"/>
  <c r="C148" i="11" s="1"/>
  <c r="C160" i="11"/>
  <c r="C221" i="18"/>
  <c r="C214" i="2"/>
  <c r="D139" i="11"/>
  <c r="Z139" i="11" s="1"/>
  <c r="AA139" i="11" s="1"/>
  <c r="AC139" i="11" s="1"/>
  <c r="J78" i="8" l="1"/>
  <c r="K78" i="8" s="1"/>
  <c r="M78" i="8" s="1"/>
  <c r="Q78" i="8" s="1"/>
  <c r="K281" i="8"/>
  <c r="L281" i="8" s="1"/>
  <c r="M281" i="8" s="1"/>
  <c r="C285" i="17" s="1"/>
  <c r="J280" i="8"/>
  <c r="K280" i="8" s="1"/>
  <c r="L280" i="8" s="1"/>
  <c r="M280" i="8" s="1"/>
  <c r="C284" i="17" s="1"/>
  <c r="AA179" i="7"/>
  <c r="AC179" i="7" s="1"/>
  <c r="C85" i="17"/>
  <c r="AA199" i="7"/>
  <c r="AC199" i="7" s="1"/>
  <c r="J282" i="8"/>
  <c r="K282" i="8" s="1"/>
  <c r="L282" i="8" s="1"/>
  <c r="M282" i="8" s="1"/>
  <c r="C286" i="17" s="1"/>
  <c r="J279" i="8"/>
  <c r="K279" i="8" s="1"/>
  <c r="L279" i="8" s="1"/>
  <c r="M279" i="8" s="1"/>
  <c r="C283" i="17" s="1"/>
  <c r="AA169" i="7"/>
  <c r="AC169" i="7" s="1"/>
  <c r="K152" i="8"/>
  <c r="L152" i="8" s="1"/>
  <c r="J150" i="8"/>
  <c r="R78" i="8"/>
  <c r="C87" i="17"/>
  <c r="C326" i="25"/>
  <c r="C319" i="25" s="1"/>
  <c r="C341" i="25"/>
  <c r="C346" i="25" s="1"/>
  <c r="C339" i="25" s="1"/>
  <c r="D80" i="8"/>
  <c r="D289" i="25"/>
  <c r="E80" i="8" s="1"/>
  <c r="Z289" i="25"/>
  <c r="AA289" i="25" s="1"/>
  <c r="AC289" i="25" s="1"/>
  <c r="R77" i="8"/>
  <c r="Q77" i="8"/>
  <c r="C86" i="17"/>
  <c r="J79" i="8"/>
  <c r="K79" i="8" s="1"/>
  <c r="M79" i="8" s="1"/>
  <c r="D299" i="25"/>
  <c r="E81" i="8" s="1"/>
  <c r="D81" i="8"/>
  <c r="Z299" i="25"/>
  <c r="AA299" i="25" s="1"/>
  <c r="AC299" i="25" s="1"/>
  <c r="C331" i="25"/>
  <c r="C316" i="25"/>
  <c r="C309" i="25" s="1"/>
  <c r="D310" i="8"/>
  <c r="E310" i="8" s="1"/>
  <c r="C67" i="13"/>
  <c r="R22" i="8"/>
  <c r="Q22" i="8"/>
  <c r="AA130" i="2"/>
  <c r="AC130" i="2" s="1"/>
  <c r="M234" i="8"/>
  <c r="R234" i="8" s="1"/>
  <c r="C174" i="5"/>
  <c r="C168" i="5"/>
  <c r="C161" i="5" s="1"/>
  <c r="D161" i="5" s="1"/>
  <c r="C244" i="17"/>
  <c r="C173" i="18" s="1"/>
  <c r="D236" i="8"/>
  <c r="E236" i="8" s="1"/>
  <c r="D151" i="5"/>
  <c r="AA131" i="5"/>
  <c r="AC131" i="5" s="1"/>
  <c r="Z141" i="5"/>
  <c r="J235" i="8" s="1"/>
  <c r="K235" i="8" s="1"/>
  <c r="L235" i="8" s="1"/>
  <c r="M162" i="8"/>
  <c r="R162" i="8" s="1"/>
  <c r="M23" i="8"/>
  <c r="C266" i="17"/>
  <c r="C327" i="17"/>
  <c r="C322" i="17"/>
  <c r="C263" i="18"/>
  <c r="C33" i="17"/>
  <c r="C27" i="18"/>
  <c r="K309" i="8"/>
  <c r="L309" i="8" s="1"/>
  <c r="J319" i="8"/>
  <c r="K319" i="8" s="1"/>
  <c r="L319" i="8" s="1"/>
  <c r="C529" i="7"/>
  <c r="C522" i="7" s="1"/>
  <c r="D315" i="8" s="1"/>
  <c r="E315" i="8" s="1"/>
  <c r="C534" i="7"/>
  <c r="C539" i="7" s="1"/>
  <c r="C532" i="7" s="1"/>
  <c r="D316" i="8" s="1"/>
  <c r="E316" i="8" s="1"/>
  <c r="C519" i="7"/>
  <c r="C512" i="7" s="1"/>
  <c r="D311" i="8" s="1"/>
  <c r="E311" i="8" s="1"/>
  <c r="C544" i="7"/>
  <c r="C549" i="7" s="1"/>
  <c r="C542" i="7" s="1"/>
  <c r="C267" i="18"/>
  <c r="K24" i="8"/>
  <c r="L24" i="8" s="1"/>
  <c r="E314" i="8"/>
  <c r="D107" i="13"/>
  <c r="J107" i="13" s="1"/>
  <c r="C124" i="13"/>
  <c r="D87" i="13"/>
  <c r="C164" i="2"/>
  <c r="C158" i="2"/>
  <c r="C151" i="2" s="1"/>
  <c r="C166" i="14"/>
  <c r="C159" i="14" s="1"/>
  <c r="C170" i="14"/>
  <c r="M152" i="8"/>
  <c r="C122" i="13"/>
  <c r="E313" i="8"/>
  <c r="D502" i="7"/>
  <c r="C105" i="13"/>
  <c r="C85" i="13"/>
  <c r="Z141" i="14"/>
  <c r="D25" i="8"/>
  <c r="E25" i="8" s="1"/>
  <c r="D140" i="2"/>
  <c r="Z140" i="2" s="1"/>
  <c r="J25" i="8" s="1"/>
  <c r="D150" i="14"/>
  <c r="AA131" i="14"/>
  <c r="AC131" i="14" s="1"/>
  <c r="AA462" i="7"/>
  <c r="AC462" i="7" s="1"/>
  <c r="C164" i="11"/>
  <c r="C157" i="11" s="1"/>
  <c r="C169" i="11"/>
  <c r="C193" i="5"/>
  <c r="Z161" i="5"/>
  <c r="C224" i="2"/>
  <c r="C274" i="2" s="1"/>
  <c r="D148" i="11"/>
  <c r="Z148" i="11" s="1"/>
  <c r="AA148" i="11" s="1"/>
  <c r="AC148" i="11" s="1"/>
  <c r="C336" i="25" l="1"/>
  <c r="C329" i="25" s="1"/>
  <c r="C351" i="25"/>
  <c r="C356" i="25" s="1"/>
  <c r="C88" i="17"/>
  <c r="R79" i="8"/>
  <c r="Q79" i="8"/>
  <c r="D83" i="8"/>
  <c r="D319" i="25"/>
  <c r="E83" i="8" s="1"/>
  <c r="Z319" i="25"/>
  <c r="AA319" i="25" s="1"/>
  <c r="AC319" i="25" s="1"/>
  <c r="D82" i="8"/>
  <c r="D309" i="25"/>
  <c r="E82" i="8" s="1"/>
  <c r="J81" i="8"/>
  <c r="K81" i="8" s="1"/>
  <c r="M81" i="8" s="1"/>
  <c r="J80" i="8"/>
  <c r="K80" i="8" s="1"/>
  <c r="M80" i="8" s="1"/>
  <c r="D339" i="25"/>
  <c r="E85" i="8" s="1"/>
  <c r="D85" i="8"/>
  <c r="Z339" i="25"/>
  <c r="AA339" i="25" s="1"/>
  <c r="AC339" i="25" s="1"/>
  <c r="M309" i="8"/>
  <c r="R309" i="8" s="1"/>
  <c r="Z502" i="7"/>
  <c r="J310" i="8" s="1"/>
  <c r="K310" i="8" s="1"/>
  <c r="L310" i="8" s="1"/>
  <c r="D67" i="13"/>
  <c r="C156" i="17"/>
  <c r="R152" i="8"/>
  <c r="R23" i="8"/>
  <c r="Q23" i="8"/>
  <c r="M235" i="8"/>
  <c r="R235" i="8" s="1"/>
  <c r="AA141" i="5"/>
  <c r="AC141" i="5" s="1"/>
  <c r="C238" i="17"/>
  <c r="C161" i="18" s="1"/>
  <c r="D512" i="7"/>
  <c r="Z512" i="7" s="1"/>
  <c r="Z151" i="5"/>
  <c r="J236" i="8" s="1"/>
  <c r="K236" i="8" s="1"/>
  <c r="L236" i="8" s="1"/>
  <c r="C184" i="5"/>
  <c r="C178" i="5"/>
  <c r="C171" i="5" s="1"/>
  <c r="D171" i="5" s="1"/>
  <c r="Z171" i="5" s="1"/>
  <c r="C28" i="18"/>
  <c r="D159" i="8"/>
  <c r="E159" i="8" s="1"/>
  <c r="D160" i="8"/>
  <c r="E160" i="8" s="1"/>
  <c r="C34" i="17"/>
  <c r="C166" i="17"/>
  <c r="C88" i="18"/>
  <c r="J151" i="8"/>
  <c r="K151" i="8" s="1"/>
  <c r="L151" i="8" s="1"/>
  <c r="C313" i="17"/>
  <c r="M24" i="8"/>
  <c r="M319" i="8"/>
  <c r="R319" i="8" s="1"/>
  <c r="C284" i="2"/>
  <c r="D522" i="7"/>
  <c r="D532" i="7"/>
  <c r="Z532" i="7" s="1"/>
  <c r="D312" i="8"/>
  <c r="E312" i="8" s="1"/>
  <c r="D542" i="7"/>
  <c r="Z542" i="7" s="1"/>
  <c r="AA140" i="2"/>
  <c r="AC140" i="2" s="1"/>
  <c r="C78" i="18"/>
  <c r="Z150" i="14"/>
  <c r="D105" i="13"/>
  <c r="D85" i="13"/>
  <c r="D122" i="13"/>
  <c r="C175" i="14"/>
  <c r="C168" i="14" s="1"/>
  <c r="D168" i="14" s="1"/>
  <c r="Z168" i="14" s="1"/>
  <c r="AA168" i="14" s="1"/>
  <c r="AC168" i="14" s="1"/>
  <c r="C179" i="14"/>
  <c r="C60" i="13"/>
  <c r="D151" i="2"/>
  <c r="Z151" i="2" s="1"/>
  <c r="AA151" i="2" s="1"/>
  <c r="AC151" i="2" s="1"/>
  <c r="D28" i="8"/>
  <c r="E28" i="8" s="1"/>
  <c r="D124" i="13"/>
  <c r="K25" i="8"/>
  <c r="L25" i="8" s="1"/>
  <c r="AA141" i="14"/>
  <c r="AC141" i="14" s="1"/>
  <c r="K313" i="8"/>
  <c r="L313" i="8" s="1"/>
  <c r="D159" i="14"/>
  <c r="Z159" i="14" s="1"/>
  <c r="C174" i="2"/>
  <c r="C168" i="2"/>
  <c r="C161" i="2" s="1"/>
  <c r="K308" i="8"/>
  <c r="L308" i="8" s="1"/>
  <c r="I87" i="13"/>
  <c r="J87" i="13" s="1"/>
  <c r="I124" i="13"/>
  <c r="C255" i="18"/>
  <c r="D157" i="11"/>
  <c r="Z157" i="11" s="1"/>
  <c r="AA157" i="11" s="1"/>
  <c r="AC157" i="11" s="1"/>
  <c r="C234" i="2"/>
  <c r="C203" i="5"/>
  <c r="C173" i="11"/>
  <c r="C166" i="11" s="1"/>
  <c r="C178" i="11"/>
  <c r="AA161" i="5"/>
  <c r="AC161" i="5" s="1"/>
  <c r="M151" i="8" l="1"/>
  <c r="Z309" i="25"/>
  <c r="AA309" i="25" s="1"/>
  <c r="AC309" i="25" s="1"/>
  <c r="R80" i="8"/>
  <c r="Q80" i="8"/>
  <c r="C89" i="17"/>
  <c r="C349" i="25"/>
  <c r="N352" i="25"/>
  <c r="N349" i="25" s="1"/>
  <c r="G86" i="8" s="1"/>
  <c r="J85" i="8"/>
  <c r="K85" i="8" s="1"/>
  <c r="M85" i="8" s="1"/>
  <c r="C90" i="17"/>
  <c r="R81" i="8"/>
  <c r="Q81" i="8"/>
  <c r="J82" i="8"/>
  <c r="K82" i="8" s="1"/>
  <c r="M82" i="8" s="1"/>
  <c r="J83" i="8"/>
  <c r="K83" i="8" s="1"/>
  <c r="M83" i="8" s="1"/>
  <c r="D84" i="8"/>
  <c r="D329" i="25"/>
  <c r="E84" i="8" s="1"/>
  <c r="J124" i="13"/>
  <c r="I85" i="13"/>
  <c r="J85" i="13" s="1"/>
  <c r="AA502" i="7"/>
  <c r="I122" i="13"/>
  <c r="J122" i="13" s="1"/>
  <c r="I67" i="13"/>
  <c r="J67" i="13" s="1"/>
  <c r="I105" i="13"/>
  <c r="J105" i="13" s="1"/>
  <c r="AA171" i="5"/>
  <c r="AC171" i="5" s="1"/>
  <c r="C155" i="17"/>
  <c r="R151" i="8"/>
  <c r="R24" i="8"/>
  <c r="Q24" i="8"/>
  <c r="AA159" i="14"/>
  <c r="AC159" i="14" s="1"/>
  <c r="C194" i="5"/>
  <c r="C188" i="5"/>
  <c r="C181" i="5" s="1"/>
  <c r="M236" i="8"/>
  <c r="R236" i="8" s="1"/>
  <c r="C239" i="17"/>
  <c r="C162" i="18" s="1"/>
  <c r="AA151" i="5"/>
  <c r="AC151" i="5" s="1"/>
  <c r="AC502" i="7"/>
  <c r="J160" i="8"/>
  <c r="J159" i="8"/>
  <c r="K159" i="8" s="1"/>
  <c r="L159" i="8" s="1"/>
  <c r="C77" i="18"/>
  <c r="C323" i="17"/>
  <c r="C264" i="18"/>
  <c r="C35" i="17"/>
  <c r="C29" i="18"/>
  <c r="C294" i="2"/>
  <c r="AA532" i="7"/>
  <c r="AC532" i="7" s="1"/>
  <c r="J316" i="8"/>
  <c r="K316" i="8" s="1"/>
  <c r="L316" i="8" s="1"/>
  <c r="Z522" i="7"/>
  <c r="AA542" i="7"/>
  <c r="AC542" i="7" s="1"/>
  <c r="J312" i="8"/>
  <c r="K312" i="8" s="1"/>
  <c r="L312" i="8" s="1"/>
  <c r="K314" i="8"/>
  <c r="L314" i="8" s="1"/>
  <c r="J311" i="8"/>
  <c r="K311" i="8" s="1"/>
  <c r="L311" i="8" s="1"/>
  <c r="M313" i="8"/>
  <c r="R313" i="8" s="1"/>
  <c r="M310" i="8"/>
  <c r="R310" i="8" s="1"/>
  <c r="M308" i="8"/>
  <c r="R308" i="8" s="1"/>
  <c r="AA512" i="7"/>
  <c r="AC512" i="7" s="1"/>
  <c r="K160" i="8"/>
  <c r="L160" i="8" s="1"/>
  <c r="C184" i="2"/>
  <c r="C178" i="2"/>
  <c r="C171" i="2" s="1"/>
  <c r="M25" i="8"/>
  <c r="D60" i="13"/>
  <c r="D78" i="13" s="1"/>
  <c r="D96" i="13" s="1"/>
  <c r="D113" i="13" s="1"/>
  <c r="C78" i="13"/>
  <c r="D161" i="2"/>
  <c r="Z161" i="2" s="1"/>
  <c r="J29" i="8" s="1"/>
  <c r="D29" i="8"/>
  <c r="E29" i="8" s="1"/>
  <c r="I60" i="13"/>
  <c r="J28" i="8"/>
  <c r="K28" i="8" s="1"/>
  <c r="C189" i="14"/>
  <c r="C184" i="14"/>
  <c r="C177" i="14" s="1"/>
  <c r="D149" i="8" s="1"/>
  <c r="E149" i="8" s="1"/>
  <c r="AA150" i="14"/>
  <c r="AC150" i="14" s="1"/>
  <c r="C174" i="18"/>
  <c r="D166" i="11"/>
  <c r="Z166" i="11" s="1"/>
  <c r="D290" i="8"/>
  <c r="C213" i="5"/>
  <c r="C244" i="2"/>
  <c r="C182" i="11"/>
  <c r="C175" i="11" s="1"/>
  <c r="C187" i="11"/>
  <c r="J84" i="8" l="1"/>
  <c r="K84" i="8" s="1"/>
  <c r="M84" i="8" s="1"/>
  <c r="Q84" i="8" s="1"/>
  <c r="C96" i="13"/>
  <c r="C93" i="17"/>
  <c r="Q83" i="8"/>
  <c r="R83" i="8"/>
  <c r="C92" i="17"/>
  <c r="Z329" i="25"/>
  <c r="AA329" i="25" s="1"/>
  <c r="AC329" i="25" s="1"/>
  <c r="C91" i="17"/>
  <c r="R82" i="8"/>
  <c r="Q82" i="8"/>
  <c r="R85" i="8"/>
  <c r="C94" i="17"/>
  <c r="Q85" i="8"/>
  <c r="D86" i="8"/>
  <c r="D349" i="25"/>
  <c r="E86" i="8" s="1"/>
  <c r="J86" i="8" s="1"/>
  <c r="K86" i="8" s="1"/>
  <c r="J60" i="13"/>
  <c r="R25" i="8"/>
  <c r="Q25" i="8"/>
  <c r="AA161" i="2"/>
  <c r="AC161" i="2" s="1"/>
  <c r="C240" i="17"/>
  <c r="C163" i="18" s="1"/>
  <c r="D181" i="5"/>
  <c r="D237" i="8"/>
  <c r="E237" i="8" s="1"/>
  <c r="C204" i="5"/>
  <c r="C198" i="5"/>
  <c r="C191" i="5" s="1"/>
  <c r="D191" i="5" s="1"/>
  <c r="Z191" i="5" s="1"/>
  <c r="M159" i="8"/>
  <c r="R159" i="8" s="1"/>
  <c r="M160" i="8"/>
  <c r="C312" i="17"/>
  <c r="C317" i="17"/>
  <c r="C314" i="17"/>
  <c r="C36" i="17"/>
  <c r="M312" i="8"/>
  <c r="R312" i="8" s="1"/>
  <c r="M316" i="8"/>
  <c r="R316" i="8" s="1"/>
  <c r="L28" i="8"/>
  <c r="M28" i="8" s="1"/>
  <c r="AA522" i="7"/>
  <c r="AC522" i="7" s="1"/>
  <c r="J315" i="8"/>
  <c r="K315" i="8" s="1"/>
  <c r="L315" i="8" s="1"/>
  <c r="M314" i="8"/>
  <c r="R314" i="8" s="1"/>
  <c r="C259" i="18"/>
  <c r="C256" i="18"/>
  <c r="C254" i="18"/>
  <c r="M311" i="8"/>
  <c r="R311" i="8" s="1"/>
  <c r="K29" i="8"/>
  <c r="L29" i="8" s="1"/>
  <c r="C30" i="18"/>
  <c r="C194" i="14"/>
  <c r="C187" i="14" s="1"/>
  <c r="D155" i="8" s="1"/>
  <c r="C198" i="14"/>
  <c r="I78" i="13"/>
  <c r="J78" i="13" s="1"/>
  <c r="D171" i="2"/>
  <c r="Z171" i="2" s="1"/>
  <c r="J30" i="8" s="1"/>
  <c r="D30" i="8"/>
  <c r="E30" i="8" s="1"/>
  <c r="D177" i="14"/>
  <c r="Z177" i="14" s="1"/>
  <c r="J149" i="8" s="1"/>
  <c r="K149" i="8" s="1"/>
  <c r="L149" i="8" s="1"/>
  <c r="E150" i="8"/>
  <c r="C194" i="2"/>
  <c r="C188" i="2"/>
  <c r="C181" i="2" s="1"/>
  <c r="D294" i="8"/>
  <c r="D175" i="11"/>
  <c r="Z175" i="11" s="1"/>
  <c r="C254" i="2"/>
  <c r="C223" i="5"/>
  <c r="AA166" i="11"/>
  <c r="AC166" i="11" s="1"/>
  <c r="J290" i="8"/>
  <c r="C191" i="11"/>
  <c r="C184" i="11" s="1"/>
  <c r="C196" i="11"/>
  <c r="C175" i="18"/>
  <c r="E290" i="8"/>
  <c r="R84" i="8" l="1"/>
  <c r="R86" i="8"/>
  <c r="Q86" i="8"/>
  <c r="C95" i="17"/>
  <c r="Z349" i="25"/>
  <c r="AA349" i="25" s="1"/>
  <c r="AC349" i="25" s="1"/>
  <c r="C113" i="13"/>
  <c r="AA191" i="5"/>
  <c r="AC191" i="5" s="1"/>
  <c r="C164" i="17"/>
  <c r="R160" i="8"/>
  <c r="R28" i="8"/>
  <c r="Q28" i="8"/>
  <c r="M29" i="8"/>
  <c r="C214" i="5"/>
  <c r="C208" i="5"/>
  <c r="C201" i="5" s="1"/>
  <c r="D201" i="5" s="1"/>
  <c r="Z181" i="5"/>
  <c r="J237" i="8" s="1"/>
  <c r="K237" i="8" s="1"/>
  <c r="L237" i="8" s="1"/>
  <c r="C163" i="17"/>
  <c r="C85" i="18"/>
  <c r="M149" i="8"/>
  <c r="R149" i="8" s="1"/>
  <c r="C86" i="18"/>
  <c r="C315" i="17"/>
  <c r="C320" i="17"/>
  <c r="C262" i="18"/>
  <c r="C39" i="17"/>
  <c r="C32" i="18"/>
  <c r="C316" i="17"/>
  <c r="C258" i="18"/>
  <c r="C318" i="17"/>
  <c r="C40" i="17"/>
  <c r="M315" i="8"/>
  <c r="R315" i="8" s="1"/>
  <c r="C260" i="18"/>
  <c r="C257" i="18"/>
  <c r="K290" i="8"/>
  <c r="L290" i="8" s="1"/>
  <c r="K30" i="8"/>
  <c r="L30" i="8" s="1"/>
  <c r="K150" i="8"/>
  <c r="L150" i="8" s="1"/>
  <c r="AA171" i="2"/>
  <c r="AC171" i="2" s="1"/>
  <c r="D181" i="2"/>
  <c r="D31" i="8"/>
  <c r="E31" i="8" s="1"/>
  <c r="Z181" i="2"/>
  <c r="J31" i="8" s="1"/>
  <c r="I96" i="13"/>
  <c r="J96" i="13" s="1"/>
  <c r="D187" i="14"/>
  <c r="E155" i="8"/>
  <c r="Z187" i="14"/>
  <c r="J155" i="8" s="1"/>
  <c r="C204" i="2"/>
  <c r="C198" i="2"/>
  <c r="C191" i="2" s="1"/>
  <c r="C61" i="13" s="1"/>
  <c r="C203" i="14"/>
  <c r="C196" i="14" s="1"/>
  <c r="C208" i="14"/>
  <c r="AA177" i="14"/>
  <c r="AC177" i="14" s="1"/>
  <c r="J294" i="8"/>
  <c r="AA175" i="11"/>
  <c r="AC175" i="11" s="1"/>
  <c r="C200" i="11"/>
  <c r="C193" i="11" s="1"/>
  <c r="C205" i="11"/>
  <c r="C209" i="11" s="1"/>
  <c r="C202" i="11" s="1"/>
  <c r="C233" i="5"/>
  <c r="D291" i="8"/>
  <c r="D184" i="11"/>
  <c r="Z184" i="11" s="1"/>
  <c r="E294" i="8"/>
  <c r="D61" i="13" l="1"/>
  <c r="M290" i="8"/>
  <c r="Z201" i="5"/>
  <c r="M237" i="8"/>
  <c r="R237" i="8" s="1"/>
  <c r="Q29" i="8"/>
  <c r="R29" i="8"/>
  <c r="AA181" i="5"/>
  <c r="AC181" i="5" s="1"/>
  <c r="C224" i="5"/>
  <c r="C218" i="5"/>
  <c r="C211" i="5" s="1"/>
  <c r="D211" i="5" s="1"/>
  <c r="Z211" i="5" s="1"/>
  <c r="D154" i="8"/>
  <c r="E154" i="8" s="1"/>
  <c r="D156" i="8"/>
  <c r="C153" i="17"/>
  <c r="C75" i="18"/>
  <c r="C238" i="18"/>
  <c r="K294" i="8"/>
  <c r="L294" i="8" s="1"/>
  <c r="M150" i="8"/>
  <c r="C319" i="17"/>
  <c r="M30" i="8"/>
  <c r="C261" i="18"/>
  <c r="K31" i="8"/>
  <c r="L31" i="8" s="1"/>
  <c r="K155" i="8"/>
  <c r="L155" i="8" s="1"/>
  <c r="AA181" i="2"/>
  <c r="AC181" i="2" s="1"/>
  <c r="E156" i="8"/>
  <c r="D196" i="14"/>
  <c r="C215" i="2"/>
  <c r="C208" i="2"/>
  <c r="C201" i="2" s="1"/>
  <c r="C62" i="13" s="1"/>
  <c r="I113" i="13"/>
  <c r="J113" i="13" s="1"/>
  <c r="C217" i="14"/>
  <c r="C213" i="14"/>
  <c r="C206" i="14" s="1"/>
  <c r="D32" i="8"/>
  <c r="E32" i="8" s="1"/>
  <c r="D191" i="2"/>
  <c r="Z191" i="2" s="1"/>
  <c r="AA187" i="14"/>
  <c r="AC187" i="14" s="1"/>
  <c r="E291" i="8"/>
  <c r="D202" i="11"/>
  <c r="D286" i="8"/>
  <c r="Z202" i="11"/>
  <c r="AA211" i="5"/>
  <c r="AC211" i="5" s="1"/>
  <c r="AA201" i="5"/>
  <c r="AC201" i="5" s="1"/>
  <c r="AA184" i="11"/>
  <c r="AC184" i="11" s="1"/>
  <c r="J291" i="8"/>
  <c r="C243" i="5"/>
  <c r="D284" i="8"/>
  <c r="D193" i="11"/>
  <c r="Z193" i="11" s="1"/>
  <c r="C165" i="18"/>
  <c r="D62" i="13" l="1"/>
  <c r="AA191" i="2"/>
  <c r="AC191" i="2" s="1"/>
  <c r="I61" i="13"/>
  <c r="J61" i="13" s="1"/>
  <c r="M294" i="8"/>
  <c r="P290" i="8"/>
  <c r="R290" i="8"/>
  <c r="C241" i="17"/>
  <c r="C164" i="18" s="1"/>
  <c r="C154" i="17"/>
  <c r="R150" i="8"/>
  <c r="R30" i="8"/>
  <c r="Q30" i="8"/>
  <c r="C294" i="17"/>
  <c r="C234" i="5"/>
  <c r="C228" i="5"/>
  <c r="C221" i="5" s="1"/>
  <c r="M31" i="8"/>
  <c r="C42" i="17" s="1"/>
  <c r="C76" i="18"/>
  <c r="M155" i="8"/>
  <c r="C41" i="17"/>
  <c r="C33" i="18"/>
  <c r="C226" i="14"/>
  <c r="C222" i="14"/>
  <c r="C215" i="14" s="1"/>
  <c r="D164" i="8" s="1"/>
  <c r="C225" i="2"/>
  <c r="C275" i="2" s="1"/>
  <c r="C219" i="2"/>
  <c r="C212" i="2" s="1"/>
  <c r="J32" i="8"/>
  <c r="K32" i="8" s="1"/>
  <c r="L32" i="8" s="1"/>
  <c r="C79" i="13"/>
  <c r="D206" i="14"/>
  <c r="E148" i="8"/>
  <c r="Z206" i="14"/>
  <c r="C34" i="18"/>
  <c r="D33" i="8"/>
  <c r="E33" i="8" s="1"/>
  <c r="D201" i="2"/>
  <c r="Z201" i="2" s="1"/>
  <c r="I62" i="13" s="1"/>
  <c r="Z196" i="14"/>
  <c r="K291" i="8"/>
  <c r="L291" i="8" s="1"/>
  <c r="C176" i="18"/>
  <c r="AA193" i="11"/>
  <c r="AC193" i="11" s="1"/>
  <c r="J284" i="8"/>
  <c r="E284" i="8"/>
  <c r="C253" i="5"/>
  <c r="AA202" i="11"/>
  <c r="AC202" i="11" s="1"/>
  <c r="J286" i="8"/>
  <c r="C242" i="18"/>
  <c r="E286" i="8"/>
  <c r="J62" i="13" l="1"/>
  <c r="J72" i="13"/>
  <c r="M291" i="8"/>
  <c r="P294" i="8"/>
  <c r="R294" i="8"/>
  <c r="C159" i="17"/>
  <c r="R155" i="8"/>
  <c r="Q31" i="8"/>
  <c r="R31" i="8"/>
  <c r="C298" i="17"/>
  <c r="D242" i="8"/>
  <c r="E242" i="8" s="1"/>
  <c r="D221" i="5"/>
  <c r="Z221" i="5" s="1"/>
  <c r="J242" i="8" s="1"/>
  <c r="C244" i="5"/>
  <c r="C238" i="5"/>
  <c r="C231" i="5" s="1"/>
  <c r="D231" i="5" s="1"/>
  <c r="Z231" i="5" s="1"/>
  <c r="J156" i="8"/>
  <c r="K156" i="8" s="1"/>
  <c r="L156" i="8" s="1"/>
  <c r="J154" i="8"/>
  <c r="K154" i="8" s="1"/>
  <c r="C81" i="18"/>
  <c r="C285" i="2"/>
  <c r="C279" i="2"/>
  <c r="C272" i="2" s="1"/>
  <c r="M32" i="8"/>
  <c r="K286" i="8"/>
  <c r="L286" i="8" s="1"/>
  <c r="K148" i="8"/>
  <c r="L148" i="8" s="1"/>
  <c r="AA201" i="2"/>
  <c r="AC201" i="2" s="1"/>
  <c r="I72" i="13"/>
  <c r="J42" i="8" s="1"/>
  <c r="J33" i="8"/>
  <c r="K33" i="8" s="1"/>
  <c r="L33" i="8" s="1"/>
  <c r="D80" i="13"/>
  <c r="D98" i="13" s="1"/>
  <c r="D115" i="13" s="1"/>
  <c r="C80" i="13"/>
  <c r="D79" i="13"/>
  <c r="J79" i="13" s="1"/>
  <c r="I79" i="13"/>
  <c r="I97" i="13" s="1"/>
  <c r="C235" i="2"/>
  <c r="C229" i="2"/>
  <c r="C222" i="2" s="1"/>
  <c r="C231" i="14"/>
  <c r="C224" i="14" s="1"/>
  <c r="D163" i="8" s="1"/>
  <c r="E163" i="8" s="1"/>
  <c r="C237" i="14"/>
  <c r="K284" i="8"/>
  <c r="L284" i="8" s="1"/>
  <c r="AA196" i="14"/>
  <c r="AC196" i="14" s="1"/>
  <c r="C72" i="13"/>
  <c r="D42" i="8" s="1"/>
  <c r="E42" i="8" s="1"/>
  <c r="C97" i="13"/>
  <c r="C90" i="13"/>
  <c r="D43" i="8" s="1"/>
  <c r="D212" i="2"/>
  <c r="Z212" i="2" s="1"/>
  <c r="D215" i="14"/>
  <c r="Z215" i="14" s="1"/>
  <c r="J164" i="8" s="1"/>
  <c r="AA206" i="14"/>
  <c r="AC206" i="14" s="1"/>
  <c r="C263" i="5"/>
  <c r="C166" i="18"/>
  <c r="AA231" i="5"/>
  <c r="AC231" i="5" s="1"/>
  <c r="C98" i="13" l="1"/>
  <c r="L154" i="8"/>
  <c r="M154" i="8" s="1"/>
  <c r="M286" i="8"/>
  <c r="P291" i="8"/>
  <c r="R291" i="8"/>
  <c r="AA221" i="5"/>
  <c r="AC221" i="5" s="1"/>
  <c r="K242" i="8"/>
  <c r="L242" i="8" s="1"/>
  <c r="R32" i="8"/>
  <c r="Q32" i="8"/>
  <c r="M156" i="8"/>
  <c r="C82" i="18" s="1"/>
  <c r="C254" i="5"/>
  <c r="C248" i="5"/>
  <c r="C241" i="5" s="1"/>
  <c r="D241" i="5" s="1"/>
  <c r="Z241" i="5" s="1"/>
  <c r="C295" i="17"/>
  <c r="M148" i="8"/>
  <c r="C43" i="17"/>
  <c r="C35" i="18"/>
  <c r="M284" i="8"/>
  <c r="D272" i="2"/>
  <c r="D17" i="8"/>
  <c r="E17" i="8" s="1"/>
  <c r="Z272" i="2"/>
  <c r="J17" i="8" s="1"/>
  <c r="C295" i="2"/>
  <c r="C299" i="2" s="1"/>
  <c r="C292" i="2" s="1"/>
  <c r="C289" i="2"/>
  <c r="C282" i="2" s="1"/>
  <c r="C239" i="18"/>
  <c r="D72" i="13"/>
  <c r="AA215" i="14"/>
  <c r="AC215" i="14" s="1"/>
  <c r="C114" i="13"/>
  <c r="C108" i="13"/>
  <c r="D224" i="14"/>
  <c r="Z224" i="14" s="1"/>
  <c r="J163" i="8" s="1"/>
  <c r="K163" i="8" s="1"/>
  <c r="L163" i="8" s="1"/>
  <c r="E164" i="8"/>
  <c r="C245" i="2"/>
  <c r="C239" i="2"/>
  <c r="C232" i="2" s="1"/>
  <c r="M33" i="8"/>
  <c r="AA212" i="2"/>
  <c r="AC212" i="2" s="1"/>
  <c r="C247" i="14"/>
  <c r="C242" i="14"/>
  <c r="C235" i="14" s="1"/>
  <c r="D222" i="2"/>
  <c r="Z222" i="2" s="1"/>
  <c r="D90" i="13"/>
  <c r="E43" i="8" s="1"/>
  <c r="D97" i="13"/>
  <c r="J97" i="13" s="1"/>
  <c r="I80" i="13"/>
  <c r="I98" i="13" s="1"/>
  <c r="L72" i="13"/>
  <c r="K42" i="8"/>
  <c r="L42" i="8" s="1"/>
  <c r="C273" i="5"/>
  <c r="AA241" i="5"/>
  <c r="AC241" i="5" s="1"/>
  <c r="J80" i="13" l="1"/>
  <c r="J90" i="13" s="1"/>
  <c r="L90" i="13" s="1"/>
  <c r="C115" i="13"/>
  <c r="J98" i="13"/>
  <c r="C125" i="13"/>
  <c r="R154" i="8"/>
  <c r="C158" i="17"/>
  <c r="C80" i="18"/>
  <c r="P286" i="8"/>
  <c r="R286" i="8"/>
  <c r="C234" i="18"/>
  <c r="C290" i="17"/>
  <c r="P284" i="8"/>
  <c r="R284" i="8"/>
  <c r="M242" i="8"/>
  <c r="C152" i="17"/>
  <c r="R148" i="8"/>
  <c r="C160" i="17"/>
  <c r="R156" i="8"/>
  <c r="R33" i="8"/>
  <c r="Q33" i="8"/>
  <c r="C264" i="5"/>
  <c r="C258" i="5"/>
  <c r="C251" i="5" s="1"/>
  <c r="M163" i="8"/>
  <c r="R163" i="8" s="1"/>
  <c r="C74" i="18"/>
  <c r="C232" i="18"/>
  <c r="K17" i="8"/>
  <c r="L17" i="8" s="1"/>
  <c r="M17" i="8" s="1"/>
  <c r="AA272" i="2"/>
  <c r="AC272" i="2" s="1"/>
  <c r="C44" i="17"/>
  <c r="D292" i="2"/>
  <c r="D34" i="8"/>
  <c r="E34" i="8" s="1"/>
  <c r="Z292" i="2"/>
  <c r="C288" i="17"/>
  <c r="D282" i="2"/>
  <c r="D26" i="8"/>
  <c r="E26" i="8" s="1"/>
  <c r="Z282" i="2"/>
  <c r="K164" i="8"/>
  <c r="L164" i="8" s="1"/>
  <c r="C36" i="18"/>
  <c r="I108" i="13"/>
  <c r="C257" i="14"/>
  <c r="C252" i="14"/>
  <c r="C245" i="14" s="1"/>
  <c r="D232" i="2"/>
  <c r="Z232" i="2" s="1"/>
  <c r="AA232" i="2" s="1"/>
  <c r="AC232" i="2" s="1"/>
  <c r="I90" i="13"/>
  <c r="J43" i="8" s="1"/>
  <c r="K43" i="8" s="1"/>
  <c r="L43" i="8" s="1"/>
  <c r="AA222" i="2"/>
  <c r="AC222" i="2" s="1"/>
  <c r="AA224" i="14"/>
  <c r="AC224" i="14" s="1"/>
  <c r="M42" i="8"/>
  <c r="D108" i="13"/>
  <c r="D114" i="13"/>
  <c r="D125" i="13" s="1"/>
  <c r="I114" i="13"/>
  <c r="D218" i="8"/>
  <c r="E218" i="8" s="1"/>
  <c r="D235" i="14"/>
  <c r="C38" i="18"/>
  <c r="C255" i="2"/>
  <c r="C249" i="2"/>
  <c r="C242" i="2" s="1"/>
  <c r="C167" i="18"/>
  <c r="C283" i="5"/>
  <c r="J114" i="13" l="1"/>
  <c r="R242" i="8"/>
  <c r="C246" i="17"/>
  <c r="C179" i="18" s="1"/>
  <c r="Q42" i="8"/>
  <c r="R42" i="8"/>
  <c r="Q17" i="8"/>
  <c r="R17" i="8"/>
  <c r="D251" i="5"/>
  <c r="D243" i="8"/>
  <c r="E243" i="8" s="1"/>
  <c r="C274" i="5"/>
  <c r="C268" i="5"/>
  <c r="C261" i="5" s="1"/>
  <c r="D261" i="5" s="1"/>
  <c r="Z261" i="5" s="1"/>
  <c r="C167" i="17"/>
  <c r="C89" i="18"/>
  <c r="M43" i="8"/>
  <c r="M164" i="8"/>
  <c r="C91" i="18"/>
  <c r="C28" i="17"/>
  <c r="AA282" i="2"/>
  <c r="AC282" i="2" s="1"/>
  <c r="J26" i="8"/>
  <c r="K26" i="8" s="1"/>
  <c r="AA292" i="2"/>
  <c r="AC292" i="2" s="1"/>
  <c r="J34" i="8"/>
  <c r="K34" i="8" s="1"/>
  <c r="L34" i="8" s="1"/>
  <c r="D242" i="2"/>
  <c r="Z242" i="2" s="1"/>
  <c r="C53" i="17"/>
  <c r="C274" i="18" s="1"/>
  <c r="D245" i="14"/>
  <c r="D171" i="8"/>
  <c r="E171" i="8" s="1"/>
  <c r="Z245" i="14"/>
  <c r="J171" i="8" s="1"/>
  <c r="J108" i="13"/>
  <c r="L108" i="13" s="1"/>
  <c r="I115" i="13"/>
  <c r="J115" i="13" s="1"/>
  <c r="C265" i="2"/>
  <c r="C269" i="2" s="1"/>
  <c r="C262" i="2" s="1"/>
  <c r="C259" i="2"/>
  <c r="C252" i="2" s="1"/>
  <c r="Z235" i="14"/>
  <c r="J218" i="8" s="1"/>
  <c r="K218" i="8" s="1"/>
  <c r="L218" i="8" s="1"/>
  <c r="C267" i="14"/>
  <c r="C262" i="14"/>
  <c r="C255" i="14" s="1"/>
  <c r="C293" i="5"/>
  <c r="C180" i="18"/>
  <c r="C168" i="17" l="1"/>
  <c r="R164" i="8"/>
  <c r="Q43" i="8"/>
  <c r="R43" i="8"/>
  <c r="AA261" i="5"/>
  <c r="AC261" i="5" s="1"/>
  <c r="C284" i="5"/>
  <c r="C278" i="5"/>
  <c r="C271" i="5" s="1"/>
  <c r="Z251" i="5"/>
  <c r="J243" i="8" s="1"/>
  <c r="K243" i="8" s="1"/>
  <c r="L243" i="8" s="1"/>
  <c r="C54" i="17"/>
  <c r="C90" i="18"/>
  <c r="M34" i="8"/>
  <c r="L26" i="8"/>
  <c r="M26" i="8" s="1"/>
  <c r="AA235" i="14"/>
  <c r="AC235" i="14" s="1"/>
  <c r="K171" i="8"/>
  <c r="L171" i="8" s="1"/>
  <c r="J125" i="13"/>
  <c r="L125" i="13" s="1"/>
  <c r="I125" i="13"/>
  <c r="D170" i="8"/>
  <c r="E170" i="8" s="1"/>
  <c r="D255" i="14"/>
  <c r="D252" i="2"/>
  <c r="Z252" i="2" s="1"/>
  <c r="AA245" i="14"/>
  <c r="AC245" i="14" s="1"/>
  <c r="C272" i="14"/>
  <c r="C265" i="14" s="1"/>
  <c r="C277" i="14"/>
  <c r="M218" i="8"/>
  <c r="R218" i="8" s="1"/>
  <c r="D262" i="2"/>
  <c r="Z262" i="2" s="1"/>
  <c r="AA242" i="2"/>
  <c r="AC242" i="2" s="1"/>
  <c r="C303" i="5"/>
  <c r="R26" i="8" l="1"/>
  <c r="Q26" i="8"/>
  <c r="R34" i="8"/>
  <c r="Q34" i="8"/>
  <c r="M243" i="8"/>
  <c r="R243" i="8" s="1"/>
  <c r="C294" i="5"/>
  <c r="C288" i="5"/>
  <c r="C281" i="5" s="1"/>
  <c r="AA251" i="5"/>
  <c r="AC251" i="5" s="1"/>
  <c r="D271" i="5"/>
  <c r="D244" i="8"/>
  <c r="E244" i="8" s="1"/>
  <c r="M171" i="8"/>
  <c r="R171" i="8" s="1"/>
  <c r="C45" i="17"/>
  <c r="C37" i="17"/>
  <c r="AA252" i="2"/>
  <c r="AC252" i="2" s="1"/>
  <c r="C39" i="18"/>
  <c r="C145" i="18"/>
  <c r="C222" i="17"/>
  <c r="D265" i="14"/>
  <c r="D187" i="8"/>
  <c r="E187" i="8" s="1"/>
  <c r="Z265" i="14"/>
  <c r="J187" i="8" s="1"/>
  <c r="C282" i="14"/>
  <c r="C275" i="14" s="1"/>
  <c r="C287" i="14"/>
  <c r="Z255" i="14"/>
  <c r="J170" i="8" s="1"/>
  <c r="K170" i="8" s="1"/>
  <c r="L170" i="8" s="1"/>
  <c r="AA262" i="2"/>
  <c r="AC262" i="2" s="1"/>
  <c r="C182" i="18"/>
  <c r="C313" i="5"/>
  <c r="Z271" i="5" l="1"/>
  <c r="J244" i="8" s="1"/>
  <c r="K244" i="8" s="1"/>
  <c r="L244" i="8" s="1"/>
  <c r="D245" i="8"/>
  <c r="E245" i="8" s="1"/>
  <c r="D281" i="5"/>
  <c r="C247" i="17"/>
  <c r="C181" i="18" s="1"/>
  <c r="C304" i="5"/>
  <c r="C298" i="5"/>
  <c r="C291" i="5" s="1"/>
  <c r="C98" i="18"/>
  <c r="C175" i="17"/>
  <c r="M170" i="8"/>
  <c r="R170" i="8" s="1"/>
  <c r="C40" i="18"/>
  <c r="AA255" i="14"/>
  <c r="AC255" i="14" s="1"/>
  <c r="C292" i="14"/>
  <c r="C285" i="14" s="1"/>
  <c r="C297" i="14"/>
  <c r="D202" i="8"/>
  <c r="E202" i="8" s="1"/>
  <c r="D275" i="14"/>
  <c r="K187" i="8"/>
  <c r="L187" i="8" s="1"/>
  <c r="AA265" i="14"/>
  <c r="AC265" i="14" s="1"/>
  <c r="C323" i="5"/>
  <c r="AA271" i="5" l="1"/>
  <c r="AC271" i="5" s="1"/>
  <c r="D246" i="8"/>
  <c r="E246" i="8" s="1"/>
  <c r="D291" i="5"/>
  <c r="M244" i="8"/>
  <c r="R244" i="8" s="1"/>
  <c r="Z281" i="5"/>
  <c r="J245" i="8" s="1"/>
  <c r="K245" i="8" s="1"/>
  <c r="L245" i="8" s="1"/>
  <c r="C314" i="5"/>
  <c r="C308" i="5"/>
  <c r="C301" i="5" s="1"/>
  <c r="D301" i="5" s="1"/>
  <c r="Z301" i="5" s="1"/>
  <c r="C174" i="17"/>
  <c r="C97" i="18"/>
  <c r="M187" i="8"/>
  <c r="R187" i="8" s="1"/>
  <c r="D285" i="14"/>
  <c r="D203" i="8"/>
  <c r="E203" i="8" s="1"/>
  <c r="Z275" i="14"/>
  <c r="J202" i="8" s="1"/>
  <c r="K202" i="8" s="1"/>
  <c r="L202" i="8" s="1"/>
  <c r="C307" i="14"/>
  <c r="C302" i="14"/>
  <c r="C295" i="14" s="1"/>
  <c r="C333" i="5"/>
  <c r="AA281" i="5" l="1"/>
  <c r="AC281" i="5" s="1"/>
  <c r="C248" i="17"/>
  <c r="C183" i="18" s="1"/>
  <c r="Z291" i="5"/>
  <c r="J246" i="8" s="1"/>
  <c r="K246" i="8" s="1"/>
  <c r="L246" i="8" s="1"/>
  <c r="AA301" i="5"/>
  <c r="AC301" i="5" s="1"/>
  <c r="M245" i="8"/>
  <c r="R245" i="8" s="1"/>
  <c r="C324" i="5"/>
  <c r="C318" i="5"/>
  <c r="C311" i="5" s="1"/>
  <c r="C191" i="17"/>
  <c r="C114" i="18"/>
  <c r="D295" i="14"/>
  <c r="D204" i="8"/>
  <c r="E204" i="8" s="1"/>
  <c r="AA275" i="14"/>
  <c r="AC275" i="14" s="1"/>
  <c r="C312" i="14"/>
  <c r="C305" i="14" s="1"/>
  <c r="C319" i="14"/>
  <c r="M202" i="8"/>
  <c r="R202" i="8" s="1"/>
  <c r="Z285" i="14"/>
  <c r="J203" i="8" s="1"/>
  <c r="K203" i="8" s="1"/>
  <c r="L203" i="8" s="1"/>
  <c r="C343" i="5"/>
  <c r="M246" i="8" l="1"/>
  <c r="R246" i="8" s="1"/>
  <c r="D311" i="5"/>
  <c r="D238" i="8"/>
  <c r="E238" i="8" s="1"/>
  <c r="C249" i="17"/>
  <c r="C184" i="18" s="1"/>
  <c r="C334" i="5"/>
  <c r="C328" i="5"/>
  <c r="C321" i="5" s="1"/>
  <c r="AA291" i="5"/>
  <c r="AC291" i="5" s="1"/>
  <c r="M203" i="8"/>
  <c r="R203" i="8" s="1"/>
  <c r="C129" i="18"/>
  <c r="C206" i="17"/>
  <c r="C331" i="14"/>
  <c r="C324" i="14"/>
  <c r="C317" i="14" s="1"/>
  <c r="Z295" i="14"/>
  <c r="J204" i="8" s="1"/>
  <c r="K204" i="8" s="1"/>
  <c r="L204" i="8" s="1"/>
  <c r="AA285" i="14"/>
  <c r="AC285" i="14" s="1"/>
  <c r="D305" i="14"/>
  <c r="Z305" i="14" s="1"/>
  <c r="J199" i="8" s="1"/>
  <c r="D199" i="8"/>
  <c r="E199" i="8" s="1"/>
  <c r="C353" i="5"/>
  <c r="C186" i="18"/>
  <c r="C344" i="5" l="1"/>
  <c r="C338" i="5"/>
  <c r="C331" i="5" s="1"/>
  <c r="C250" i="17"/>
  <c r="C185" i="18" s="1"/>
  <c r="D321" i="5"/>
  <c r="D239" i="8"/>
  <c r="E239" i="8" s="1"/>
  <c r="Z311" i="5"/>
  <c r="J238" i="8" s="1"/>
  <c r="K238" i="8" s="1"/>
  <c r="L238" i="8" s="1"/>
  <c r="C207" i="17"/>
  <c r="C130" i="18"/>
  <c r="K199" i="8"/>
  <c r="L199" i="8" s="1"/>
  <c r="AA295" i="14"/>
  <c r="AC295" i="14" s="1"/>
  <c r="D317" i="14"/>
  <c r="D200" i="8"/>
  <c r="E200" i="8" s="1"/>
  <c r="AA305" i="14"/>
  <c r="AC305" i="14" s="1"/>
  <c r="M204" i="8"/>
  <c r="R204" i="8" s="1"/>
  <c r="C343" i="14"/>
  <c r="C336" i="14"/>
  <c r="C329" i="14" s="1"/>
  <c r="C363" i="5"/>
  <c r="M238" i="8" l="1"/>
  <c r="R238" i="8" s="1"/>
  <c r="Z321" i="5"/>
  <c r="J239" i="8" s="1"/>
  <c r="K239" i="8" s="1"/>
  <c r="L239" i="8" s="1"/>
  <c r="D331" i="5"/>
  <c r="Z331" i="5" s="1"/>
  <c r="J248" i="8" s="1"/>
  <c r="D248" i="8"/>
  <c r="E248" i="8" s="1"/>
  <c r="AA311" i="5"/>
  <c r="AC311" i="5" s="1"/>
  <c r="C354" i="5"/>
  <c r="C348" i="5"/>
  <c r="C341" i="5" s="1"/>
  <c r="D341" i="5" s="1"/>
  <c r="Z341" i="5" s="1"/>
  <c r="AA341" i="5" s="1"/>
  <c r="AC341" i="5" s="1"/>
  <c r="M199" i="8"/>
  <c r="R199" i="8" s="1"/>
  <c r="C348" i="14"/>
  <c r="C341" i="14" s="1"/>
  <c r="C353" i="14"/>
  <c r="D329" i="14"/>
  <c r="Z329" i="14" s="1"/>
  <c r="J201" i="8" s="1"/>
  <c r="D201" i="8"/>
  <c r="E201" i="8" s="1"/>
  <c r="C131" i="18"/>
  <c r="C208" i="17"/>
  <c r="Z317" i="14"/>
  <c r="J200" i="8" s="1"/>
  <c r="K200" i="8" s="1"/>
  <c r="L200" i="8" s="1"/>
  <c r="C373" i="5"/>
  <c r="AA321" i="5" l="1"/>
  <c r="AC321" i="5" s="1"/>
  <c r="C364" i="5"/>
  <c r="C358" i="5"/>
  <c r="C351" i="5" s="1"/>
  <c r="C242" i="17"/>
  <c r="C168" i="18" s="1"/>
  <c r="M239" i="8"/>
  <c r="R239" i="8" s="1"/>
  <c r="K248" i="8"/>
  <c r="L248" i="8" s="1"/>
  <c r="AA331" i="5"/>
  <c r="AC331" i="5" s="1"/>
  <c r="C203" i="17"/>
  <c r="C126" i="18"/>
  <c r="M200" i="8"/>
  <c r="R200" i="8" s="1"/>
  <c r="AA329" i="14"/>
  <c r="AC329" i="14" s="1"/>
  <c r="C358" i="14"/>
  <c r="C351" i="14" s="1"/>
  <c r="C363" i="14"/>
  <c r="AA317" i="14"/>
  <c r="AC317" i="14" s="1"/>
  <c r="D341" i="14"/>
  <c r="D209" i="8"/>
  <c r="E209" i="8" s="1"/>
  <c r="K201" i="8"/>
  <c r="L201" i="8" s="1"/>
  <c r="C383" i="5"/>
  <c r="C243" i="17" l="1"/>
  <c r="C169" i="18" s="1"/>
  <c r="M248" i="8"/>
  <c r="R248" i="8" s="1"/>
  <c r="D249" i="8"/>
  <c r="E249" i="8" s="1"/>
  <c r="D351" i="5"/>
  <c r="C374" i="5"/>
  <c r="C368" i="5"/>
  <c r="C361" i="5" s="1"/>
  <c r="C204" i="17"/>
  <c r="C127" i="18"/>
  <c r="M201" i="8"/>
  <c r="R201" i="8" s="1"/>
  <c r="Z341" i="14"/>
  <c r="J209" i="8" s="1"/>
  <c r="K209" i="8" s="1"/>
  <c r="L209" i="8" s="1"/>
  <c r="D351" i="14"/>
  <c r="D212" i="8"/>
  <c r="E212" i="8" s="1"/>
  <c r="C373" i="14"/>
  <c r="C368" i="14"/>
  <c r="C361" i="14" s="1"/>
  <c r="C393" i="5"/>
  <c r="C190" i="18"/>
  <c r="C252" i="17" l="1"/>
  <c r="C189" i="18" s="1"/>
  <c r="C384" i="5"/>
  <c r="C378" i="5"/>
  <c r="C371" i="5" s="1"/>
  <c r="D371" i="5" s="1"/>
  <c r="Z371" i="5" s="1"/>
  <c r="D361" i="5"/>
  <c r="Z361" i="5" s="1"/>
  <c r="J250" i="8" s="1"/>
  <c r="D250" i="8"/>
  <c r="E250" i="8" s="1"/>
  <c r="Z351" i="5"/>
  <c r="J249" i="8" s="1"/>
  <c r="K249" i="8" s="1"/>
  <c r="L249" i="8" s="1"/>
  <c r="C128" i="18"/>
  <c r="C205" i="17"/>
  <c r="M209" i="8"/>
  <c r="R209" i="8" s="1"/>
  <c r="D361" i="14"/>
  <c r="D213" i="8"/>
  <c r="E213" i="8" s="1"/>
  <c r="AA341" i="14"/>
  <c r="AC341" i="14" s="1"/>
  <c r="C378" i="14"/>
  <c r="C371" i="14" s="1"/>
  <c r="C385" i="14"/>
  <c r="Z351" i="14"/>
  <c r="J212" i="8" s="1"/>
  <c r="K212" i="8" s="1"/>
  <c r="L212" i="8" s="1"/>
  <c r="C403" i="5"/>
  <c r="AA371" i="5" l="1"/>
  <c r="AC371" i="5" s="1"/>
  <c r="AA351" i="5"/>
  <c r="AC351" i="5" s="1"/>
  <c r="K250" i="8"/>
  <c r="L250" i="8" s="1"/>
  <c r="M249" i="8"/>
  <c r="R249" i="8" s="1"/>
  <c r="C394" i="5"/>
  <c r="C388" i="5"/>
  <c r="C381" i="5" s="1"/>
  <c r="D381" i="5" s="1"/>
  <c r="Z381" i="5" s="1"/>
  <c r="AA361" i="5"/>
  <c r="AC361" i="5" s="1"/>
  <c r="C136" i="18"/>
  <c r="C213" i="17"/>
  <c r="M212" i="8"/>
  <c r="R212" i="8" s="1"/>
  <c r="AA351" i="14"/>
  <c r="AC351" i="14" s="1"/>
  <c r="C390" i="14"/>
  <c r="C383" i="14" s="1"/>
  <c r="C396" i="14"/>
  <c r="Z361" i="14"/>
  <c r="J213" i="8" s="1"/>
  <c r="K213" i="8" s="1"/>
  <c r="L213" i="8" s="1"/>
  <c r="D371" i="14"/>
  <c r="D186" i="8"/>
  <c r="E186" i="8" s="1"/>
  <c r="C413" i="5"/>
  <c r="M250" i="8" l="1"/>
  <c r="R250" i="8" s="1"/>
  <c r="C253" i="17"/>
  <c r="C191" i="18" s="1"/>
  <c r="C404" i="5"/>
  <c r="C398" i="5"/>
  <c r="C391" i="5" s="1"/>
  <c r="D391" i="5" s="1"/>
  <c r="Z391" i="5" s="1"/>
  <c r="AA391" i="5" s="1"/>
  <c r="AC391" i="5" s="1"/>
  <c r="C216" i="17"/>
  <c r="C139" i="18"/>
  <c r="Z371" i="14"/>
  <c r="J186" i="8" s="1"/>
  <c r="K186" i="8" s="1"/>
  <c r="L186" i="8" s="1"/>
  <c r="M213" i="8"/>
  <c r="R213" i="8" s="1"/>
  <c r="D184" i="8"/>
  <c r="E184" i="8" s="1"/>
  <c r="D383" i="14"/>
  <c r="C407" i="14"/>
  <c r="C401" i="14"/>
  <c r="C394" i="14" s="1"/>
  <c r="AA361" i="14"/>
  <c r="AC361" i="14" s="1"/>
  <c r="AA381" i="5"/>
  <c r="AC381" i="5" s="1"/>
  <c r="C193" i="18"/>
  <c r="C423" i="5"/>
  <c r="C254" i="17" l="1"/>
  <c r="C192" i="18" s="1"/>
  <c r="C414" i="5"/>
  <c r="C408" i="5"/>
  <c r="C401" i="5" s="1"/>
  <c r="D401" i="5" s="1"/>
  <c r="Z401" i="5" s="1"/>
  <c r="AA401" i="5" s="1"/>
  <c r="AC401" i="5" s="1"/>
  <c r="M186" i="8"/>
  <c r="R186" i="8" s="1"/>
  <c r="D394" i="14"/>
  <c r="Z394" i="14" s="1"/>
  <c r="J185" i="8" s="1"/>
  <c r="D185" i="8"/>
  <c r="E185" i="8" s="1"/>
  <c r="C140" i="18"/>
  <c r="C217" i="17"/>
  <c r="C418" i="14"/>
  <c r="C412" i="14"/>
  <c r="C405" i="14" s="1"/>
  <c r="Z383" i="14"/>
  <c r="J184" i="8" s="1"/>
  <c r="K184" i="8" s="1"/>
  <c r="L184" i="8" s="1"/>
  <c r="AA371" i="14"/>
  <c r="AC371" i="14" s="1"/>
  <c r="C433" i="5"/>
  <c r="C194" i="18"/>
  <c r="C424" i="5" l="1"/>
  <c r="C418" i="5"/>
  <c r="C411" i="5" s="1"/>
  <c r="D411" i="5" s="1"/>
  <c r="Z411" i="5" s="1"/>
  <c r="AA394" i="14"/>
  <c r="AC394" i="14" s="1"/>
  <c r="C190" i="17"/>
  <c r="C113" i="18"/>
  <c r="M184" i="8"/>
  <c r="R184" i="8" s="1"/>
  <c r="K185" i="8"/>
  <c r="L185" i="8" s="1"/>
  <c r="C430" i="14"/>
  <c r="C423" i="14"/>
  <c r="C416" i="14" s="1"/>
  <c r="D405" i="14"/>
  <c r="D183" i="8"/>
  <c r="E183" i="8" s="1"/>
  <c r="AA383" i="14"/>
  <c r="AC383" i="14" s="1"/>
  <c r="C195" i="18"/>
  <c r="C443" i="5"/>
  <c r="AA411" i="5" l="1"/>
  <c r="AC411" i="5" s="1"/>
  <c r="C434" i="5"/>
  <c r="C428" i="5"/>
  <c r="C421" i="5" s="1"/>
  <c r="D421" i="5" s="1"/>
  <c r="Z421" i="5" s="1"/>
  <c r="C188" i="17"/>
  <c r="C111" i="18"/>
  <c r="M185" i="8"/>
  <c r="R185" i="8" s="1"/>
  <c r="Z405" i="14"/>
  <c r="J183" i="8" s="1"/>
  <c r="K183" i="8" s="1"/>
  <c r="L183" i="8" s="1"/>
  <c r="C442" i="14"/>
  <c r="C435" i="14"/>
  <c r="C428" i="14" s="1"/>
  <c r="D188" i="8"/>
  <c r="E188" i="8" s="1"/>
  <c r="D416" i="14"/>
  <c r="C196" i="18"/>
  <c r="C453" i="5"/>
  <c r="C197" i="18"/>
  <c r="AA421" i="5" l="1"/>
  <c r="AC421" i="5" s="1"/>
  <c r="C444" i="5"/>
  <c r="C438" i="5"/>
  <c r="C431" i="5" s="1"/>
  <c r="D431" i="5" s="1"/>
  <c r="Z431" i="5" s="1"/>
  <c r="C189" i="17"/>
  <c r="C112" i="18"/>
  <c r="C454" i="14"/>
  <c r="C447" i="14"/>
  <c r="C440" i="14" s="1"/>
  <c r="M183" i="8"/>
  <c r="R183" i="8" s="1"/>
  <c r="D428" i="14"/>
  <c r="Z428" i="14" s="1"/>
  <c r="D190" i="8"/>
  <c r="E190" i="8" s="1"/>
  <c r="Z416" i="14"/>
  <c r="J188" i="8" s="1"/>
  <c r="K188" i="8" s="1"/>
  <c r="L188" i="8" s="1"/>
  <c r="AA405" i="14"/>
  <c r="AC405" i="14" s="1"/>
  <c r="C463" i="5"/>
  <c r="AA431" i="5" l="1"/>
  <c r="AC431" i="5" s="1"/>
  <c r="C454" i="5"/>
  <c r="C448" i="5"/>
  <c r="C441" i="5" s="1"/>
  <c r="D441" i="5" s="1"/>
  <c r="Z441" i="5" s="1"/>
  <c r="AA441" i="5" s="1"/>
  <c r="AC441" i="5" s="1"/>
  <c r="J190" i="8"/>
  <c r="K190" i="8" s="1"/>
  <c r="L190" i="8" s="1"/>
  <c r="AA428" i="14"/>
  <c r="AC428" i="14" s="1"/>
  <c r="C187" i="17"/>
  <c r="C110" i="18"/>
  <c r="C459" i="14"/>
  <c r="C452" i="14" s="1"/>
  <c r="C466" i="14"/>
  <c r="AA416" i="14"/>
  <c r="AC416" i="14" s="1"/>
  <c r="M188" i="8"/>
  <c r="R188" i="8" s="1"/>
  <c r="D440" i="14"/>
  <c r="D192" i="8"/>
  <c r="E192" i="8" s="1"/>
  <c r="Z440" i="14"/>
  <c r="J192" i="8" s="1"/>
  <c r="C198" i="18"/>
  <c r="C473" i="5"/>
  <c r="C464" i="5" l="1"/>
  <c r="C458" i="5"/>
  <c r="C451" i="5" s="1"/>
  <c r="D451" i="5" s="1"/>
  <c r="Z451" i="5" s="1"/>
  <c r="M190" i="8"/>
  <c r="R190" i="8" s="1"/>
  <c r="K192" i="8"/>
  <c r="L192" i="8" s="1"/>
  <c r="C471" i="14"/>
  <c r="C464" i="14" s="1"/>
  <c r="C477" i="14"/>
  <c r="AA440" i="14"/>
  <c r="AC440" i="14" s="1"/>
  <c r="C192" i="17"/>
  <c r="C115" i="18"/>
  <c r="D452" i="14"/>
  <c r="Z452" i="14" s="1"/>
  <c r="J189" i="8" s="1"/>
  <c r="D189" i="8"/>
  <c r="E189" i="8" s="1"/>
  <c r="C199" i="18"/>
  <c r="C483" i="5"/>
  <c r="AA451" i="5" l="1"/>
  <c r="AC451" i="5" s="1"/>
  <c r="C474" i="5"/>
  <c r="C468" i="5"/>
  <c r="C461" i="5" s="1"/>
  <c r="C194" i="17"/>
  <c r="C117" i="18"/>
  <c r="M192" i="8"/>
  <c r="R192" i="8" s="1"/>
  <c r="AA452" i="14"/>
  <c r="AC452" i="14" s="1"/>
  <c r="K189" i="8"/>
  <c r="L189" i="8" s="1"/>
  <c r="D464" i="14"/>
  <c r="Z464" i="14" s="1"/>
  <c r="J191" i="8" s="1"/>
  <c r="D191" i="8"/>
  <c r="E191" i="8" s="1"/>
  <c r="C489" i="14"/>
  <c r="C482" i="14"/>
  <c r="C475" i="14" s="1"/>
  <c r="C200" i="18"/>
  <c r="C493" i="5"/>
  <c r="C484" i="5" l="1"/>
  <c r="C478" i="5"/>
  <c r="C471" i="5" s="1"/>
  <c r="D251" i="8"/>
  <c r="E251" i="8" s="1"/>
  <c r="D461" i="5"/>
  <c r="AA464" i="14"/>
  <c r="AC464" i="14" s="1"/>
  <c r="C119" i="18"/>
  <c r="C196" i="17"/>
  <c r="M189" i="8"/>
  <c r="R189" i="8" s="1"/>
  <c r="K191" i="8"/>
  <c r="L191" i="8" s="1"/>
  <c r="C494" i="14"/>
  <c r="C487" i="14" s="1"/>
  <c r="C499" i="14"/>
  <c r="D193" i="8"/>
  <c r="E193" i="8" s="1"/>
  <c r="D475" i="14"/>
  <c r="C201" i="18"/>
  <c r="C503" i="5"/>
  <c r="Z461" i="5" l="1"/>
  <c r="J251" i="8" s="1"/>
  <c r="K251" i="8" s="1"/>
  <c r="L251" i="8" s="1"/>
  <c r="D241" i="8"/>
  <c r="E241" i="8" s="1"/>
  <c r="D471" i="5"/>
  <c r="C494" i="5"/>
  <c r="C488" i="5"/>
  <c r="C481" i="5" s="1"/>
  <c r="D481" i="5" s="1"/>
  <c r="Z481" i="5" s="1"/>
  <c r="C116" i="18"/>
  <c r="C193" i="17"/>
  <c r="M191" i="8"/>
  <c r="R191" i="8" s="1"/>
  <c r="D487" i="14"/>
  <c r="Z487" i="14" s="1"/>
  <c r="J216" i="8" s="1"/>
  <c r="D216" i="8"/>
  <c r="E216" i="8" s="1"/>
  <c r="Z475" i="14"/>
  <c r="J193" i="8" s="1"/>
  <c r="K193" i="8" s="1"/>
  <c r="L193" i="8" s="1"/>
  <c r="C504" i="14"/>
  <c r="C497" i="14" s="1"/>
  <c r="C513" i="14"/>
  <c r="C513" i="5"/>
  <c r="AA481" i="5" l="1"/>
  <c r="AC481" i="5" s="1"/>
  <c r="AA461" i="5"/>
  <c r="AC461" i="5" s="1"/>
  <c r="C504" i="5"/>
  <c r="C498" i="5"/>
  <c r="C491" i="5" s="1"/>
  <c r="D491" i="5" s="1"/>
  <c r="Z491" i="5" s="1"/>
  <c r="Z471" i="5"/>
  <c r="J241" i="8" s="1"/>
  <c r="K241" i="8" s="1"/>
  <c r="L241" i="8" s="1"/>
  <c r="M251" i="8"/>
  <c r="R251" i="8" s="1"/>
  <c r="C118" i="18"/>
  <c r="C195" i="17"/>
  <c r="M193" i="8"/>
  <c r="R193" i="8" s="1"/>
  <c r="K216" i="8"/>
  <c r="L216" i="8" s="1"/>
  <c r="AA487" i="14"/>
  <c r="AC487" i="14" s="1"/>
  <c r="D497" i="14"/>
  <c r="Z497" i="14" s="1"/>
  <c r="J175" i="8" s="1"/>
  <c r="D175" i="8"/>
  <c r="E175" i="8" s="1"/>
  <c r="C518" i="14"/>
  <c r="C511" i="14" s="1"/>
  <c r="C526" i="14"/>
  <c r="AA475" i="14"/>
  <c r="AC475" i="14" s="1"/>
  <c r="C523" i="5"/>
  <c r="AA491" i="5" l="1"/>
  <c r="AC491" i="5" s="1"/>
  <c r="AA471" i="5"/>
  <c r="AC471" i="5" s="1"/>
  <c r="C255" i="17"/>
  <c r="C202" i="18" s="1"/>
  <c r="M241" i="8"/>
  <c r="R241" i="8" s="1"/>
  <c r="C514" i="5"/>
  <c r="C508" i="5"/>
  <c r="C501" i="5" s="1"/>
  <c r="C120" i="18"/>
  <c r="C197" i="17"/>
  <c r="M216" i="8"/>
  <c r="R216" i="8" s="1"/>
  <c r="K175" i="8"/>
  <c r="L175" i="8" s="1"/>
  <c r="AA497" i="14"/>
  <c r="AC497" i="14" s="1"/>
  <c r="D511" i="14"/>
  <c r="D177" i="8"/>
  <c r="E177" i="8" s="1"/>
  <c r="C539" i="14"/>
  <c r="C531" i="14"/>
  <c r="C524" i="14" s="1"/>
  <c r="C203" i="18"/>
  <c r="C533" i="5"/>
  <c r="C245" i="17" l="1"/>
  <c r="C177" i="18" s="1"/>
  <c r="C524" i="5"/>
  <c r="C518" i="5"/>
  <c r="C511" i="5" s="1"/>
  <c r="D501" i="5"/>
  <c r="D252" i="8"/>
  <c r="E252" i="8" s="1"/>
  <c r="C220" i="17"/>
  <c r="C143" i="18"/>
  <c r="M175" i="8"/>
  <c r="R175" i="8" s="1"/>
  <c r="C544" i="14"/>
  <c r="C537" i="14" s="1"/>
  <c r="C552" i="14"/>
  <c r="Z511" i="14"/>
  <c r="J177" i="8" s="1"/>
  <c r="K177" i="8" s="1"/>
  <c r="L177" i="8" s="1"/>
  <c r="D179" i="8"/>
  <c r="E179" i="8" s="1"/>
  <c r="D524" i="14"/>
  <c r="C204" i="18"/>
  <c r="C543" i="5"/>
  <c r="Z501" i="5" l="1"/>
  <c r="J252" i="8" s="1"/>
  <c r="K252" i="8" s="1"/>
  <c r="L252" i="8" s="1"/>
  <c r="C534" i="5"/>
  <c r="C528" i="5"/>
  <c r="C521" i="5" s="1"/>
  <c r="D511" i="5"/>
  <c r="D254" i="8"/>
  <c r="E254" i="8" s="1"/>
  <c r="C102" i="18"/>
  <c r="C179" i="17"/>
  <c r="M177" i="8"/>
  <c r="R177" i="8" s="1"/>
  <c r="D537" i="14"/>
  <c r="D176" i="8"/>
  <c r="E176" i="8" s="1"/>
  <c r="Z524" i="14"/>
  <c r="J179" i="8" s="1"/>
  <c r="K179" i="8" s="1"/>
  <c r="L179" i="8" s="1"/>
  <c r="C560" i="14"/>
  <c r="C550" i="14" s="1"/>
  <c r="C565" i="14"/>
  <c r="AA511" i="14"/>
  <c r="AC511" i="14" s="1"/>
  <c r="C553" i="5"/>
  <c r="AA501" i="5" l="1"/>
  <c r="AC501" i="5" s="1"/>
  <c r="D253" i="8"/>
  <c r="E253" i="8" s="1"/>
  <c r="D521" i="5"/>
  <c r="Z521" i="5" s="1"/>
  <c r="J253" i="8" s="1"/>
  <c r="Z511" i="5"/>
  <c r="J254" i="8" s="1"/>
  <c r="K254" i="8" s="1"/>
  <c r="L254" i="8" s="1"/>
  <c r="C544" i="5"/>
  <c r="C538" i="5"/>
  <c r="C531" i="5" s="1"/>
  <c r="D531" i="5" s="1"/>
  <c r="Z531" i="5" s="1"/>
  <c r="AA531" i="5" s="1"/>
  <c r="AC531" i="5" s="1"/>
  <c r="M252" i="8"/>
  <c r="R252" i="8" s="1"/>
  <c r="M179" i="8"/>
  <c r="R179" i="8" s="1"/>
  <c r="C181" i="17"/>
  <c r="C104" i="18"/>
  <c r="D550" i="14"/>
  <c r="D178" i="8"/>
  <c r="E178" i="8" s="1"/>
  <c r="Z550" i="14"/>
  <c r="J178" i="8" s="1"/>
  <c r="Z537" i="14"/>
  <c r="J176" i="8" s="1"/>
  <c r="K176" i="8" s="1"/>
  <c r="L176" i="8" s="1"/>
  <c r="C578" i="14"/>
  <c r="C573" i="14"/>
  <c r="C563" i="14" s="1"/>
  <c r="AA524" i="14"/>
  <c r="AC524" i="14" s="1"/>
  <c r="C563" i="5"/>
  <c r="M254" i="8" l="1"/>
  <c r="R254" i="8" s="1"/>
  <c r="C256" i="17"/>
  <c r="C205" i="18" s="1"/>
  <c r="C554" i="5"/>
  <c r="C548" i="5"/>
  <c r="C541" i="5" s="1"/>
  <c r="K253" i="8"/>
  <c r="L253" i="8" s="1"/>
  <c r="AA511" i="5"/>
  <c r="AC511" i="5" s="1"/>
  <c r="AA521" i="5"/>
  <c r="AC521" i="5" s="1"/>
  <c r="C183" i="17"/>
  <c r="C106" i="18"/>
  <c r="M176" i="8"/>
  <c r="R176" i="8" s="1"/>
  <c r="K178" i="8"/>
  <c r="L178" i="8" s="1"/>
  <c r="D180" i="8"/>
  <c r="E180" i="8" s="1"/>
  <c r="D563" i="14"/>
  <c r="AA537" i="14"/>
  <c r="AC537" i="14" s="1"/>
  <c r="C588" i="14"/>
  <c r="C583" i="14"/>
  <c r="C576" i="14" s="1"/>
  <c r="AA550" i="14"/>
  <c r="AC550" i="14" s="1"/>
  <c r="C573" i="5"/>
  <c r="M253" i="8" l="1"/>
  <c r="R253" i="8" s="1"/>
  <c r="C564" i="5"/>
  <c r="C558" i="5"/>
  <c r="C551" i="5" s="1"/>
  <c r="C258" i="17"/>
  <c r="C207" i="18" s="1"/>
  <c r="D541" i="5"/>
  <c r="C180" i="17"/>
  <c r="C103" i="18"/>
  <c r="M178" i="8"/>
  <c r="R178" i="8" s="1"/>
  <c r="C598" i="14"/>
  <c r="C593" i="14"/>
  <c r="C586" i="14" s="1"/>
  <c r="D172" i="8"/>
  <c r="E172" i="8" s="1"/>
  <c r="D576" i="14"/>
  <c r="Z576" i="14" s="1"/>
  <c r="J172" i="8" s="1"/>
  <c r="Z563" i="14"/>
  <c r="J180" i="8" s="1"/>
  <c r="K180" i="8" s="1"/>
  <c r="L180" i="8" s="1"/>
  <c r="C208" i="18"/>
  <c r="C583" i="5"/>
  <c r="Z541" i="5" l="1"/>
  <c r="D255" i="8"/>
  <c r="E255" i="8" s="1"/>
  <c r="D551" i="5"/>
  <c r="C257" i="17"/>
  <c r="C206" i="18" s="1"/>
  <c r="C574" i="5"/>
  <c r="C568" i="5"/>
  <c r="C561" i="5" s="1"/>
  <c r="C182" i="17"/>
  <c r="C105" i="18"/>
  <c r="M180" i="8"/>
  <c r="R180" i="8" s="1"/>
  <c r="K172" i="8"/>
  <c r="L172" i="8" s="1"/>
  <c r="C608" i="14"/>
  <c r="C603" i="14"/>
  <c r="C596" i="14" s="1"/>
  <c r="AA576" i="14"/>
  <c r="AC576" i="14" s="1"/>
  <c r="AA563" i="14"/>
  <c r="AC563" i="14" s="1"/>
  <c r="D586" i="14"/>
  <c r="Z586" i="14" s="1"/>
  <c r="J215" i="8" s="1"/>
  <c r="D215" i="8"/>
  <c r="E215" i="8" s="1"/>
  <c r="C593" i="5"/>
  <c r="AA541" i="5" l="1"/>
  <c r="AC541" i="5" s="1"/>
  <c r="C584" i="5"/>
  <c r="C578" i="5"/>
  <c r="C571" i="5" s="1"/>
  <c r="D571" i="5" s="1"/>
  <c r="Z571" i="5" s="1"/>
  <c r="Z551" i="5"/>
  <c r="J255" i="8" s="1"/>
  <c r="K255" i="8" s="1"/>
  <c r="L255" i="8" s="1"/>
  <c r="D256" i="8"/>
  <c r="E256" i="8" s="1"/>
  <c r="D561" i="5"/>
  <c r="C107" i="18"/>
  <c r="C184" i="17"/>
  <c r="M172" i="8"/>
  <c r="R172" i="8" s="1"/>
  <c r="AA586" i="14"/>
  <c r="AC586" i="14" s="1"/>
  <c r="K215" i="8"/>
  <c r="L215" i="8" s="1"/>
  <c r="C613" i="14"/>
  <c r="C606" i="14" s="1"/>
  <c r="C618" i="14"/>
  <c r="D596" i="14"/>
  <c r="D226" i="8"/>
  <c r="E226" i="8" s="1"/>
  <c r="C603" i="5"/>
  <c r="AA571" i="5" l="1"/>
  <c r="AC571" i="5" s="1"/>
  <c r="C209" i="18"/>
  <c r="AA551" i="5"/>
  <c r="AC551" i="5" s="1"/>
  <c r="Z561" i="5"/>
  <c r="J256" i="8" s="1"/>
  <c r="K256" i="8" s="1"/>
  <c r="L256" i="8" s="1"/>
  <c r="M255" i="8"/>
  <c r="R255" i="8" s="1"/>
  <c r="C594" i="5"/>
  <c r="C588" i="5"/>
  <c r="C581" i="5" s="1"/>
  <c r="C99" i="18"/>
  <c r="C176" i="17"/>
  <c r="M215" i="8"/>
  <c r="R215" i="8" s="1"/>
  <c r="Z596" i="14"/>
  <c r="J226" i="8" s="1"/>
  <c r="K226" i="8" s="1"/>
  <c r="L226" i="8" s="1"/>
  <c r="D225" i="8"/>
  <c r="E225" i="8" s="1"/>
  <c r="D606" i="14"/>
  <c r="C628" i="14"/>
  <c r="C623" i="14"/>
  <c r="C616" i="14" s="1"/>
  <c r="M256" i="8" l="1"/>
  <c r="C259" i="17"/>
  <c r="C210" i="18" s="1"/>
  <c r="C604" i="5"/>
  <c r="C608" i="5" s="1"/>
  <c r="C601" i="5" s="1"/>
  <c r="C598" i="5"/>
  <c r="C591" i="5" s="1"/>
  <c r="D591" i="5" s="1"/>
  <c r="Z591" i="5" s="1"/>
  <c r="AA591" i="5" s="1"/>
  <c r="AC591" i="5" s="1"/>
  <c r="D257" i="8"/>
  <c r="E257" i="8" s="1"/>
  <c r="D581" i="5"/>
  <c r="AA561" i="5"/>
  <c r="AC561" i="5" s="1"/>
  <c r="C142" i="18"/>
  <c r="C219" i="17"/>
  <c r="C633" i="14"/>
  <c r="C626" i="14" s="1"/>
  <c r="C638" i="14"/>
  <c r="M226" i="8"/>
  <c r="R226" i="8" s="1"/>
  <c r="D227" i="8"/>
  <c r="E227" i="8" s="1"/>
  <c r="D616" i="14"/>
  <c r="Z606" i="14"/>
  <c r="J225" i="8" s="1"/>
  <c r="K225" i="8" s="1"/>
  <c r="L225" i="8" s="1"/>
  <c r="AA596" i="14"/>
  <c r="AC596" i="14" s="1"/>
  <c r="C212" i="18"/>
  <c r="D626" i="14" l="1"/>
  <c r="Z626" i="14" s="1"/>
  <c r="J222" i="8" s="1"/>
  <c r="D222" i="8"/>
  <c r="E222" i="8" s="1"/>
  <c r="R256" i="8"/>
  <c r="C260" i="17"/>
  <c r="C211" i="18" s="1"/>
  <c r="AA626" i="14"/>
  <c r="AC626" i="14" s="1"/>
  <c r="D601" i="5"/>
  <c r="D258" i="8"/>
  <c r="E258" i="8" s="1"/>
  <c r="Z581" i="5"/>
  <c r="J257" i="8" s="1"/>
  <c r="K257" i="8" s="1"/>
  <c r="L257" i="8" s="1"/>
  <c r="M225" i="8"/>
  <c r="R225" i="8" s="1"/>
  <c r="C153" i="18"/>
  <c r="C230" i="17"/>
  <c r="Z616" i="14"/>
  <c r="J227" i="8" s="1"/>
  <c r="K227" i="8" s="1"/>
  <c r="L227" i="8" s="1"/>
  <c r="C643" i="14"/>
  <c r="C636" i="14" s="1"/>
  <c r="C648" i="14"/>
  <c r="AA606" i="14"/>
  <c r="AC606" i="14" s="1"/>
  <c r="K222" i="8" l="1"/>
  <c r="M257" i="8"/>
  <c r="R257" i="8" s="1"/>
  <c r="Z601" i="5"/>
  <c r="J258" i="8" s="1"/>
  <c r="K258" i="8" s="1"/>
  <c r="L258" i="8" s="1"/>
  <c r="AA581" i="5"/>
  <c r="AC581" i="5" s="1"/>
  <c r="C229" i="17"/>
  <c r="C152" i="18"/>
  <c r="C658" i="14"/>
  <c r="C653" i="14"/>
  <c r="C646" i="14" s="1"/>
  <c r="AA616" i="14"/>
  <c r="AC616" i="14" s="1"/>
  <c r="D221" i="8"/>
  <c r="E221" i="8" s="1"/>
  <c r="D636" i="14"/>
  <c r="Z636" i="14" s="1"/>
  <c r="J221" i="8" s="1"/>
  <c r="M227" i="8"/>
  <c r="R227" i="8" s="1"/>
  <c r="C214" i="18"/>
  <c r="L222" i="8" l="1"/>
  <c r="M222" i="8"/>
  <c r="AA601" i="5"/>
  <c r="AC601" i="5" s="1"/>
  <c r="C261" i="17"/>
  <c r="C213" i="18" s="1"/>
  <c r="M258" i="8"/>
  <c r="R258" i="8" s="1"/>
  <c r="K221" i="8"/>
  <c r="L221" i="8" s="1"/>
  <c r="C154" i="18"/>
  <c r="C231" i="17"/>
  <c r="D646" i="14"/>
  <c r="D228" i="8"/>
  <c r="E228" i="8" s="1"/>
  <c r="AA636" i="14"/>
  <c r="AC636" i="14" s="1"/>
  <c r="C668" i="14"/>
  <c r="C663" i="14"/>
  <c r="C656" i="14" s="1"/>
  <c r="R222" i="8" l="1"/>
  <c r="C226" i="17"/>
  <c r="C149" i="18"/>
  <c r="C262" i="17"/>
  <c r="C215" i="18" s="1"/>
  <c r="M221" i="8"/>
  <c r="R221" i="8" s="1"/>
  <c r="D656" i="14"/>
  <c r="D211" i="8"/>
  <c r="E211" i="8" s="1"/>
  <c r="Z656" i="14"/>
  <c r="J211" i="8" s="1"/>
  <c r="Z646" i="14"/>
  <c r="J228" i="8" s="1"/>
  <c r="K228" i="8" s="1"/>
  <c r="L228" i="8" s="1"/>
  <c r="C673" i="14"/>
  <c r="C666" i="14" s="1"/>
  <c r="C678" i="14"/>
  <c r="AA656" i="14"/>
  <c r="AC656" i="14" s="1"/>
  <c r="C225" i="17" l="1"/>
  <c r="C148" i="18"/>
  <c r="M228" i="8"/>
  <c r="R228" i="8" s="1"/>
  <c r="AA646" i="14"/>
  <c r="AC646" i="14" s="1"/>
  <c r="K211" i="8"/>
  <c r="L211" i="8" s="1"/>
  <c r="C688" i="14"/>
  <c r="C683" i="14"/>
  <c r="C676" i="14" s="1"/>
  <c r="D182" i="8"/>
  <c r="E182" i="8" s="1"/>
  <c r="D666" i="14"/>
  <c r="Z666" i="14" s="1"/>
  <c r="J182" i="8" s="1"/>
  <c r="C232" i="17" l="1"/>
  <c r="C155" i="18"/>
  <c r="M211" i="8"/>
  <c r="R211" i="8" s="1"/>
  <c r="K182" i="8"/>
  <c r="L182" i="8" s="1"/>
  <c r="C698" i="14"/>
  <c r="C693" i="14"/>
  <c r="C686" i="14" s="1"/>
  <c r="AA666" i="14"/>
  <c r="AC666" i="14" s="1"/>
  <c r="D210" i="8"/>
  <c r="E210" i="8" s="1"/>
  <c r="D676" i="14"/>
  <c r="Z676" i="14" s="1"/>
  <c r="J210" i="8" s="1"/>
  <c r="C138" i="18" l="1"/>
  <c r="C215" i="17"/>
  <c r="M182" i="8"/>
  <c r="R182" i="8" s="1"/>
  <c r="K210" i="8"/>
  <c r="L210" i="8" s="1"/>
  <c r="C703" i="14"/>
  <c r="C696" i="14" s="1"/>
  <c r="C708" i="14"/>
  <c r="D167" i="8"/>
  <c r="E167" i="8" s="1"/>
  <c r="D686" i="14"/>
  <c r="AA676" i="14"/>
  <c r="AC676" i="14" s="1"/>
  <c r="C109" i="18" l="1"/>
  <c r="C186" i="17"/>
  <c r="M210" i="8"/>
  <c r="R210" i="8" s="1"/>
  <c r="D696" i="14"/>
  <c r="D166" i="8"/>
  <c r="E166" i="8" s="1"/>
  <c r="Z696" i="14"/>
  <c r="J166" i="8" s="1"/>
  <c r="C713" i="14"/>
  <c r="C706" i="14" s="1"/>
  <c r="C718" i="14"/>
  <c r="Z686" i="14"/>
  <c r="J167" i="8" s="1"/>
  <c r="K167" i="8" s="1"/>
  <c r="L167" i="8" s="1"/>
  <c r="C137" i="18" l="1"/>
  <c r="M167" i="8"/>
  <c r="R167" i="8" s="1"/>
  <c r="C214" i="17"/>
  <c r="K166" i="8"/>
  <c r="L166" i="8" s="1"/>
  <c r="C723" i="14"/>
  <c r="C716" i="14" s="1"/>
  <c r="C728" i="14"/>
  <c r="AA686" i="14"/>
  <c r="AC686" i="14" s="1"/>
  <c r="D706" i="14"/>
  <c r="Z706" i="14" s="1"/>
  <c r="J220" i="8" s="1"/>
  <c r="D220" i="8"/>
  <c r="E220" i="8" s="1"/>
  <c r="AA696" i="14"/>
  <c r="AC696" i="14" s="1"/>
  <c r="C171" i="17" l="1"/>
  <c r="M166" i="8"/>
  <c r="R166" i="8" s="1"/>
  <c r="C94" i="18"/>
  <c r="K220" i="8"/>
  <c r="L220" i="8" s="1"/>
  <c r="C738" i="14"/>
  <c r="C733" i="14"/>
  <c r="C726" i="14" s="1"/>
  <c r="AA706" i="14"/>
  <c r="AC706" i="14" s="1"/>
  <c r="D716" i="14"/>
  <c r="Z716" i="14" s="1"/>
  <c r="J219" i="8" s="1"/>
  <c r="D219" i="8"/>
  <c r="E219" i="8" s="1"/>
  <c r="C93" i="18" l="1"/>
  <c r="C170" i="17"/>
  <c r="M220" i="8"/>
  <c r="R220" i="8" s="1"/>
  <c r="K219" i="8"/>
  <c r="L219" i="8" s="1"/>
  <c r="C748" i="14"/>
  <c r="C743" i="14"/>
  <c r="C736" i="14" s="1"/>
  <c r="D726" i="14"/>
  <c r="D173" i="8"/>
  <c r="E173" i="8" s="1"/>
  <c r="Z726" i="14"/>
  <c r="J173" i="8" s="1"/>
  <c r="AA716" i="14"/>
  <c r="AC716" i="14" s="1"/>
  <c r="D736" i="14" l="1"/>
  <c r="Z736" i="14" s="1"/>
  <c r="D214" i="8"/>
  <c r="E214" i="8" s="1"/>
  <c r="K214" i="8" s="1"/>
  <c r="C224" i="17"/>
  <c r="C147" i="18"/>
  <c r="M219" i="8"/>
  <c r="R219" i="8" s="1"/>
  <c r="AA736" i="14"/>
  <c r="AC736" i="14" s="1"/>
  <c r="C758" i="14"/>
  <c r="C753" i="14"/>
  <c r="C746" i="14" s="1"/>
  <c r="K173" i="8"/>
  <c r="L173" i="8" s="1"/>
  <c r="AA726" i="14"/>
  <c r="AC726" i="14" s="1"/>
  <c r="L214" i="8" l="1"/>
  <c r="M214" i="8"/>
  <c r="C223" i="17"/>
  <c r="C146" i="18"/>
  <c r="M173" i="8"/>
  <c r="R173" i="8" s="1"/>
  <c r="C763" i="14"/>
  <c r="C756" i="14" s="1"/>
  <c r="C768" i="14"/>
  <c r="D746" i="14"/>
  <c r="D198" i="8"/>
  <c r="E198" i="8" s="1"/>
  <c r="R214" i="8" l="1"/>
  <c r="C141" i="18"/>
  <c r="C218" i="17"/>
  <c r="C177" i="17"/>
  <c r="C100" i="18"/>
  <c r="Z746" i="14"/>
  <c r="J198" i="8" s="1"/>
  <c r="K198" i="8" s="1"/>
  <c r="L198" i="8" s="1"/>
  <c r="D756" i="14"/>
  <c r="D208" i="8"/>
  <c r="E208" i="8" s="1"/>
  <c r="C778" i="14"/>
  <c r="C773" i="14"/>
  <c r="C766" i="14" s="1"/>
  <c r="M198" i="8" l="1"/>
  <c r="R198" i="8" s="1"/>
  <c r="C783" i="14"/>
  <c r="C776" i="14" s="1"/>
  <c r="C788" i="14"/>
  <c r="Z756" i="14"/>
  <c r="J208" i="8" s="1"/>
  <c r="K208" i="8" s="1"/>
  <c r="L208" i="8" s="1"/>
  <c r="D223" i="8"/>
  <c r="E223" i="8" s="1"/>
  <c r="D766" i="14"/>
  <c r="Z766" i="14" s="1"/>
  <c r="J223" i="8" s="1"/>
  <c r="AA746" i="14"/>
  <c r="AC746" i="14" s="1"/>
  <c r="C202" i="17" l="1"/>
  <c r="C125" i="18"/>
  <c r="M208" i="8"/>
  <c r="R208" i="8" s="1"/>
  <c r="K223" i="8"/>
  <c r="L223" i="8" s="1"/>
  <c r="D776" i="14"/>
  <c r="Z776" i="14" s="1"/>
  <c r="J169" i="8" s="1"/>
  <c r="D169" i="8"/>
  <c r="E169" i="8" s="1"/>
  <c r="C793" i="14"/>
  <c r="C786" i="14" s="1"/>
  <c r="C798" i="14"/>
  <c r="AA766" i="14"/>
  <c r="AC766" i="14" s="1"/>
  <c r="AA756" i="14"/>
  <c r="AC756" i="14" s="1"/>
  <c r="C212" i="17" l="1"/>
  <c r="C135" i="18"/>
  <c r="M223" i="8"/>
  <c r="R223" i="8" s="1"/>
  <c r="K169" i="8"/>
  <c r="L169" i="8" s="1"/>
  <c r="AA776" i="14"/>
  <c r="AC776" i="14" s="1"/>
  <c r="D217" i="8"/>
  <c r="E217" i="8" s="1"/>
  <c r="D786" i="14"/>
  <c r="C803" i="14"/>
  <c r="C796" i="14" s="1"/>
  <c r="C808" i="14"/>
  <c r="C227" i="17" l="1"/>
  <c r="C150" i="18"/>
  <c r="M169" i="8"/>
  <c r="R169" i="8" s="1"/>
  <c r="D796" i="14"/>
  <c r="D224" i="8"/>
  <c r="E224" i="8" s="1"/>
  <c r="C813" i="14"/>
  <c r="C806" i="14" s="1"/>
  <c r="C818" i="14"/>
  <c r="Z786" i="14"/>
  <c r="J217" i="8" s="1"/>
  <c r="K217" i="8" s="1"/>
  <c r="L217" i="8" s="1"/>
  <c r="C173" i="17" l="1"/>
  <c r="C96" i="18"/>
  <c r="M217" i="8"/>
  <c r="R217" i="8" s="1"/>
  <c r="D174" i="8"/>
  <c r="E174" i="8" s="1"/>
  <c r="D806" i="14"/>
  <c r="Z796" i="14"/>
  <c r="J224" i="8" s="1"/>
  <c r="K224" i="8" s="1"/>
  <c r="L224" i="8" s="1"/>
  <c r="C828" i="14"/>
  <c r="C823" i="14"/>
  <c r="C816" i="14" s="1"/>
  <c r="AA786" i="14"/>
  <c r="AC786" i="14" s="1"/>
  <c r="C144" i="18" l="1"/>
  <c r="C221" i="17"/>
  <c r="M224" i="8"/>
  <c r="R224" i="8" s="1"/>
  <c r="C833" i="14"/>
  <c r="C826" i="14" s="1"/>
  <c r="C838" i="14"/>
  <c r="D816" i="14"/>
  <c r="D181" i="8"/>
  <c r="E181" i="8" s="1"/>
  <c r="Z806" i="14"/>
  <c r="J174" i="8" s="1"/>
  <c r="K174" i="8" s="1"/>
  <c r="L174" i="8" s="1"/>
  <c r="AA796" i="14"/>
  <c r="AC796" i="14" s="1"/>
  <c r="C151" i="18" l="1"/>
  <c r="C228" i="17"/>
  <c r="M174" i="8"/>
  <c r="R174" i="8" s="1"/>
  <c r="AA806" i="14"/>
  <c r="AC806" i="14" s="1"/>
  <c r="D197" i="8"/>
  <c r="E197" i="8" s="1"/>
  <c r="D826" i="14"/>
  <c r="Z826" i="14" s="1"/>
  <c r="J197" i="8" s="1"/>
  <c r="C848" i="14"/>
  <c r="C843" i="14"/>
  <c r="C836" i="14" s="1"/>
  <c r="Z816" i="14"/>
  <c r="J181" i="8" s="1"/>
  <c r="K181" i="8" s="1"/>
  <c r="L181" i="8" s="1"/>
  <c r="C178" i="17" l="1"/>
  <c r="AA826" i="14"/>
  <c r="AC826" i="14" s="1"/>
  <c r="M181" i="8"/>
  <c r="R181" i="8" s="1"/>
  <c r="C101" i="18"/>
  <c r="K197" i="8"/>
  <c r="L197" i="8" s="1"/>
  <c r="D196" i="8"/>
  <c r="E196" i="8" s="1"/>
  <c r="D836" i="14"/>
  <c r="AA816" i="14"/>
  <c r="AC816" i="14" s="1"/>
  <c r="C853" i="14"/>
  <c r="C846" i="14" s="1"/>
  <c r="C858" i="14"/>
  <c r="C185" i="17" l="1"/>
  <c r="C108" i="18"/>
  <c r="M197" i="8"/>
  <c r="R197" i="8" s="1"/>
  <c r="C868" i="14"/>
  <c r="C863" i="14"/>
  <c r="C856" i="14" s="1"/>
  <c r="D194" i="8"/>
  <c r="E194" i="8" s="1"/>
  <c r="D846" i="14"/>
  <c r="Z846" i="14" s="1"/>
  <c r="J194" i="8" s="1"/>
  <c r="Z836" i="14"/>
  <c r="J196" i="8" s="1"/>
  <c r="K196" i="8" s="1"/>
  <c r="L196" i="8" s="1"/>
  <c r="C124" i="18" l="1"/>
  <c r="M196" i="8"/>
  <c r="R196" i="8" s="1"/>
  <c r="C201" i="17"/>
  <c r="K194" i="8"/>
  <c r="L194" i="8" s="1"/>
  <c r="C873" i="14"/>
  <c r="C866" i="14" s="1"/>
  <c r="C878" i="14"/>
  <c r="AA836" i="14"/>
  <c r="AC836" i="14" s="1"/>
  <c r="D856" i="14"/>
  <c r="D195" i="8"/>
  <c r="E195" i="8" s="1"/>
  <c r="Z856" i="14"/>
  <c r="J195" i="8" s="1"/>
  <c r="AA846" i="14"/>
  <c r="AC846" i="14" s="1"/>
  <c r="C200" i="17" l="1"/>
  <c r="C123" i="18"/>
  <c r="M194" i="8"/>
  <c r="R194" i="8" s="1"/>
  <c r="D866" i="14"/>
  <c r="D168" i="8"/>
  <c r="E168" i="8" s="1"/>
  <c r="C883" i="14"/>
  <c r="C876" i="14" s="1"/>
  <c r="C888" i="14"/>
  <c r="K195" i="8"/>
  <c r="L195" i="8" s="1"/>
  <c r="AA856" i="14"/>
  <c r="AC856" i="14" s="1"/>
  <c r="C198" i="17" l="1"/>
  <c r="C121" i="18"/>
  <c r="M195" i="8"/>
  <c r="R195" i="8" s="1"/>
  <c r="D876" i="14"/>
  <c r="D205" i="8"/>
  <c r="E205" i="8" s="1"/>
  <c r="Z866" i="14"/>
  <c r="J168" i="8" s="1"/>
  <c r="K168" i="8" s="1"/>
  <c r="L168" i="8" s="1"/>
  <c r="C893" i="14"/>
  <c r="C886" i="14" s="1"/>
  <c r="C899" i="14"/>
  <c r="C904" i="14" s="1"/>
  <c r="C897" i="14" s="1"/>
  <c r="C122" i="18" l="1"/>
  <c r="C199" i="17"/>
  <c r="M168" i="8"/>
  <c r="R168" i="8" s="1"/>
  <c r="D207" i="8"/>
  <c r="E207" i="8" s="1"/>
  <c r="D897" i="14"/>
  <c r="Z897" i="14" s="1"/>
  <c r="J207" i="8" s="1"/>
  <c r="AA866" i="14"/>
  <c r="AC866" i="14" s="1"/>
  <c r="D886" i="14"/>
  <c r="Z886" i="14" s="1"/>
  <c r="J206" i="8" s="1"/>
  <c r="D206" i="8"/>
  <c r="E206" i="8" s="1"/>
  <c r="Z876" i="14"/>
  <c r="J205" i="8" s="1"/>
  <c r="K205" i="8" s="1"/>
  <c r="L205" i="8" s="1"/>
  <c r="C172" i="17" l="1"/>
  <c r="C95" i="18"/>
  <c r="M205" i="8"/>
  <c r="R205" i="8" s="1"/>
  <c r="K206" i="8"/>
  <c r="L206" i="8" s="1"/>
  <c r="K207" i="8"/>
  <c r="L207" i="8" s="1"/>
  <c r="AA886" i="14"/>
  <c r="AC886" i="14" s="1"/>
  <c r="AA897" i="14"/>
  <c r="AC897" i="14" s="1"/>
  <c r="AA876" i="14"/>
  <c r="AC876" i="14" s="1"/>
  <c r="C132" i="18" l="1"/>
  <c r="C209" i="17"/>
  <c r="M206" i="8"/>
  <c r="R206" i="8" s="1"/>
  <c r="M207" i="8"/>
  <c r="R207" i="8" s="1"/>
  <c r="C211" i="17" l="1"/>
  <c r="C134" i="18"/>
  <c r="C133" i="18"/>
  <c r="C210" i="17"/>
</calcChain>
</file>

<file path=xl/comments1.xml><?xml version="1.0" encoding="utf-8"?>
<comments xmlns="http://schemas.openxmlformats.org/spreadsheetml/2006/main">
  <authors>
    <author>Котович А.В.</author>
  </authors>
  <commentList>
    <comment ref="E26" authorId="0">
      <text>
        <r>
          <rPr>
            <sz val="14"/>
            <color indexed="81"/>
            <rFont val="Tahoma"/>
            <family val="2"/>
            <charset val="204"/>
          </rPr>
          <t>1 УЕТ = 10 минутам</t>
        </r>
      </text>
    </comment>
    <comment ref="F53" authorId="0">
      <text>
        <r>
          <rPr>
            <sz val="12"/>
            <color indexed="81"/>
            <rFont val="Tahoma"/>
            <family val="2"/>
            <charset val="204"/>
          </rPr>
          <t>С учетом индивидуального Кэф</t>
        </r>
      </text>
    </comment>
    <comment ref="F54" authorId="0">
      <text>
        <r>
          <rPr>
            <sz val="12"/>
            <color indexed="81"/>
            <rFont val="Tahoma"/>
            <family val="2"/>
            <charset val="204"/>
          </rPr>
          <t>С учетом индивидуального Кэф</t>
        </r>
      </text>
    </comment>
    <comment ref="C57" authorId="0">
      <text>
        <r>
          <rPr>
            <sz val="14"/>
            <color indexed="81"/>
            <rFont val="Tahoma"/>
            <family val="2"/>
            <charset val="204"/>
          </rPr>
          <t xml:space="preserve">Анализ по данным за 2009 год, предварительный анализ согласно данных 9 месяцев 2009 года. Прейскуранты на утверждение только по годовым данным.
</t>
        </r>
      </text>
    </comment>
    <comment ref="B59" authorId="0">
      <text>
        <r>
          <rPr>
            <sz val="11"/>
            <color indexed="81"/>
            <rFont val="Tahoma"/>
            <family val="2"/>
            <charset val="204"/>
          </rPr>
          <t>за исключением начислений на социальные нужды п.п.1.2, 1.3, 1.4, 1.5, 1.6, 1.7, главного врача, заместителей главного врача - врачей.
Для упрощения расчетов итоговые суммы ФОТ могут умножаются на коэффициент начислений на ФОТ (2010 г. 0,262, при согласовании перехода на упр. систему налогооблажения 0,142).</t>
        </r>
      </text>
    </comment>
    <comment ref="B71" authorId="0">
      <text>
        <r>
          <rPr>
            <sz val="11"/>
            <color indexed="81"/>
            <rFont val="Tahoma"/>
            <family val="2"/>
            <charset val="204"/>
          </rPr>
          <t>За исключением доплат главного врача и заместителей главного врача - врачей при  совмещении профессии по специальности</t>
        </r>
      </text>
    </comment>
  </commentList>
</comments>
</file>

<file path=xl/comments10.xml><?xml version="1.0" encoding="utf-8"?>
<comments xmlns="http://schemas.openxmlformats.org/spreadsheetml/2006/main">
  <authors>
    <author>Котович А.В.</author>
  </authors>
  <commentList>
    <comment ref="C1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6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7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8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9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0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1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2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3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4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</commentList>
</comments>
</file>

<file path=xl/comments2.xml><?xml version="1.0" encoding="utf-8"?>
<comments xmlns="http://schemas.openxmlformats.org/spreadsheetml/2006/main">
  <authors>
    <author>Котович А.В.</author>
  </authors>
  <commentList>
    <comment ref="M3" authorId="0">
      <text>
        <r>
          <rPr>
            <sz val="14"/>
            <color indexed="81"/>
            <rFont val="Tahoma"/>
            <family val="2"/>
            <charset val="204"/>
          </rPr>
          <t>1 УЕТ = 10 минутам</t>
        </r>
      </text>
    </comment>
    <comment ref="B4" authorId="0">
      <text>
        <r>
          <rPr>
            <sz val="14"/>
            <color indexed="81"/>
            <rFont val="Tahoma"/>
            <family val="2"/>
            <charset val="204"/>
          </rPr>
          <t>согласно установленного  оклада тарификационного списка</t>
        </r>
      </text>
    </comment>
    <comment ref="U4" authorId="0">
      <text>
        <r>
          <rPr>
            <sz val="12"/>
            <color indexed="81"/>
            <rFont val="Tahoma"/>
            <family val="2"/>
            <charset val="204"/>
          </rPr>
          <t xml:space="preserve">медицинский персонал отделения задействованный для работы по заготовке и хранению в замороженном состоянии компонентов крови и костного мозга
</t>
        </r>
      </text>
    </comment>
    <comment ref="W4" authorId="0">
      <text>
        <r>
          <rPr>
            <sz val="12"/>
            <color indexed="81"/>
            <rFont val="Tahoma"/>
            <family val="2"/>
            <charset val="204"/>
          </rPr>
          <t>врач-стоматолог-хирург от расчета УЕТ по норме работы 39 часов в неделю</t>
        </r>
      </text>
    </comment>
    <comment ref="W10" authorId="0">
      <text>
        <r>
          <rPr>
            <sz val="12"/>
            <color indexed="81"/>
            <rFont val="Tahoma"/>
            <family val="2"/>
            <charset val="204"/>
          </rPr>
          <t>заведующие ортопедическими отделениями</t>
        </r>
      </text>
    </comment>
    <comment ref="W45" authorId="0">
      <text>
        <r>
          <rPr>
            <sz val="12"/>
            <color indexed="81"/>
            <rFont val="Tahoma"/>
            <family val="2"/>
            <charset val="204"/>
          </rPr>
          <t>заведующие терапевтическими стоматологическими отделениями</t>
        </r>
      </text>
    </comment>
  </commentList>
</comments>
</file>

<file path=xl/comments3.xml><?xml version="1.0" encoding="utf-8"?>
<comments xmlns="http://schemas.openxmlformats.org/spreadsheetml/2006/main">
  <authors>
    <author>Котович А.В.</author>
  </authors>
  <commentList>
    <comment ref="C2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6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7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8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9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0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1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</commentList>
</comments>
</file>

<file path=xl/comments4.xml><?xml version="1.0" encoding="utf-8"?>
<comments xmlns="http://schemas.openxmlformats.org/spreadsheetml/2006/main">
  <authors>
    <author>Котович А.В.</author>
  </authors>
  <commentList>
    <comment ref="A6" authorId="0">
      <text>
        <r>
          <rPr>
            <sz val="12"/>
            <color indexed="81"/>
            <rFont val="Tahoma"/>
            <family val="2"/>
            <charset val="204"/>
          </rPr>
          <t>Для крупных отделений, Центров, расчет по услугам можно проводить в отдельных вкладках (листах) файла</t>
        </r>
      </text>
    </comment>
    <comment ref="C8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</commentList>
</comments>
</file>

<file path=xl/comments5.xml><?xml version="1.0" encoding="utf-8"?>
<comments xmlns="http://schemas.openxmlformats.org/spreadsheetml/2006/main">
  <authors>
    <author>Котович А.В.</author>
  </authors>
  <commentList>
    <comment ref="C1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1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6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7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8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9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0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1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2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3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4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5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6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7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8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9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0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1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2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3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4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5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6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7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8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9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0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1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2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3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4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5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6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7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8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9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0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1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2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3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4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5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6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7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8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9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0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1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2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3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4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5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6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7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8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9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60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</commentList>
</comments>
</file>

<file path=xl/comments6.xml><?xml version="1.0" encoding="utf-8"?>
<comments xmlns="http://schemas.openxmlformats.org/spreadsheetml/2006/main">
  <authors>
    <author>Котович А.В.</author>
  </authors>
  <commentList>
    <comment ref="C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6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7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8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9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</commentList>
</comments>
</file>

<file path=xl/comments7.xml><?xml version="1.0" encoding="utf-8"?>
<comments xmlns="http://schemas.openxmlformats.org/spreadsheetml/2006/main">
  <authors>
    <author>Котович А.В.</author>
  </authors>
  <commentList>
    <comment ref="C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69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</commentList>
</comments>
</file>

<file path=xl/comments8.xml><?xml version="1.0" encoding="utf-8"?>
<comments xmlns="http://schemas.openxmlformats.org/spreadsheetml/2006/main">
  <authors>
    <author>Котович А.В.</author>
  </authors>
  <commentList>
    <comment ref="B3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B4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B5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B6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B7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B82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</commentList>
</comments>
</file>

<file path=xl/comments9.xml><?xml version="1.0" encoding="utf-8"?>
<comments xmlns="http://schemas.openxmlformats.org/spreadsheetml/2006/main">
  <authors>
    <author>Котович А.В.</author>
  </authors>
  <commentList>
    <comment ref="C1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4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5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6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7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8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9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0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1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2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3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4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5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6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7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8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19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0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1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2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3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4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5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6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7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8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29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0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1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2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3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4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5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6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7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  <comment ref="C380" authorId="0">
      <text>
        <r>
          <rPr>
            <sz val="12"/>
            <color indexed="81"/>
            <rFont val="Tahoma"/>
            <family val="2"/>
            <charset val="204"/>
          </rPr>
          <t>Соотношение суммы заработной платы с учетом дополнительной заработной платы к фонду рабочего времени по специальности по специалисту, оказывающему услугу, с учетом установленной квалификационной категории, согласно тарификационного списка (и плана повышения квалификации текущего года).
В простых услугах устанавливается ссылкой на лист "Заработная плата", соответствующего количества руб. на 1 УЕТ.
Сложные медицинские услуги формируются с учетом состава услуги, согласно проведения сопоставления услуги прейскуранта и номенклатуры, с использованием формы КСПМУ.
Подсчет состава УЕТ, согласно времени работы специалистов по сложным услугам формируется отдельным списком.
При сложении работы разных специалистов врачебного и среднего медицинского персонала, имеющих разную стоимость УЕТ, в расчет включается весь перечень специалистов, с указанием наименований специалистов, с добавлением строк в калькуляцию услуги.</t>
        </r>
      </text>
    </comment>
  </commentList>
</comments>
</file>

<file path=xl/sharedStrings.xml><?xml version="1.0" encoding="utf-8"?>
<sst xmlns="http://schemas.openxmlformats.org/spreadsheetml/2006/main" count="20269" uniqueCount="2288">
  <si>
    <t xml:space="preserve">Свертываемость крови(взятие крови +исследование)         </t>
  </si>
  <si>
    <t>мл</t>
  </si>
  <si>
    <t>Лекарственный электрофорез постоянным, диадинамическим, синусоидальным модулированным токами</t>
  </si>
  <si>
    <t>Новокаин, димексид</t>
  </si>
  <si>
    <t>Димедрол, CaCl</t>
  </si>
  <si>
    <t>Бинт</t>
  </si>
  <si>
    <t>Лазолван, беродуал, эуфиллин</t>
  </si>
  <si>
    <t>Парафин</t>
  </si>
  <si>
    <t>Скарификатор</t>
  </si>
  <si>
    <t>Шпатель</t>
  </si>
  <si>
    <t>Исследование общего белка в крови (взятие крови из вены- исследование)</t>
  </si>
  <si>
    <t>Тест-полоски Биоскан</t>
  </si>
  <si>
    <t>Лидокаин</t>
  </si>
  <si>
    <t>Маска медицинская</t>
  </si>
  <si>
    <t>мл.</t>
  </si>
  <si>
    <t xml:space="preserve">Фтористый натрий </t>
  </si>
  <si>
    <t>Реминерализующий гель</t>
  </si>
  <si>
    <t>Закрытие 1 фиссуры герметиком из химиоотверждаемого композита</t>
  </si>
  <si>
    <t>Уницем цинкофосфатный</t>
  </si>
  <si>
    <t>Диамин фтористого серебра (Сафорайд)</t>
  </si>
  <si>
    <t>5 мл</t>
  </si>
  <si>
    <t>Беладонт</t>
  </si>
  <si>
    <t>Аппликатор микробраш</t>
  </si>
  <si>
    <t>Наложение одной пломбы из композитов химического отверждения при поверхностном и среднем кариесе I и V класса по Блеку, кариес цемента корня</t>
  </si>
  <si>
    <t>Эндометазон</t>
  </si>
  <si>
    <t>Салфетки</t>
  </si>
  <si>
    <t>Эндожи</t>
  </si>
  <si>
    <t>Резорцин формальдегидная паста</t>
  </si>
  <si>
    <t>Система</t>
  </si>
  <si>
    <t>Шпатель металлический</t>
  </si>
  <si>
    <t>адреналин</t>
  </si>
  <si>
    <t>БУ</t>
  </si>
  <si>
    <t>Кол.</t>
  </si>
  <si>
    <t>актовегин</t>
  </si>
  <si>
    <t>амоксиклав</t>
  </si>
  <si>
    <t>анальгин</t>
  </si>
  <si>
    <t>анальгин амп.</t>
  </si>
  <si>
    <t>аскорбиновая кислота таб</t>
  </si>
  <si>
    <t>винпоцетин</t>
  </si>
  <si>
    <t>диазолин</t>
  </si>
  <si>
    <t>диклофенак</t>
  </si>
  <si>
    <t>дицинон</t>
  </si>
  <si>
    <t>дроперидол</t>
  </si>
  <si>
    <t>изокет</t>
  </si>
  <si>
    <t>кавинтон</t>
  </si>
  <si>
    <t>кеторол</t>
  </si>
  <si>
    <t>кордиамин</t>
  </si>
  <si>
    <t>магния сульфат</t>
  </si>
  <si>
    <t>милдронат</t>
  </si>
  <si>
    <t>мильгамма</t>
  </si>
  <si>
    <t>натрия хлорид</t>
  </si>
  <si>
    <t>никотиновая кислота</t>
  </si>
  <si>
    <t>но-шпа</t>
  </si>
  <si>
    <t>новокаин</t>
  </si>
  <si>
    <t>Октолипен</t>
  </si>
  <si>
    <t>панангин</t>
  </si>
  <si>
    <t>папаверин</t>
  </si>
  <si>
    <t>парацетамол</t>
  </si>
  <si>
    <t>пентоксифиллин</t>
  </si>
  <si>
    <t>пиродоксина г/хл (витамин В6)</t>
  </si>
  <si>
    <t>супрастин</t>
  </si>
  <si>
    <t>Фуросемид р-р</t>
  </si>
  <si>
    <t>церебролизин</t>
  </si>
  <si>
    <t>цефтриаксон порошок</t>
  </si>
  <si>
    <t>цианокобаламин (витамин В12)</t>
  </si>
  <si>
    <t>ципрофлоксацин (ципролет)</t>
  </si>
  <si>
    <t>Цитофлавин</t>
  </si>
  <si>
    <t>эуфиллин</t>
  </si>
  <si>
    <t>1 к/д</t>
  </si>
  <si>
    <t>ДС  Бонадерм</t>
  </si>
  <si>
    <t xml:space="preserve">       кардиомагнил</t>
  </si>
  <si>
    <t>баралгетас (баралгин)</t>
  </si>
  <si>
    <t>глюкоза 5%</t>
  </si>
  <si>
    <t>дибазол</t>
  </si>
  <si>
    <t>Димексид р-р</t>
  </si>
  <si>
    <t>диротон</t>
  </si>
  <si>
    <t>кагоцел</t>
  </si>
  <si>
    <t xml:space="preserve">квамател </t>
  </si>
  <si>
    <t>кордарон</t>
  </si>
  <si>
    <t>Мексидол</t>
  </si>
  <si>
    <t xml:space="preserve">преднизолон </t>
  </si>
  <si>
    <t>рибоксин</t>
  </si>
  <si>
    <t>феррум лек</t>
  </si>
  <si>
    <t>эссенциале</t>
  </si>
  <si>
    <t>Спирт. салфетка</t>
  </si>
  <si>
    <t>Наложение одной пломбы из фотокомпозитов  при поверхностном и среднем кариесе I и V класса по Блеку</t>
  </si>
  <si>
    <t>Наложение повязки при гнойных заболеваниях кожи и подкожной клетчатки</t>
  </si>
  <si>
    <t>А15.01.002</t>
  </si>
  <si>
    <t>Наложение повязки при переломах костей</t>
  </si>
  <si>
    <t>А15.03.001</t>
  </si>
  <si>
    <t xml:space="preserve"> </t>
  </si>
  <si>
    <t xml:space="preserve">Прием врача-оториноларинголога  первичный  </t>
  </si>
  <si>
    <t xml:space="preserve">Прием врача-дерматовенеролога  первичный  </t>
  </si>
  <si>
    <t xml:space="preserve">Прием врача-эндокринолога первичный  </t>
  </si>
  <si>
    <t xml:space="preserve">Прием врача-оториноларинголога повторный  </t>
  </si>
  <si>
    <t>Экономист                                                              С.И. Локтионова</t>
  </si>
  <si>
    <t>Главный бухгалтер                                                Е.О.Ощепкова</t>
  </si>
  <si>
    <t>"СОГЛАСОВАНО"                                                               "УТВЕРЖДАЮ"</t>
  </si>
  <si>
    <t>Внутривенное введение лекарственных средств</t>
  </si>
  <si>
    <t>Внутримышечное введение лекарственных средств</t>
  </si>
  <si>
    <t>Проведение профессиональной гигиены одного зуба снятие над, под десневого камня шлифовка, полировка</t>
  </si>
  <si>
    <t>Лечение пульпита в 2-3 посещения 1 канального  зуба с наложением пломбы из химического отверждения</t>
  </si>
  <si>
    <t>Лечение пульпита в 2-3 посещения 2 канального  зуба с наложением пломбы из химического отверждения</t>
  </si>
  <si>
    <t>Лечение пульпита в 2-3 посещения 3 канального  зуба с наложением пломбы из химического отверждения</t>
  </si>
  <si>
    <t>Полировка пломбы при реставрационных работах при лечении  кариозных полостей 4класса по Блеку</t>
  </si>
  <si>
    <t>Гальванизация, электрофорез полостные</t>
  </si>
  <si>
    <t>СМТ-терапия</t>
  </si>
  <si>
    <t>Дарсонвализация местная</t>
  </si>
  <si>
    <t>Дарсонвализация полостная</t>
  </si>
  <si>
    <t>УВЧ-терапия</t>
  </si>
  <si>
    <t>Магнитотерапия низкочистотная</t>
  </si>
  <si>
    <t>Определение биодозы</t>
  </si>
  <si>
    <t>УФ-облучение общее и местное</t>
  </si>
  <si>
    <t>Ультразвуковая терапия</t>
  </si>
  <si>
    <t>Фонофорез</t>
  </si>
  <si>
    <t>Ингаляции</t>
  </si>
  <si>
    <t>Кабинет функциональной диагностики</t>
  </si>
  <si>
    <t>Электрокардиографические исследования (в 12 отведениях)</t>
  </si>
  <si>
    <t>Кабинет клинико-диагностической лаборатории</t>
  </si>
  <si>
    <t>Электрокардиограф</t>
  </si>
  <si>
    <t>Аппарат "Поток"</t>
  </si>
  <si>
    <t>Аппарат "Амплипульс"</t>
  </si>
  <si>
    <t>Аппарат "Искра"</t>
  </si>
  <si>
    <t>Аппарат "УВЧ"</t>
  </si>
  <si>
    <t>Аппарат УЗТ</t>
  </si>
  <si>
    <t>Парафинонагреватель</t>
  </si>
  <si>
    <t>Аппарат</t>
  </si>
  <si>
    <t>Сахар мочи</t>
  </si>
  <si>
    <t>Центрифуга</t>
  </si>
  <si>
    <t>Анализатор мочи</t>
  </si>
  <si>
    <t>Сахар крови (взятие крови из пальза+исследование)</t>
  </si>
  <si>
    <t>Закрытие 1 фисуры герметиком из химиоотверждаемого компонента</t>
  </si>
  <si>
    <t>Закрытие 1 фисуры герметиком из светоотверждаемого композита</t>
  </si>
  <si>
    <t>Полировка пломбы из композита при лечении кариозных полостей 1,2,3,5 класса по Блеку</t>
  </si>
  <si>
    <t>Полировка пломбы при реставационных работах при лечении  кариозных полостей 4класса по Блеку</t>
  </si>
  <si>
    <t>Лечение глубокого  кариеса с наложением лечебной (изолирующей)прокладки и композита химического отверждения</t>
  </si>
  <si>
    <t>Лечение глубокого  кариеса 1,2, 5 класса по Блеку с наложением лечебной (изолирующей)прокладки и наложением пломбы фотокомпозита</t>
  </si>
  <si>
    <t>Лечение глубокого  кариеса 3 класса по Блеку с наложением лечебной (изолирующей)прокладки и наложением фотокомпозита</t>
  </si>
  <si>
    <t>Лечение глубокого  кариеса  4класса по Блеку с наложением лечебной (изолирующей)прокладки и наложением фотокомпозита</t>
  </si>
  <si>
    <t>Распломбирование 1 корневого канала  под штифт</t>
  </si>
  <si>
    <t>Извлечение фиксированного инородного тела  из одного корневого канала</t>
  </si>
  <si>
    <t>Распломбирование 1 корневого канала запломбированного  цинкэвгеновой пастой</t>
  </si>
  <si>
    <t>Наложение одного шва</t>
  </si>
  <si>
    <t xml:space="preserve">Выправление вывиха нижней челюсти </t>
  </si>
  <si>
    <t xml:space="preserve">Сошлифовка эмали со ската бугра одного зуба </t>
  </si>
  <si>
    <t>Медикаментозное лечение пародонтальных карманов:орошение</t>
  </si>
  <si>
    <t>Медикаментозное лечение пародонтальных карманов:аппликация</t>
  </si>
  <si>
    <t>Медикаментозное лечение пародонтальных карманнов:инстилляция</t>
  </si>
  <si>
    <t>Медикаментозное лечение пародонтальных карманнов:повязка</t>
  </si>
  <si>
    <t>Вскрытие пародонтального абцесса</t>
  </si>
  <si>
    <t>06.024</t>
  </si>
  <si>
    <t>06.051</t>
  </si>
  <si>
    <t>06.052</t>
  </si>
  <si>
    <t>Медикаменты</t>
  </si>
  <si>
    <t>06.053</t>
  </si>
  <si>
    <t>06.054</t>
  </si>
  <si>
    <t>06.055</t>
  </si>
  <si>
    <t>06.056</t>
  </si>
  <si>
    <t>06.057</t>
  </si>
  <si>
    <t>06.058</t>
  </si>
  <si>
    <t>06.059</t>
  </si>
  <si>
    <t>06.060</t>
  </si>
  <si>
    <t>06.061</t>
  </si>
  <si>
    <t>06.062</t>
  </si>
  <si>
    <t>06.063</t>
  </si>
  <si>
    <t>06.064</t>
  </si>
  <si>
    <t>06.065</t>
  </si>
  <si>
    <t>06.066</t>
  </si>
  <si>
    <t>06.067</t>
  </si>
  <si>
    <t>06.068</t>
  </si>
  <si>
    <t>Расшлифовка одной фиссуры,сошлифовка некротических масс при кариесе и стадии пятна и одного зуба</t>
  </si>
  <si>
    <t xml:space="preserve">1 п/дн </t>
  </si>
  <si>
    <t>06.069</t>
  </si>
  <si>
    <t>06.070</t>
  </si>
  <si>
    <t>06.071</t>
  </si>
  <si>
    <t>06.072</t>
  </si>
  <si>
    <t>06.073</t>
  </si>
  <si>
    <t>06.074</t>
  </si>
  <si>
    <t>06.075</t>
  </si>
  <si>
    <t>06.076</t>
  </si>
  <si>
    <t>06.077</t>
  </si>
  <si>
    <t>06.078</t>
  </si>
  <si>
    <t>06.079</t>
  </si>
  <si>
    <t>06.080</t>
  </si>
  <si>
    <t>06.081</t>
  </si>
  <si>
    <t>Холестерин(взятие крови из вены+исследование)</t>
  </si>
  <si>
    <t>Микроскоп</t>
  </si>
  <si>
    <t>Ацетон в моче</t>
  </si>
  <si>
    <t>Тромбоциты (взятие крови из пальца+исследование)</t>
  </si>
  <si>
    <t>Эритроциты (взятие крови из пальца+исследование)</t>
  </si>
  <si>
    <t>СОЭ(взятие крови из пальца+исследование)</t>
  </si>
  <si>
    <t>Лейкоциты(взятие крови из пальца+исследование)</t>
  </si>
  <si>
    <t>Тарифной комиссии                                                              НУЗ "Узловая поликлиника на ст.Наушки</t>
  </si>
  <si>
    <t>______________ М.И.Кондратьева                                        _______________ М.Н.Колодина</t>
  </si>
  <si>
    <t>на услуги НУЗ "Узловая поликлиника на станции  Наушки ОАО "РЖД"</t>
  </si>
  <si>
    <t>Калькуляция услуг дневном стационаре при поликлинике</t>
  </si>
  <si>
    <t xml:space="preserve">Стоимость пациенто -дня </t>
  </si>
  <si>
    <t>Марля</t>
  </si>
  <si>
    <t>м</t>
  </si>
  <si>
    <t>постельн.бел</t>
  </si>
  <si>
    <t>Затраты УЕТ дневного стационара при поликлинике</t>
  </si>
  <si>
    <t>Коек в НУЗ, всего</t>
  </si>
  <si>
    <t>Нормативный коэффициент использования рабочего времени перевода в УЕТ</t>
  </si>
  <si>
    <t>среднемесячная норма времени работы медицинского персонала отделения</t>
  </si>
  <si>
    <t>Штатное расписание отделения (дежурных врачей НУЗ)</t>
  </si>
  <si>
    <t>ставка</t>
  </si>
  <si>
    <t>среднемесячная норма времени работы медицинского персонала отделения (согласно производственного календаря НУЗ и занимаемой ставки)</t>
  </si>
  <si>
    <t>Врачебный медицинский персонал</t>
  </si>
  <si>
    <t>врач</t>
  </si>
  <si>
    <t>Итого:</t>
  </si>
  <si>
    <t>врач-анестезиолог*</t>
  </si>
  <si>
    <t>УЕТ врача на 1 пациенто-день</t>
  </si>
  <si>
    <t>УЕТ врача-анестезиолога на 1 пациенто-день</t>
  </si>
  <si>
    <t>медицинская сестра палатная</t>
  </si>
  <si>
    <t>медицинская сестра процедурная</t>
  </si>
  <si>
    <t>медицинская сестра перевязочная</t>
  </si>
  <si>
    <t>медицинская сестра-анестезист</t>
  </si>
  <si>
    <t>УЕТ медсестры палатной на 1 пациенто-день</t>
  </si>
  <si>
    <t>УЕТ медицинской сестры процедурной на 1 пациенто-день</t>
  </si>
  <si>
    <t>УЕТ медицинской сестры перевязочной на 1 пациенто-день</t>
  </si>
  <si>
    <t>УЕТ медицинской сестры-анестезиста на 1 пациенто-день</t>
  </si>
  <si>
    <t>* при наличии в штатном расписании отделения</t>
  </si>
  <si>
    <t>тумба</t>
  </si>
  <si>
    <t xml:space="preserve">стол </t>
  </si>
  <si>
    <t xml:space="preserve">стул </t>
  </si>
  <si>
    <t xml:space="preserve">врач-терапевт </t>
  </si>
  <si>
    <t>врач-педиатр</t>
  </si>
  <si>
    <t xml:space="preserve">врач-невролог </t>
  </si>
  <si>
    <t xml:space="preserve">врач-офтальмолог </t>
  </si>
  <si>
    <t xml:space="preserve">врач-отоларинголог </t>
  </si>
  <si>
    <t xml:space="preserve">врач-дерматовенеролог                   </t>
  </si>
  <si>
    <t xml:space="preserve">врач-эндокринолог                         </t>
  </si>
  <si>
    <t>врач-терапевт</t>
  </si>
  <si>
    <t xml:space="preserve">врач-педиатр </t>
  </si>
  <si>
    <t xml:space="preserve">врач-дерматовенеролог </t>
  </si>
  <si>
    <t xml:space="preserve">врач-эндокринолог </t>
  </si>
  <si>
    <t xml:space="preserve">врач-хирург </t>
  </si>
  <si>
    <t>шкаф</t>
  </si>
  <si>
    <t>Кровать  10шт</t>
  </si>
  <si>
    <t>м2</t>
  </si>
  <si>
    <t>КАБИНЕТ ГИНЕКОЛОГА</t>
  </si>
  <si>
    <t>06.001</t>
  </si>
  <si>
    <t>РЕНТГЕНКАБИНЕТ</t>
  </si>
  <si>
    <t>07.001</t>
  </si>
  <si>
    <t>Консультация врача-рентгенолога</t>
  </si>
  <si>
    <t>07.002</t>
  </si>
  <si>
    <t>07.005</t>
  </si>
  <si>
    <t>07.006</t>
  </si>
  <si>
    <t>Рентгенография  брюшной полости</t>
  </si>
  <si>
    <t>07.007</t>
  </si>
  <si>
    <t>07.008</t>
  </si>
  <si>
    <t>07.009</t>
  </si>
  <si>
    <t>07.010</t>
  </si>
  <si>
    <t>07.011</t>
  </si>
  <si>
    <t>07.012</t>
  </si>
  <si>
    <t>07.013</t>
  </si>
  <si>
    <t>07.014</t>
  </si>
  <si>
    <t>07.015</t>
  </si>
  <si>
    <t>07.016</t>
  </si>
  <si>
    <t>07.017</t>
  </si>
  <si>
    <t>07.018</t>
  </si>
  <si>
    <t>Рентгенография глазниц</t>
  </si>
  <si>
    <t>07.019</t>
  </si>
  <si>
    <t>07.020</t>
  </si>
  <si>
    <t>07.022</t>
  </si>
  <si>
    <t>07.023</t>
  </si>
  <si>
    <t>07.024</t>
  </si>
  <si>
    <t>07.025</t>
  </si>
  <si>
    <t>07.026</t>
  </si>
  <si>
    <t>07.027</t>
  </si>
  <si>
    <t>07.028</t>
  </si>
  <si>
    <t>07.029</t>
  </si>
  <si>
    <t>07.030</t>
  </si>
  <si>
    <t>07.031</t>
  </si>
  <si>
    <t xml:space="preserve">Рентгенография коленного сустава </t>
  </si>
  <si>
    <t>07.032</t>
  </si>
  <si>
    <t>07.033</t>
  </si>
  <si>
    <t xml:space="preserve">Рентгенография  голеностопного сустава </t>
  </si>
  <si>
    <t>07.034</t>
  </si>
  <si>
    <t xml:space="preserve">Рентгенография стопы </t>
  </si>
  <si>
    <t>ФИЗИОКАБИНЕТ</t>
  </si>
  <si>
    <t>08.001</t>
  </si>
  <si>
    <t xml:space="preserve">Гальванизация </t>
  </si>
  <si>
    <t>08.002</t>
  </si>
  <si>
    <t>Лекарственный электрофорез постоянным , динамическим, синусоидальным модулированным токами</t>
  </si>
  <si>
    <t>08.003</t>
  </si>
  <si>
    <t>08.004</t>
  </si>
  <si>
    <t>08.005</t>
  </si>
  <si>
    <t>08.006</t>
  </si>
  <si>
    <t>08.007</t>
  </si>
  <si>
    <t>08.008</t>
  </si>
  <si>
    <t>Магнитотерапия низкочастотная</t>
  </si>
  <si>
    <t>08.009</t>
  </si>
  <si>
    <t>08.010</t>
  </si>
  <si>
    <t>08.011</t>
  </si>
  <si>
    <t>08.012</t>
  </si>
  <si>
    <t>Фонофонез</t>
  </si>
  <si>
    <t>08.013</t>
  </si>
  <si>
    <t>09.001</t>
  </si>
  <si>
    <t xml:space="preserve">Массаж лица </t>
  </si>
  <si>
    <t>09.002</t>
  </si>
  <si>
    <t xml:space="preserve">Массаж волосистой части головы </t>
  </si>
  <si>
    <t>09.003</t>
  </si>
  <si>
    <t>09.004</t>
  </si>
  <si>
    <t>09.005</t>
  </si>
  <si>
    <t>09.006</t>
  </si>
  <si>
    <t>09.007</t>
  </si>
  <si>
    <t>09.008</t>
  </si>
  <si>
    <t>09.009</t>
  </si>
  <si>
    <t>09.010</t>
  </si>
  <si>
    <t>09.011</t>
  </si>
  <si>
    <t>09.012</t>
  </si>
  <si>
    <t>09.013</t>
  </si>
  <si>
    <t>09.015</t>
  </si>
  <si>
    <t>09.016</t>
  </si>
  <si>
    <t xml:space="preserve"> ЛАБОРАТОРИЯ</t>
  </si>
  <si>
    <t>10.001</t>
  </si>
  <si>
    <t>10.002</t>
  </si>
  <si>
    <t>Гонококки-трихомонады мазок</t>
  </si>
  <si>
    <t>10.003</t>
  </si>
  <si>
    <t>10.004</t>
  </si>
  <si>
    <t>10.005</t>
  </si>
  <si>
    <t>10.006</t>
  </si>
  <si>
    <t>10.007</t>
  </si>
  <si>
    <t>10.008</t>
  </si>
  <si>
    <t>10.009</t>
  </si>
  <si>
    <t>Общий анализ крови</t>
  </si>
  <si>
    <t>10.010</t>
  </si>
  <si>
    <t>10.012</t>
  </si>
  <si>
    <t>10.014</t>
  </si>
  <si>
    <t>10.020</t>
  </si>
  <si>
    <t>10.021</t>
  </si>
  <si>
    <t>10.022</t>
  </si>
  <si>
    <t>Лейкоцитарная формула</t>
  </si>
  <si>
    <t>Лейкоциты</t>
  </si>
  <si>
    <t>СОЭ</t>
  </si>
  <si>
    <t>Холестерин</t>
  </si>
  <si>
    <t>ДНЕВНОЙ СТАЦИОНАР</t>
  </si>
  <si>
    <t>Экономист                                                                 Е.О.Ощепкова</t>
  </si>
  <si>
    <t>цена договорная</t>
  </si>
  <si>
    <t>Директор Восточно-Сибирского                                             Главный врач</t>
  </si>
  <si>
    <t>филиала ОАО "Страхового общества                                    НУЗ "Узловая поликлиника на ст.Наушки</t>
  </si>
  <si>
    <t>ЖАСО"                                                                                 ОАО "РЖД"</t>
  </si>
  <si>
    <t>______________                                                                    _______________ М.Н.Колодина</t>
  </si>
  <si>
    <t>Рентгенолаборант</t>
  </si>
  <si>
    <t>районный и северный коэффициенты на сумму (1;2;3;4)</t>
  </si>
  <si>
    <t>№</t>
  </si>
  <si>
    <t>Статьи прямых расходов</t>
  </si>
  <si>
    <t>Отчисления на социальные нужды</t>
  </si>
  <si>
    <t>Расходы на материалы, в том числе:</t>
  </si>
  <si>
    <t>- медикаменты и перевязочный материал</t>
  </si>
  <si>
    <t>- продукты питания</t>
  </si>
  <si>
    <t>- мягкий инвентарь</t>
  </si>
  <si>
    <t>- прочие материалы</t>
  </si>
  <si>
    <t>Итого</t>
  </si>
  <si>
    <t>Статьи косвенных расходов</t>
  </si>
  <si>
    <t>Рентгенография  большой берцовой  и малой берцовой костей</t>
  </si>
  <si>
    <t>Затраты на оплату труда работников НУЗ ОАО «РЖД», не участвующих непосредственно в процессе оказания медицинской услуги</t>
  </si>
  <si>
    <t>1.1.</t>
  </si>
  <si>
    <t>1.2.</t>
  </si>
  <si>
    <t>1.3.</t>
  </si>
  <si>
    <t>провизора</t>
  </si>
  <si>
    <t>1.4.</t>
  </si>
  <si>
    <t>старшие медицинские сестры</t>
  </si>
  <si>
    <t>1.5.</t>
  </si>
  <si>
    <t>медицинские регистраторы</t>
  </si>
  <si>
    <t>1.6.</t>
  </si>
  <si>
    <t>медицинские дезинфекторы</t>
  </si>
  <si>
    <t>1.7.</t>
  </si>
  <si>
    <t>младший медицинский персонал</t>
  </si>
  <si>
    <t>на    2012   год</t>
  </si>
  <si>
    <t>Главный бухгалтер                                                      Е.О.Ощепкова</t>
  </si>
  <si>
    <t>начисления на оплату труда общеучрежденческого персонала;</t>
  </si>
  <si>
    <t>А13.30.007</t>
  </si>
  <si>
    <t>Определение индексов гигиены полости рта</t>
  </si>
  <si>
    <t>А12.07.003</t>
  </si>
  <si>
    <t>Наложение одной пломбы из композитов химического отверждения при поверхностном и среднем кариесе 2 и 3 класса по Блеку</t>
  </si>
  <si>
    <t>Наложение одной пломбы из композитов химического отверждения при поверхностном и среднем кариесе 4 класса по Блеку</t>
  </si>
  <si>
    <t>Пластика уздечки языка</t>
  </si>
  <si>
    <t>А16.07.044</t>
  </si>
  <si>
    <t>Резекция верхушки корня</t>
  </si>
  <si>
    <t>А16.07.007</t>
  </si>
  <si>
    <t>Осмотр (консультация) врачом-рентгенологом терапевтический</t>
  </si>
  <si>
    <t>В01.039.001</t>
  </si>
  <si>
    <t>А06.04.011</t>
  </si>
  <si>
    <t>Рентгенография большой берцовой и малой берцовой костей</t>
  </si>
  <si>
    <t>А06.03.046</t>
  </si>
  <si>
    <t>Рентгенография средней части брюшной полости</t>
  </si>
  <si>
    <t>А06.17.001</t>
  </si>
  <si>
    <t>Рентгенография нижней части брюшной полости</t>
  </si>
  <si>
    <t>А06.19.001</t>
  </si>
  <si>
    <t>А06.03.041</t>
  </si>
  <si>
    <t>Рентгенография всего черепа, в одной или более проекциях</t>
  </si>
  <si>
    <t>А06.03.005</t>
  </si>
  <si>
    <t>А06.08.003.003</t>
  </si>
  <si>
    <t>А06.04.012</t>
  </si>
  <si>
    <t>А06.03.042</t>
  </si>
  <si>
    <t>Рентгенография грудино-ключичного сочленения</t>
  </si>
  <si>
    <t>А06.04.014</t>
  </si>
  <si>
    <t>А06.03.013</t>
  </si>
  <si>
    <t>А06.03.017</t>
  </si>
  <si>
    <t>А06.03.048</t>
  </si>
  <si>
    <t>Рентгенография акромиально-ключичного сустава</t>
  </si>
  <si>
    <t>А06.04.013</t>
  </si>
  <si>
    <t>Рентгенография большого пальца руки</t>
  </si>
  <si>
    <t>А06.03.035</t>
  </si>
  <si>
    <t>А06.03.055</t>
  </si>
  <si>
    <t>А06.07.008</t>
  </si>
  <si>
    <t>А06.26.001</t>
  </si>
  <si>
    <t>А06.08.001</t>
  </si>
  <si>
    <t>А06.03.027</t>
  </si>
  <si>
    <t>А06.08.002</t>
  </si>
  <si>
    <t>А06.03.024</t>
  </si>
  <si>
    <t>А06.03.014</t>
  </si>
  <si>
    <t>Рентгенография шейного отдела позвоночника</t>
  </si>
  <si>
    <t>А06.03.010</t>
  </si>
  <si>
    <t>А06.03.030</t>
  </si>
  <si>
    <t>А06.03.032</t>
  </si>
  <si>
    <t>А06.03.022</t>
  </si>
  <si>
    <t>А06.04.005</t>
  </si>
  <si>
    <t>А06.03.045</t>
  </si>
  <si>
    <t>Рентгенография костей лицевого скелета</t>
  </si>
  <si>
    <t>А06.03.056</t>
  </si>
  <si>
    <t>А06.09.007</t>
  </si>
  <si>
    <t>А06.04.003</t>
  </si>
  <si>
    <t>А06.03.029</t>
  </si>
  <si>
    <t>А06.03.026</t>
  </si>
  <si>
    <t>А06.04.004</t>
  </si>
  <si>
    <t>А06.04.002</t>
  </si>
  <si>
    <t>А06.07.009</t>
  </si>
  <si>
    <t>А06.08.004</t>
  </si>
  <si>
    <t>А06.03.003</t>
  </si>
  <si>
    <t>А06.08.005</t>
  </si>
  <si>
    <t>А06.03.054</t>
  </si>
  <si>
    <t>А06.03.034</t>
  </si>
  <si>
    <t>А06.03.007</t>
  </si>
  <si>
    <t>А06.03.025</t>
  </si>
  <si>
    <t>А06.04.010</t>
  </si>
  <si>
    <t>А06.03.051</t>
  </si>
  <si>
    <t>А06.03.019</t>
  </si>
  <si>
    <t>Рентгенография позвоночника, вертикальная</t>
  </si>
  <si>
    <t>А06.03.020</t>
  </si>
  <si>
    <t>А06.03.016</t>
  </si>
  <si>
    <t>А06.03.015</t>
  </si>
  <si>
    <t>В04.014.004</t>
  </si>
  <si>
    <t>Вакцинация</t>
  </si>
  <si>
    <t>Исследование уровня общего гемоглобина в крови</t>
  </si>
  <si>
    <t>А09.05.003</t>
  </si>
  <si>
    <t>Исследование уровня глюкозы в крови</t>
  </si>
  <si>
    <t>А09.05.023</t>
  </si>
  <si>
    <t>Исследование уровня глюкозы в моче</t>
  </si>
  <si>
    <t>А09.28.011</t>
  </si>
  <si>
    <t>Исследование скорости оседания эритроцитов</t>
  </si>
  <si>
    <t>А12.05.001</t>
  </si>
  <si>
    <t>А06.08.003</t>
  </si>
  <si>
    <t>А06.03.050</t>
  </si>
  <si>
    <t>Рентгенография ребра(ер)</t>
  </si>
  <si>
    <t>А06.03.023</t>
  </si>
  <si>
    <t>А06.03.038</t>
  </si>
  <si>
    <t>А06.03.008</t>
  </si>
  <si>
    <t>А06.03.052</t>
  </si>
  <si>
    <t>А06.03.033</t>
  </si>
  <si>
    <t>хозяйственные расходы (расходные материалы и предметы снабжения, оплата услуг связи, оплата коммунальных услуг и т.д.)</t>
  </si>
  <si>
    <t>3.1.</t>
  </si>
  <si>
    <t>коммунальные расходы</t>
  </si>
  <si>
    <t>3.2.</t>
  </si>
  <si>
    <t>расходы на услуги связи</t>
  </si>
  <si>
    <t>3.3.</t>
  </si>
  <si>
    <t>расходы на прочие материалы, в т.ч. ГСМ</t>
  </si>
  <si>
    <t>транспортные расходы производственного характера</t>
  </si>
  <si>
    <t>командировочные расходы</t>
  </si>
  <si>
    <t>расходы на содержание служебного автотранспорта</t>
  </si>
  <si>
    <t>аренда основных средств</t>
  </si>
  <si>
    <t>прочие общепроизводственные и общехозяйственные расходы</t>
  </si>
  <si>
    <t>Прочие расходы</t>
  </si>
  <si>
    <t>Расчет дополнительной заработной платы 
учитываемый при калькуляции услуги
 по специалистам</t>
  </si>
  <si>
    <t>за работу в ночное время 100 %</t>
  </si>
  <si>
    <t>за работу в праздничные и выходные дни</t>
  </si>
  <si>
    <t>оплата очередных ежегодных и дополнительных отпусков</t>
  </si>
  <si>
    <t>компенсация за неиспользованный отпуск</t>
  </si>
  <si>
    <t>оплата времени прохождения обязательных медицинских осмотров</t>
  </si>
  <si>
    <t>оплата времени выполнения государственных обязанностей</t>
  </si>
  <si>
    <t>оплата времени учебы с отрывом от производства в системе повышения квалификации и переподготовки кадров</t>
  </si>
  <si>
    <t>Учитываемый фонд заработной платы</t>
  </si>
  <si>
    <t>Доля дополнительной заработной платы 
к основной заработной плате</t>
  </si>
  <si>
    <t>врачебный персонал</t>
  </si>
  <si>
    <t>средний персонал</t>
  </si>
  <si>
    <t>ФЗП</t>
  </si>
  <si>
    <t>наименование</t>
  </si>
  <si>
    <t>цена</t>
  </si>
  <si>
    <t>кол-во</t>
  </si>
  <si>
    <t>начис-ление на ФЗП</t>
  </si>
  <si>
    <t>Износ оборудования и мед.инв</t>
  </si>
  <si>
    <t>Наименование должности (специальности)</t>
  </si>
  <si>
    <t>Врач-терапевт, врач-хирург (амбулаторно-клинического учреждения или больничного учреждения)</t>
  </si>
  <si>
    <t>Врач клинической лабораторной диагностики</t>
  </si>
  <si>
    <t>Медицинская сестра по специальности лабораторная диагностика</t>
  </si>
  <si>
    <t>Врач-рентгенолог, медицинская сестра по специальности рентгенология</t>
  </si>
  <si>
    <t>Врач-радиолог</t>
  </si>
  <si>
    <t>Врач функциональной диагностики</t>
  </si>
  <si>
    <t>Врач ультразвуковой диагностики</t>
  </si>
  <si>
    <t>Врач-эндоскопист</t>
  </si>
  <si>
    <t>Врач по лечебной физкультуре</t>
  </si>
  <si>
    <t>Врач-физиотерапевт</t>
  </si>
  <si>
    <t>Медицинская сестра по специальности медицинский массаж</t>
  </si>
  <si>
    <t>06.082</t>
  </si>
  <si>
    <t>Медицинская сестра по специальности физиотерапия</t>
  </si>
  <si>
    <t>Врач-психиатр, врач психиатр-нарколог</t>
  </si>
  <si>
    <t>Врач судебно-медицинский эксперт</t>
  </si>
  <si>
    <t>Нормативные коэффициенты использования рабочего времени</t>
  </si>
  <si>
    <t>УЕТ в год</t>
  </si>
  <si>
    <t>УЕТ в месяц</t>
  </si>
  <si>
    <t>Нормативный коэффициент, Кэф</t>
  </si>
  <si>
    <t>Кэф</t>
  </si>
  <si>
    <t>Врач, проводящие исключительно амбулаторный прием; 
врач-стоматолог-терапевт, врач-стоматолог-ортопед, зубной врач, зубной техник</t>
  </si>
  <si>
    <t>Врач ультрозвуковой диагностики,
Врач-эндоскопист</t>
  </si>
  <si>
    <t>08.014</t>
  </si>
  <si>
    <t>Исследование общего белка в крови + взятие крови</t>
  </si>
  <si>
    <t>Сахар крови+взятие крови</t>
  </si>
  <si>
    <t>10.011</t>
  </si>
  <si>
    <t>10.013</t>
  </si>
  <si>
    <t>10.015</t>
  </si>
  <si>
    <t>10.016</t>
  </si>
  <si>
    <t>10.017</t>
  </si>
  <si>
    <t>10.018</t>
  </si>
  <si>
    <t>10.019</t>
  </si>
  <si>
    <t>Определение белка в моче</t>
  </si>
  <si>
    <t>Гемоглобин + взятие крови</t>
  </si>
  <si>
    <t>Эритроциты+ взятие крови</t>
  </si>
  <si>
    <t>Тромбоциты+ взятие крови</t>
  </si>
  <si>
    <t>Время свертывания крови</t>
  </si>
  <si>
    <t>Лейкоцитарная формула(взятие крови из пальца+исследование)</t>
  </si>
  <si>
    <t>КОД 1.11.2</t>
  </si>
  <si>
    <t>КОД 1.18</t>
  </si>
  <si>
    <t>КОД 1.22</t>
  </si>
  <si>
    <t>КОД 1.23</t>
  </si>
  <si>
    <t>КОД 1.24</t>
  </si>
  <si>
    <t>КОД 1.25</t>
  </si>
  <si>
    <t>КОД 1.26</t>
  </si>
  <si>
    <t>КОД 1.28</t>
  </si>
  <si>
    <t>КОД 1.29</t>
  </si>
  <si>
    <t>КОД 1.31</t>
  </si>
  <si>
    <t>КОД 1.34</t>
  </si>
  <si>
    <t>КОД 1.36</t>
  </si>
  <si>
    <t>КОД 2.1.1</t>
  </si>
  <si>
    <t>Расшлифовка одной фиссуры, сошлифовка некротических масс при кариесе в стадии пятна одного зуба</t>
  </si>
  <si>
    <t>КОД 2.1.2</t>
  </si>
  <si>
    <t>КОД 2.1.3</t>
  </si>
  <si>
    <t>Закрытие 1 фисуры герметиком из светоотверждаемого композита композита</t>
  </si>
  <si>
    <t>Фуджи</t>
  </si>
  <si>
    <t>Лечение поверхностного кариеса методом серебрения</t>
  </si>
  <si>
    <t>КОД 2.1.4</t>
  </si>
  <si>
    <t>Наложение одной пломбы из цемента про поверхностном и среднем кариесе I и V класса по Блеку, кариес цемента корня</t>
  </si>
  <si>
    <t>Наложение одной пломбы из цемента про поверхностном и среднем кариесе II и III класса по Блеку</t>
  </si>
  <si>
    <t>Наложение одной пломбы из цемента про поверхностном и среднем кариесе IV класса по Блеку</t>
  </si>
  <si>
    <t>КОД 2.1.8</t>
  </si>
  <si>
    <t>Наложение одной пломбы  из композитов химического отверждения при поверхностном и среднем кариесе II и III класса по Блеку</t>
  </si>
  <si>
    <t>КОД 2.1.9</t>
  </si>
  <si>
    <t>Наложение одной пломбы  из композитов химического отверждения при поверхностном и среднем кариесе IV класса по Блеку</t>
  </si>
  <si>
    <t>КОД 2.1.10</t>
  </si>
  <si>
    <t>Наложение лечебной прокладки при глубоком кариесе</t>
  </si>
  <si>
    <t>Полировка пломбы из композита при лечении кариозных полостей  I,II,III,V класса по Блеку</t>
  </si>
  <si>
    <t>Полировка пломбы при реставрационных работах при лечении кариозных полостей  IV класса по Блеку</t>
  </si>
  <si>
    <t>КОД 2.4.12</t>
  </si>
  <si>
    <t>КОД 2.5.1</t>
  </si>
  <si>
    <t>КОД 3.1</t>
  </si>
  <si>
    <t>КОД 3.2</t>
  </si>
  <si>
    <t>КОД 3.3</t>
  </si>
  <si>
    <t>КОД 3.4</t>
  </si>
  <si>
    <t>КОД 3.5</t>
  </si>
  <si>
    <t>КОД 3.8</t>
  </si>
  <si>
    <t>КОД 3.9</t>
  </si>
  <si>
    <t>КОД 3.10</t>
  </si>
  <si>
    <t>КОД 3.11</t>
  </si>
  <si>
    <t>КОД 3.12</t>
  </si>
  <si>
    <t>КОД 3.15</t>
  </si>
  <si>
    <t>КОД 3.14</t>
  </si>
  <si>
    <t>УМСС</t>
  </si>
  <si>
    <t>Общие свойства мочи</t>
  </si>
  <si>
    <t>Фторлак</t>
  </si>
  <si>
    <t>Фторист.натрий</t>
  </si>
  <si>
    <t>Унифил</t>
  </si>
  <si>
    <t>геркулайт</t>
  </si>
  <si>
    <t>Ультракаин(убистезин)</t>
  </si>
  <si>
    <t>лидокаин</t>
  </si>
  <si>
    <t>лекарств.препарат</t>
  </si>
  <si>
    <t>лекарств.средства</t>
  </si>
  <si>
    <t>Проба Нечипоренко</t>
  </si>
  <si>
    <t>Гонококки-трихомонады (мазок)</t>
  </si>
  <si>
    <t>Исследование кала на гельминты</t>
  </si>
  <si>
    <t>Исследование кала на простейшие</t>
  </si>
  <si>
    <t>Общий анализ мочи</t>
  </si>
  <si>
    <t>Общий анализ крови ( взятие крови+ исследование)</t>
  </si>
  <si>
    <t>Калькуляция медицинского осмотра декретированной группы</t>
  </si>
  <si>
    <t xml:space="preserve"> " У    Т    В    Е    Р   Ж    Д    А    Ю "</t>
  </si>
  <si>
    <t xml:space="preserve"> Г  л  а  в  н  ы  й    в  р  а  ч </t>
  </si>
  <si>
    <t>______________________________ М.Н.Колодина</t>
  </si>
  <si>
    <t>износ мяг.инвентаря</t>
  </si>
  <si>
    <t>износ медоборудования</t>
  </si>
  <si>
    <t>Рентаб.</t>
  </si>
  <si>
    <t>01.001</t>
  </si>
  <si>
    <t>01.002</t>
  </si>
  <si>
    <t>01.003</t>
  </si>
  <si>
    <t>01.004</t>
  </si>
  <si>
    <t>01.011</t>
  </si>
  <si>
    <t>ФУНКЦИОНАЛЬНАЯ ДИАГНОСТИКА</t>
  </si>
  <si>
    <t>02.001</t>
  </si>
  <si>
    <t xml:space="preserve">ЭКГ в 12-ти отведениях </t>
  </si>
  <si>
    <t>Расчет на основании Классификатора  основных стоматологических лечебно-диагностических мероприятий и технологий</t>
  </si>
  <si>
    <t>КОД 1.6</t>
  </si>
  <si>
    <t>КОД 1.8</t>
  </si>
  <si>
    <t>КОД 1.12</t>
  </si>
  <si>
    <t>04.002</t>
  </si>
  <si>
    <t>Износ зданий и тв.инв.</t>
  </si>
  <si>
    <t>Косв.расх.</t>
  </si>
  <si>
    <t>Отановка кровотечения</t>
  </si>
  <si>
    <t xml:space="preserve">Лечение альвеолита с ревизией лунки </t>
  </si>
  <si>
    <t>Удаление ретинированного, дистопированного зуба</t>
  </si>
  <si>
    <t>Сложное удаление зуба с выкраиванием слизисто-надкостничного лоскута и резекцией костной пластинки с разъединением корня</t>
  </si>
  <si>
    <t>Удаление постоянного зуба</t>
  </si>
  <si>
    <t>Удаление временного зуба</t>
  </si>
  <si>
    <t>Удаление назубных отложений ручным способом полностью (не менее 5 зубов) с обязательным указанием зубной формулы</t>
  </si>
  <si>
    <t>04.004</t>
  </si>
  <si>
    <t>КАБИНЕТ СТОМАТОЛОГА</t>
  </si>
  <si>
    <t>05.001</t>
  </si>
  <si>
    <t>05.002</t>
  </si>
  <si>
    <t>05.003</t>
  </si>
  <si>
    <t>05.004</t>
  </si>
  <si>
    <t>05.005</t>
  </si>
  <si>
    <t>05.006</t>
  </si>
  <si>
    <t>05.007</t>
  </si>
  <si>
    <t>05.008</t>
  </si>
  <si>
    <t>Рентгенография  бедренного сустава</t>
  </si>
  <si>
    <t>Рентгенография  всего таза</t>
  </si>
  <si>
    <t>Рентгенография  всего черепа,в одной и более проекциях</t>
  </si>
  <si>
    <t>Рентгенография  головки и шейки бедренной кости</t>
  </si>
  <si>
    <t>Рентгенография  дорсального отдела позвоночника</t>
  </si>
  <si>
    <t>Рентгенография  крестца и копчика</t>
  </si>
  <si>
    <t>Рентгенография  лодыжки</t>
  </si>
  <si>
    <t>07.035</t>
  </si>
  <si>
    <t>07.036</t>
  </si>
  <si>
    <t>07.037</t>
  </si>
  <si>
    <t>07.038</t>
  </si>
  <si>
    <t>07.039</t>
  </si>
  <si>
    <t xml:space="preserve">Рентгенография межпозвоночных сочленений </t>
  </si>
  <si>
    <t>07.040</t>
  </si>
  <si>
    <t>07.041</t>
  </si>
  <si>
    <t>07.042</t>
  </si>
  <si>
    <t>07.043</t>
  </si>
  <si>
    <t>07.044</t>
  </si>
  <si>
    <t>07.045</t>
  </si>
  <si>
    <t>07.046</t>
  </si>
  <si>
    <t>07.047</t>
  </si>
  <si>
    <t>07.048</t>
  </si>
  <si>
    <t>07.049</t>
  </si>
  <si>
    <t>07.050</t>
  </si>
  <si>
    <t>А16.07.012</t>
  </si>
  <si>
    <t xml:space="preserve">Дренирование абсцесса полости рта и зубов               </t>
  </si>
  <si>
    <t>А16.07.014</t>
  </si>
  <si>
    <t xml:space="preserve">Лечение перикоронита (промывание, рассечение и/или иссечение капюшона)      </t>
  </si>
  <si>
    <t>А16.07.058</t>
  </si>
  <si>
    <t xml:space="preserve">Закрытый кюретаж при заболеваниях пародонта             </t>
  </si>
  <si>
    <t>А16.07.039</t>
  </si>
  <si>
    <t xml:space="preserve">Хирургическая обработка раны или инфицированной ткани   </t>
  </si>
  <si>
    <t xml:space="preserve">Удаление секвестра                                      </t>
  </si>
  <si>
    <t>А16.03.015</t>
  </si>
  <si>
    <t>Местное применение реминерализующих и фторосодержащих препаратов (1-4 зубов)</t>
  </si>
  <si>
    <t xml:space="preserve">Наложение повязки при нарушении целостности кожных покровов        </t>
  </si>
  <si>
    <t>А15.01.001</t>
  </si>
  <si>
    <t xml:space="preserve">Наложение иммобилизационной повязки при вывихах (подвывихах) зубов          </t>
  </si>
  <si>
    <t>А15.07.001</t>
  </si>
  <si>
    <t xml:space="preserve">Электрофорез лекарственных препаратов при патологии полости рта и зубов   </t>
  </si>
  <si>
    <t>А17.07.001</t>
  </si>
  <si>
    <t xml:space="preserve">Наложение повязки при операциях на органах полости рта  </t>
  </si>
  <si>
    <t>А15.07.002</t>
  </si>
  <si>
    <t>07.051</t>
  </si>
  <si>
    <t>07.052</t>
  </si>
  <si>
    <t>07.053</t>
  </si>
  <si>
    <t>07.054</t>
  </si>
  <si>
    <t>07.055</t>
  </si>
  <si>
    <t>07.056</t>
  </si>
  <si>
    <t>07.057</t>
  </si>
  <si>
    <t>07.058</t>
  </si>
  <si>
    <t xml:space="preserve">Прием беременной первичный </t>
  </si>
  <si>
    <t>Спринцевание</t>
  </si>
  <si>
    <t>Массаж при заболеваниях опорно-двигательного аппарата у детей раннего возраста</t>
  </si>
  <si>
    <t>Массаж и гимнастика у детей раннего возраста</t>
  </si>
  <si>
    <t>Массаж при хронических неспецифических заболевания легких</t>
  </si>
  <si>
    <t xml:space="preserve">Массаж при заболеваниях позвоночника </t>
  </si>
  <si>
    <t>Массаж рук</t>
  </si>
  <si>
    <t>Массаж ног</t>
  </si>
  <si>
    <t xml:space="preserve">Общий массаж </t>
  </si>
  <si>
    <t>КАБИНЕТ ХИРУРГА</t>
  </si>
  <si>
    <t>Массаж при переломе костей</t>
  </si>
  <si>
    <t>Массаж при заболеваниях сердца и перикарда</t>
  </si>
  <si>
    <t>Массаж при заболеваниях центральной нервной системы</t>
  </si>
  <si>
    <t>Массаж при заболеваниях периферической нервной системы</t>
  </si>
  <si>
    <t>Массаж век</t>
  </si>
  <si>
    <t>Массаж живота</t>
  </si>
  <si>
    <t>Прием врач-акушер-гинеколога первичный (высшей категории)</t>
  </si>
  <si>
    <t>Прием врача-акушер-гинеколога повторный (высшей категории)</t>
  </si>
  <si>
    <t>Профилактический прием врача-акушер-гинеколога</t>
  </si>
  <si>
    <t>Профилактический прием :</t>
  </si>
  <si>
    <t>04.047.02</t>
  </si>
  <si>
    <t>04.031.02</t>
  </si>
  <si>
    <t>04.023.02</t>
  </si>
  <si>
    <t>04.029.02</t>
  </si>
  <si>
    <t>04.028.02</t>
  </si>
  <si>
    <t>04.008.02</t>
  </si>
  <si>
    <t>Профилактический прием</t>
  </si>
  <si>
    <t>04.057.02</t>
  </si>
  <si>
    <t>06.09.008</t>
  </si>
  <si>
    <t>06.08.002</t>
  </si>
  <si>
    <t>06.03.057</t>
  </si>
  <si>
    <t>06.04.018</t>
  </si>
  <si>
    <t>06.04.016</t>
  </si>
  <si>
    <t>06.03.046</t>
  </si>
  <si>
    <t>06.03.041</t>
  </si>
  <si>
    <t>06.03.054</t>
  </si>
  <si>
    <t>06.07.008</t>
  </si>
  <si>
    <t>06.03.030</t>
  </si>
  <si>
    <t>06.03.006</t>
  </si>
  <si>
    <t>06.27.002</t>
  </si>
  <si>
    <t>06.26.001</t>
  </si>
  <si>
    <t>06.08.001</t>
  </si>
  <si>
    <t>06.04.017</t>
  </si>
  <si>
    <t>06.03.042</t>
  </si>
  <si>
    <t>06.03.033</t>
  </si>
  <si>
    <t>06.04.019</t>
  </si>
  <si>
    <t>06.03.025</t>
  </si>
  <si>
    <t>06.03.014</t>
  </si>
  <si>
    <t>06.03.015</t>
  </si>
  <si>
    <t>06.03.011</t>
  </si>
  <si>
    <t>06.03.036</t>
  </si>
  <si>
    <t>06.03.038</t>
  </si>
  <si>
    <t>06.03.022</t>
  </si>
  <si>
    <t>06.04.006</t>
  </si>
  <si>
    <t>06.03.008</t>
  </si>
  <si>
    <t>06.03.045</t>
  </si>
  <si>
    <t>06.03.018</t>
  </si>
  <si>
    <t>06.03.048</t>
  </si>
  <si>
    <t>06.04.004</t>
  </si>
  <si>
    <t>06.03.035</t>
  </si>
  <si>
    <t>06.03.032</t>
  </si>
  <si>
    <t>06.04.005</t>
  </si>
  <si>
    <t>Рентгенография межпозвоночных сочленений</t>
  </si>
  <si>
    <t>06.04.002</t>
  </si>
  <si>
    <t>06.07.009</t>
  </si>
  <si>
    <t>06.08.004</t>
  </si>
  <si>
    <t>06.03.003</t>
  </si>
  <si>
    <t>06.08.005</t>
  </si>
  <si>
    <t>06.03.053</t>
  </si>
  <si>
    <t>06.03.040</t>
  </si>
  <si>
    <t>06.03.031</t>
  </si>
  <si>
    <t>06.04.015</t>
  </si>
  <si>
    <t>06.03.034</t>
  </si>
  <si>
    <t>06.03.051</t>
  </si>
  <si>
    <t>06.03.020</t>
  </si>
  <si>
    <t>06.03.021</t>
  </si>
  <si>
    <t>06.03.016</t>
  </si>
  <si>
    <t>06.03.017</t>
  </si>
  <si>
    <t>06.08.003</t>
  </si>
  <si>
    <t>06.03.050</t>
  </si>
  <si>
    <t>06.03.023</t>
  </si>
  <si>
    <t>06.03.027</t>
  </si>
  <si>
    <t>06.03.009</t>
  </si>
  <si>
    <t>06.03.052</t>
  </si>
  <si>
    <t>06.03.039</t>
  </si>
  <si>
    <t>Тампонирование лечебное влагалища</t>
  </si>
  <si>
    <t>Хирургическая обработка раны или инфицированной ткани</t>
  </si>
  <si>
    <t>16.01.005</t>
  </si>
  <si>
    <t>06.083</t>
  </si>
  <si>
    <t>Медицинская сестра перевязочная, операционная нейрохирургического, отоларингологического отделений, гнойной хирургии; медсестра операционная кабинета рентгенохирургических методов диагностики и лечения, отделения рентгеноударноволнового дистанционного дробления камней</t>
  </si>
  <si>
    <t>Медсестра врачебного кабинета, физиотерапевтического кабинета, инструктор, зубной техник</t>
  </si>
  <si>
    <t>Предрейсовый медицинский осмотр водителей сторонним организациям</t>
  </si>
  <si>
    <t>ведущий</t>
  </si>
  <si>
    <t>Психолог, физиолог, воспитатель</t>
  </si>
  <si>
    <t>Медицинская сестра нейрохирургического отделения; 
медицинская сестра гиперборической оксигенации; 
медицинская сестра психиатрического, наркологического, кожно-венерологического кабинетов, отделения переливания крови</t>
  </si>
  <si>
    <t>Прочие прямые расходы</t>
  </si>
  <si>
    <t>Микроскопическое исследование осадка мочи</t>
  </si>
  <si>
    <t>А09.28.001</t>
  </si>
  <si>
    <t>Расчет коэффициента накладных расходов</t>
  </si>
  <si>
    <t>Всего</t>
  </si>
  <si>
    <t>К накладных расходов =</t>
  </si>
  <si>
    <t>за работу в ночное время 40 %</t>
  </si>
  <si>
    <t>за разрывной характер работы</t>
  </si>
  <si>
    <t>оплата за преданность компании работников НУЗ (врачебного, среднего медицинского персонала)</t>
  </si>
  <si>
    <t>Прием врача-терапевта первичный</t>
  </si>
  <si>
    <t xml:space="preserve">Прием врача-педиатра первичный </t>
  </si>
  <si>
    <t xml:space="preserve">Прием врача-невролога первичный  </t>
  </si>
  <si>
    <t xml:space="preserve">Прием врача-офтальмолога первичный  </t>
  </si>
  <si>
    <t>Прием врача-терапевта повторный</t>
  </si>
  <si>
    <t xml:space="preserve">Прием врача-педиатра повторный </t>
  </si>
  <si>
    <t xml:space="preserve">Прием врача-невролога повторный  </t>
  </si>
  <si>
    <t xml:space="preserve">Прием врача-офтальмолога повторный  </t>
  </si>
  <si>
    <t>Прием врача-терапевта профилактический</t>
  </si>
  <si>
    <t>А09.19.002</t>
  </si>
  <si>
    <t>Исследование уровня общего белка в крови</t>
  </si>
  <si>
    <t>А09.05.010</t>
  </si>
  <si>
    <t>Соотношение лейкоцитов в крови (подсчет формулы крови)</t>
  </si>
  <si>
    <t>А08.05.006</t>
  </si>
  <si>
    <t>Исследование уровня лейкоцитов в крови</t>
  </si>
  <si>
    <t>А08.05.004</t>
  </si>
  <si>
    <t>Общий (клинический) анализ крови</t>
  </si>
  <si>
    <t>В03.016.002</t>
  </si>
  <si>
    <t>Общий (клинический) анализ крови развернутый</t>
  </si>
  <si>
    <t>В03.016.003</t>
  </si>
  <si>
    <t>В03.016.006</t>
  </si>
  <si>
    <t>А09.28.003</t>
  </si>
  <si>
    <t>Исследование уровня тромбоцитов в крови</t>
  </si>
  <si>
    <t>А08.05.005</t>
  </si>
  <si>
    <t>Исследование уровня холестерина в крови</t>
  </si>
  <si>
    <t>А09.05.026</t>
  </si>
  <si>
    <t>Исследование уровня эритроцитов в крови</t>
  </si>
  <si>
    <t>А08.05.003</t>
  </si>
  <si>
    <t>Экономист                                                           С.И. Локтионова</t>
  </si>
  <si>
    <t xml:space="preserve">Прием врача-педиатра профилактический </t>
  </si>
  <si>
    <t>Прием врача-невролога профилактический</t>
  </si>
  <si>
    <t xml:space="preserve">Прием врача-офтальмолога профилактический  </t>
  </si>
  <si>
    <t xml:space="preserve">Оказание услуг на дому врача-терапевта  </t>
  </si>
  <si>
    <t>Оказание услуг на дому врача-педиатра</t>
  </si>
  <si>
    <t>Оказание услуг на дому врача-хирурга</t>
  </si>
  <si>
    <t>Оказание услуг на дому врача-невролога</t>
  </si>
  <si>
    <t>Рейд наркологического контроля</t>
  </si>
  <si>
    <t>заведующие отделениями (в том числе операционным отделением, приемным отделением, зав.поликлиники)</t>
  </si>
  <si>
    <t>Врач-специалист (выездной бригады скорой медицинской помощи; постоянно действующего передвижного медицинского отряда (установки); общей практики (семейный); неонатолог и другие должности врачей-специалистов,  оплата труда которых производится по аналогии с врачами указанных специальностей)</t>
  </si>
  <si>
    <t>балан-совая стои-мость</t>
  </si>
  <si>
    <t>Итого себесто-имость услуги, руб.</t>
  </si>
  <si>
    <t>Прием врача первичный :</t>
  </si>
  <si>
    <t>Прием врача повторный :</t>
  </si>
  <si>
    <t>стоимость I УЕТ :</t>
  </si>
  <si>
    <t>Трудозатраты :</t>
  </si>
  <si>
    <t>коэффициент заработной платы 
общеучрежденческого персонала</t>
  </si>
  <si>
    <t>Процент индексации заработной платы, с начала года</t>
  </si>
  <si>
    <t>при наличии в подчинении до 6,5 врачебных должностей</t>
  </si>
  <si>
    <t>Услуги процедурного кабинета</t>
  </si>
  <si>
    <t>Оказание услуг на дому</t>
  </si>
  <si>
    <t>ед. изм.</t>
  </si>
  <si>
    <t>сумма на услугу</t>
  </si>
  <si>
    <t>сумма износа на услугу</t>
  </si>
  <si>
    <t>Износ зданий и помещений, 
твердого инвентаря</t>
  </si>
  <si>
    <t>м.кв.</t>
  </si>
  <si>
    <t>баланс. стоим., у зданий на1м.кв.</t>
  </si>
  <si>
    <t>Врач-терапевт цехового врачебного участка</t>
  </si>
  <si>
    <t>Врач гиперборической оксигенации;
Врач кожно-венерологического кабинета;
Врач-психиатр, врач-нарколог;
Врач нейрохирургического отделения;
Врач отделения переливания крови.</t>
  </si>
  <si>
    <t>Калькуляция медицинских услуг на приеме в НУЗ</t>
  </si>
  <si>
    <t>Калькуляция параклинических медицинских услуг в поликлинике</t>
  </si>
  <si>
    <t>АМБУЛАТОРНО-ПОЛИКЛИНИЧЕСКАЯ ПОМОЩЬ</t>
  </si>
  <si>
    <t>КОД УСЛУГИ</t>
  </si>
  <si>
    <t>НАИМЕНОВАНИЕ УСЛУГИ</t>
  </si>
  <si>
    <t>Осн. з/пл</t>
  </si>
  <si>
    <t>Начисл. на з/пл</t>
  </si>
  <si>
    <t>Мед-ты</t>
  </si>
  <si>
    <t>С/ст-ть</t>
  </si>
  <si>
    <t>ИТОГО</t>
  </si>
  <si>
    <t xml:space="preserve"> - Для женщин, работающих в сельской местности устанавливается 36-часовая рабочая неделя, если  меньшая  продолжительность рабочей недели не предусмотрена иными законодательными актами, коллективным договором НУЗ.</t>
  </si>
  <si>
    <t>Руководитель  УКС                                                             Главный врач</t>
  </si>
  <si>
    <t>Департамента личных                                                         НУЗ "Узловая поликлиника на ст.Наушки</t>
  </si>
  <si>
    <t>видов страхования                                                             ОАО "РЖД"</t>
  </si>
  <si>
    <t>______________ Е.А. Фомина                                             _______________ М.Н.Колодина</t>
  </si>
  <si>
    <t>Рассчитывается на врачебный и средний медицинский персонал</t>
  </si>
  <si>
    <t>Калькуляция медицинских услуг стоматологии</t>
  </si>
  <si>
    <t>Используемые коэффициенты расчета</t>
  </si>
  <si>
    <t>Врач бактериолог</t>
  </si>
  <si>
    <t>Врач-эпидемиолог</t>
  </si>
  <si>
    <t>Помощник врача-эпидемиолога</t>
  </si>
  <si>
    <t>Врачи-физиотерапевты, работающие на медицинских установках с генератором ультракоротковолновой частоты "УКВЧ" мощностью свыше 200 Вт</t>
  </si>
  <si>
    <t>Медицинская сестра, работающая с врачом-физиотерапевтом на медицинских установках с генератором ультракоротковолновой частоты "УКВЧ" мощностью свыше 200 Вт</t>
  </si>
  <si>
    <t>Стоимость 1 УЕТ</t>
  </si>
  <si>
    <t>Для женщин работающих в районах Крайнего Севера и в сельской местности</t>
  </si>
  <si>
    <t>Не врачебные специальности, приравненные по оплате труда к врачебным работникам</t>
  </si>
  <si>
    <t>Медсестра процедурной, перевязочная, эндоскопического отделения стационара, операционная, палатная (хирургических, инфекционного отделений), анестезист</t>
  </si>
  <si>
    <t>Медсестра палатная (терапевтического и прочих отделений не указанных отдельно)</t>
  </si>
  <si>
    <t>Медицинская сестра палатная, процедурная отоларингологического отделений, гнойной хирургии, нейрохирургического отделения (для больных с поражением спинного мозга)</t>
  </si>
  <si>
    <t>Заведующий клинической лабораторией:</t>
  </si>
  <si>
    <t>Рентгеноударноволнового дистанционного дробления, кабинета рентгенохирургических методов диагностики и лечения</t>
  </si>
  <si>
    <t>Врач-эпидемиолог, помощник врача-эпидемиолога</t>
  </si>
  <si>
    <t xml:space="preserve">Врач-бактериолог, фельдшер-бактериолог </t>
  </si>
  <si>
    <t>Наложение одной пломбы из цемента при поверхностном и среднем кариесе 1и 5 класса по Блеку</t>
  </si>
  <si>
    <t>Наложение одной пломбы из цемента при поверхностном и среднем кариесе 2 и 3 класса по Блеку</t>
  </si>
  <si>
    <t>Наложение одной пломбы из цемента при поверхностном и среднем кариесе 4 класса по Блеку</t>
  </si>
  <si>
    <t xml:space="preserve">Лечение периодонтита в 2-3 посещения  1 канального зуба с наложением пломбы из композита химического отверждения </t>
  </si>
  <si>
    <t xml:space="preserve">Лечение периодонтита в 2-3 посещения  2 канального зуба с наложением пломбы из композита химического отверждения </t>
  </si>
  <si>
    <t>Лечение периодонтита в 2-3 посещения  3 канального зуба с наложением пломбы из композита химического отверждения</t>
  </si>
  <si>
    <t>Лечение периодонтита в 2-3 посещения  1 канального зуба с наложением пломбы из фотокомпозита</t>
  </si>
  <si>
    <t>Лечение периодонтита в 2-3 посещения  2 канального зуба с наложением пломбы из фотокомпозита</t>
  </si>
  <si>
    <t>Лечение периодонтита в 2-3 посещения 3 канального зуба с наложением пломбы из фотокомпозита</t>
  </si>
  <si>
    <t>Ленечие периодонтита в 2-3 посещения 3 канального зуба с наложением пломбы из фотокомпозита</t>
  </si>
  <si>
    <t>В01.047.001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</si>
  <si>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</si>
  <si>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</si>
  <si>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В01.047.002</t>
  </si>
  <si>
    <t xml:space="preserve">Прием (осмотр, консультация) врача-педиатра первичный </t>
  </si>
  <si>
    <t>В01.031.001</t>
  </si>
  <si>
    <t xml:space="preserve">Прием (осмотр, консультация) врача-педиатра повторный </t>
  </si>
  <si>
    <t>В01.031.002</t>
  </si>
  <si>
    <t xml:space="preserve">Прием (осмотр, консультация) врача-невролога первичный  </t>
  </si>
  <si>
    <t>В01.023.001</t>
  </si>
  <si>
    <t xml:space="preserve">Прием (осмотр, консультация) врача-невролога повторный  </t>
  </si>
  <si>
    <t>В01.023.002</t>
  </si>
  <si>
    <t xml:space="preserve">Прием (осмотр, консультация) врача-офтальмолога первичный  </t>
  </si>
  <si>
    <t>В01.029.001</t>
  </si>
  <si>
    <t xml:space="preserve">Прием (осмотр, консультация) врача-офтальмолога повторный  </t>
  </si>
  <si>
    <t>В01.029.002</t>
  </si>
  <si>
    <t>В01.028.001</t>
  </si>
  <si>
    <t xml:space="preserve">Прием (осмотр, консультация) врача-оториноларинголога повторный  </t>
  </si>
  <si>
    <t xml:space="preserve">Прием (осмотр, консультация) врача-оториноларинголога первичный  </t>
  </si>
  <si>
    <t>В01.028.002</t>
  </si>
  <si>
    <t xml:space="preserve">Прием (осмотр, консультация) врача-дерматовенеролога первичный  </t>
  </si>
  <si>
    <t>В01.008.001</t>
  </si>
  <si>
    <t xml:space="preserve">Прием (осмотр, консультация) врача-дерматовенеролога повторный  </t>
  </si>
  <si>
    <t>В01.008.002</t>
  </si>
  <si>
    <t xml:space="preserve">Прием (осмотр, консультация) врача-эндокринолога первичный  </t>
  </si>
  <si>
    <t>В01.058.001</t>
  </si>
  <si>
    <t xml:space="preserve">Прием (осмотр, консультация) врача-эндокринолога повторный  </t>
  </si>
  <si>
    <t>В01.058.002</t>
  </si>
  <si>
    <t xml:space="preserve">Профилактический прием (осмотр, консультация) врача-дерматовенеролога </t>
  </si>
  <si>
    <t>В04.008.002</t>
  </si>
  <si>
    <t xml:space="preserve">Профилактический прием (осмотр, консультация) врача-акушера-гинеколога </t>
  </si>
  <si>
    <t>В04.001.002</t>
  </si>
  <si>
    <t xml:space="preserve">Профилактический прием (осмотр, консультация) врача-невролога </t>
  </si>
  <si>
    <t>В04.023.002</t>
  </si>
  <si>
    <t>Профилактический прием (осмотр, консультация) врача-оториноларинголога</t>
  </si>
  <si>
    <t>В04.028.002</t>
  </si>
  <si>
    <t>Профилактический прием (осмотр, консультация) врача-педиатра</t>
  </si>
  <si>
    <t>В04.031.002</t>
  </si>
  <si>
    <t>Профилактический прием (осмотр, консультация) врача-офтальмолога</t>
  </si>
  <si>
    <t>В04.029.002</t>
  </si>
  <si>
    <t>Профилактический прием (осмотр, консультация) врача-терапевта</t>
  </si>
  <si>
    <t>В04.047.002</t>
  </si>
  <si>
    <t>В02.031.001</t>
  </si>
  <si>
    <t>Внутривенное введение лекрственных препаратов</t>
  </si>
  <si>
    <t>А11.12.003</t>
  </si>
  <si>
    <t>Внутримышечное введение лекрственных препаратов</t>
  </si>
  <si>
    <t>А11.02.002</t>
  </si>
  <si>
    <t>Наложение компресса на кожу</t>
  </si>
  <si>
    <t>А24.01.002</t>
  </si>
  <si>
    <t>А14.19.002</t>
  </si>
  <si>
    <t>Прием (осмотр, консультация) врача-акушера-гинеколога первичный</t>
  </si>
  <si>
    <t>В01.001.001</t>
  </si>
  <si>
    <t>Прием (осмотр, консультация) врача-акушера-гинеколога повторный</t>
  </si>
  <si>
    <t>В01.001.002</t>
  </si>
  <si>
    <t>А02.20.001</t>
  </si>
  <si>
    <t xml:space="preserve">Прием (осмотр, консультация) врача-акушера-гинеколога беременной первичный </t>
  </si>
  <si>
    <t>В01.001.003</t>
  </si>
  <si>
    <t>Прием (осмотр, консультация) врача-акушера-гинеколога беременной повторный</t>
  </si>
  <si>
    <t>В01.001.004</t>
  </si>
  <si>
    <t>А11.20.005</t>
  </si>
  <si>
    <t>Спринцевание влагалища</t>
  </si>
  <si>
    <t>А14.20.001</t>
  </si>
  <si>
    <t>А11.20.013</t>
  </si>
  <si>
    <t>Прием (осмотр, консультация) врача-хирурга первичный</t>
  </si>
  <si>
    <t>В01.057.001</t>
  </si>
  <si>
    <t>Прием врача-терапевта прафилактический</t>
  </si>
  <si>
    <t xml:space="preserve">Прием врача-оториноларинголога прафилактический </t>
  </si>
  <si>
    <t>Прием врача-дерматовенеролога  прафилактический</t>
  </si>
  <si>
    <t>1. Работники гостиниц, общежитий, пассажирских вагонов</t>
  </si>
  <si>
    <t>Обязательные предварительные и периодические мед.осмотры согласно ПРИКАЗА МЗ и СР РФ № 302-н от 12.04.2011г.</t>
  </si>
  <si>
    <t>2. Работы в организациях бытового обслуживания  ( банщики, работники душевых, парикмахерских)</t>
  </si>
  <si>
    <t>3. Работы в организациях общественного питания, торговли,буфетах, на пищеблоках, в том числе на транспорте</t>
  </si>
  <si>
    <t>4. Работы в образовательных организациях всех типов</t>
  </si>
  <si>
    <t>МЕДИЦИНСКИЙ ОСМОТР Приказ № 302-н МЗ и РС РФ от12.04.2011г.</t>
  </si>
  <si>
    <t>,</t>
  </si>
  <si>
    <t>надбавка за напряженный труд</t>
  </si>
  <si>
    <t>Главный бухгалтер                                                                                                                    Е.О.Ощепкова</t>
  </si>
  <si>
    <t>на    2016  год</t>
  </si>
  <si>
    <t>Среднемесячное количество пациенто-дней, план 2016 года</t>
  </si>
  <si>
    <t xml:space="preserve">Спринцевание </t>
  </si>
  <si>
    <t>Наложение одной пломбы  из фотокомпозитов  при поверхностном и среднем кариесе II и III класса по Блеку</t>
  </si>
  <si>
    <t>Наложение одной пломбы  из фотокомпозитов при поверхностном и среднем кариесе IV класса по Блеку</t>
  </si>
  <si>
    <t>302.24</t>
  </si>
  <si>
    <t>Прием (осмотр, консультация) врача-хирурга повторный</t>
  </si>
  <si>
    <t>В01.057.002</t>
  </si>
  <si>
    <t xml:space="preserve">Профилактический прием (осмотр, консультация) врача-хирурга </t>
  </si>
  <si>
    <t>В04.057.002</t>
  </si>
  <si>
    <t>А16.01.002</t>
  </si>
  <si>
    <t>А16.01.011</t>
  </si>
  <si>
    <t>А16.25.015</t>
  </si>
  <si>
    <t xml:space="preserve">Прием врача-дерматовенеролога повторный  </t>
  </si>
  <si>
    <t xml:space="preserve">Прием врача-эндокринолога повторный  </t>
  </si>
  <si>
    <t xml:space="preserve">Прием врача-оториноларинголога профилактический  </t>
  </si>
  <si>
    <t>Прием врача-дерматовенеролога профилактический</t>
  </si>
  <si>
    <t>Прием врача-акушера-гинеколога первичный</t>
  </si>
  <si>
    <t>Прием врача-акушера-гинеколога повторный</t>
  </si>
  <si>
    <t xml:space="preserve">Профилактический прием врача-акушера-гинеколога </t>
  </si>
  <si>
    <t>Флюорография легких</t>
  </si>
  <si>
    <t>06.09.006</t>
  </si>
  <si>
    <t>Флюорограф</t>
  </si>
  <si>
    <t>Внутрисуставное введение лекарственных препаратов</t>
  </si>
  <si>
    <t>А11.04.004</t>
  </si>
  <si>
    <t>А16.01.004</t>
  </si>
  <si>
    <t>Прием (осмотр, консультация) врача-стоматолога первичный</t>
  </si>
  <si>
    <t>В01.064.001</t>
  </si>
  <si>
    <t>Прием (осмотр, консультация) врача-стоматолога повторный</t>
  </si>
  <si>
    <t>В01.064.002</t>
  </si>
  <si>
    <t xml:space="preserve">Медицинский осмотр </t>
  </si>
  <si>
    <t>Стоимость 1 УЕТ для должностей и (или) специальностей медицинских работников, организаций, а также отделений, палат, кабинетов и условий труда, работа в которых дает право на сокращенную рабочую неделю</t>
  </si>
  <si>
    <t>Врач, мед. сестра кабинета гиперборической оксигенации</t>
  </si>
  <si>
    <t>Врачи, проводящие исключительно амбулаторный прием</t>
  </si>
  <si>
    <t xml:space="preserve"> - Для медицинских сестер, работающих с врачами, не указанных в табл., используется коэффициент, используемый для врачей соответствующей специальности.</t>
  </si>
  <si>
    <t>Врач-стоматолог-терапевт, врач-стоматолог-ортопед, зубной врач, зубной техник</t>
  </si>
  <si>
    <t>Врач-психиатр, врач-рентгенолог, врач-стоматолог-ортопед, врач клинической лабораторной диагностики, врач-УЗИ, врач-эндоскопист, врач-дерматовенеролог, врач-эпидемиолог</t>
  </si>
  <si>
    <t>Зубной врач, медицинский технолог</t>
  </si>
  <si>
    <t>Врачи, средний мед.персонал физиотерапевтических отделений работающий полный рабочий день на установках УКВЧ мощностью более 200 Вт</t>
  </si>
  <si>
    <t>Врачи, средний медицинский персонал рентгенологических отделений</t>
  </si>
  <si>
    <t>Отоларингологического отделения, гнойной хирургии</t>
  </si>
  <si>
    <t>Врачи, средний медицинский персонал патологоанатомических отделений</t>
  </si>
  <si>
    <t>Заведующий патолого-анатомическим отделением:</t>
  </si>
  <si>
    <t>Оформление выписки из медицинской карты стоматологического больного</t>
  </si>
  <si>
    <t xml:space="preserve"> 09.05.001-11.05.001</t>
  </si>
  <si>
    <t>12.05.015-11.05.001</t>
  </si>
  <si>
    <t xml:space="preserve">Длительность кровотечения (взятие крови +исследование) </t>
  </si>
  <si>
    <t>09.19.012</t>
  </si>
  <si>
    <t>09.19.003</t>
  </si>
  <si>
    <t>11.05.001-12.05.001</t>
  </si>
  <si>
    <t>11.05.001-09.05.023</t>
  </si>
  <si>
    <t>09.028.011</t>
  </si>
  <si>
    <t>11.05.001-08.05.004</t>
  </si>
  <si>
    <t>09.05.010-11.05.001</t>
  </si>
  <si>
    <t>11.05.001-08.05.005</t>
  </si>
  <si>
    <t>11.05.001-09.05.026</t>
  </si>
  <si>
    <t>Компресс на кожу 24.01.002</t>
  </si>
  <si>
    <t>внутримышечное введение лекарственных средств       11.02.002</t>
  </si>
  <si>
    <t>Длительность кровотечения</t>
  </si>
  <si>
    <t>Общий анализ крови развернутый</t>
  </si>
  <si>
    <t>УСЛУГИ ПРОЦЕДУРНОГО КАБИНЕТА</t>
  </si>
  <si>
    <t>04.001</t>
  </si>
  <si>
    <t>04.003</t>
  </si>
  <si>
    <t>04.005</t>
  </si>
  <si>
    <t>04.006</t>
  </si>
  <si>
    <t>Взятие крови из вены, кровопускание</t>
  </si>
  <si>
    <t>Компресс на кожу</t>
  </si>
  <si>
    <t>Постановка очистительной клизмы</t>
  </si>
  <si>
    <t>Вакцинация ( введение вакцины)</t>
  </si>
  <si>
    <t>Рентгенография  гайморовой пазухи</t>
  </si>
  <si>
    <t>Рентгенография нижней челюсти в боковой поекции</t>
  </si>
  <si>
    <t>Рентгенография  большой берцовой  и малой берцовой кости</t>
  </si>
  <si>
    <t>Рентгенография  грудино-ключичного сочлениия</t>
  </si>
  <si>
    <t>"СОГЛАСОВАНО"                                                                "УТВЕРЖДАЮ"</t>
  </si>
  <si>
    <t>Председатель                                                                      Главный врач</t>
  </si>
  <si>
    <t>РДМО НА ВСЖД -филиал ОАО "РЖД"                                   ОАО "РЖД"</t>
  </si>
  <si>
    <t>П   Р   Е   Й   С   К   У   Р   А   Н   Т</t>
  </si>
  <si>
    <t>СУММА (руб.)</t>
  </si>
  <si>
    <t>01.005</t>
  </si>
  <si>
    <t>01.006</t>
  </si>
  <si>
    <t>01.007</t>
  </si>
  <si>
    <t>01.008</t>
  </si>
  <si>
    <t>01.009</t>
  </si>
  <si>
    <t>01.010</t>
  </si>
  <si>
    <t>01.012</t>
  </si>
  <si>
    <t>01.013</t>
  </si>
  <si>
    <t>01.014</t>
  </si>
  <si>
    <t>01.015</t>
  </si>
  <si>
    <t>01.016</t>
  </si>
  <si>
    <t>01.017</t>
  </si>
  <si>
    <t>01.018</t>
  </si>
  <si>
    <t>01.019</t>
  </si>
  <si>
    <t>01.020</t>
  </si>
  <si>
    <t>01.021</t>
  </si>
  <si>
    <t>01.022</t>
  </si>
  <si>
    <t>01.023</t>
  </si>
  <si>
    <t>01.024</t>
  </si>
  <si>
    <t>01.025</t>
  </si>
  <si>
    <t>НУЗ "Узловая поликлиника на станции Наушки ОАО "РЖД"</t>
  </si>
  <si>
    <t>03.001</t>
  </si>
  <si>
    <t>03.002</t>
  </si>
  <si>
    <t>03.003</t>
  </si>
  <si>
    <t>03.004</t>
  </si>
  <si>
    <t>03.005</t>
  </si>
  <si>
    <t>03.006</t>
  </si>
  <si>
    <t>04.007</t>
  </si>
  <si>
    <t>04.008</t>
  </si>
  <si>
    <t>04.009</t>
  </si>
  <si>
    <t>06.002</t>
  </si>
  <si>
    <t>06.003</t>
  </si>
  <si>
    <t>06.004</t>
  </si>
  <si>
    <t>06.005</t>
  </si>
  <si>
    <t>06.007</t>
  </si>
  <si>
    <t>06.008</t>
  </si>
  <si>
    <t>06.009</t>
  </si>
  <si>
    <t>06.010</t>
  </si>
  <si>
    <t>06.011</t>
  </si>
  <si>
    <t>06.012</t>
  </si>
  <si>
    <t>06.013</t>
  </si>
  <si>
    <t>06.014</t>
  </si>
  <si>
    <t>06.015</t>
  </si>
  <si>
    <t>06.016</t>
  </si>
  <si>
    <t>06.017</t>
  </si>
  <si>
    <t>06.018</t>
  </si>
  <si>
    <t>06.019</t>
  </si>
  <si>
    <t>06.020</t>
  </si>
  <si>
    <t>06.021</t>
  </si>
  <si>
    <t>06.022</t>
  </si>
  <si>
    <t>06.023</t>
  </si>
  <si>
    <t>06.025</t>
  </si>
  <si>
    <t>06.026</t>
  </si>
  <si>
    <t>06.027</t>
  </si>
  <si>
    <t>06.028</t>
  </si>
  <si>
    <t>06.029</t>
  </si>
  <si>
    <t>06.030</t>
  </si>
  <si>
    <t>06.031</t>
  </si>
  <si>
    <t>06.032</t>
  </si>
  <si>
    <t>06.033</t>
  </si>
  <si>
    <t>06.034</t>
  </si>
  <si>
    <t>06.035</t>
  </si>
  <si>
    <t>06.036</t>
  </si>
  <si>
    <t>06.037</t>
  </si>
  <si>
    <t>06.038</t>
  </si>
  <si>
    <t>06.039</t>
  </si>
  <si>
    <t>06.040</t>
  </si>
  <si>
    <t>06.041</t>
  </si>
  <si>
    <t>06.042</t>
  </si>
  <si>
    <t>06.043</t>
  </si>
  <si>
    <t>06.044</t>
  </si>
  <si>
    <t>06.045</t>
  </si>
  <si>
    <t>06.046</t>
  </si>
  <si>
    <t>06.047</t>
  </si>
  <si>
    <t>06.048</t>
  </si>
  <si>
    <t>06.049</t>
  </si>
  <si>
    <t>06.050</t>
  </si>
  <si>
    <t>07.003</t>
  </si>
  <si>
    <t>07.004</t>
  </si>
  <si>
    <t>07.021</t>
  </si>
  <si>
    <t>МАССАЖНЫЙ КАБИНЕТ (1 посещение)</t>
  </si>
  <si>
    <t>09.014</t>
  </si>
  <si>
    <t>Фельдшер-лаборант, лаборант клинической лабораторной диагностики</t>
  </si>
  <si>
    <t>Медицинская сестра по массажу</t>
  </si>
  <si>
    <t>Медицинская сестра по физиотерапии</t>
  </si>
  <si>
    <t>Врач-рентгенолог;
врач патолого-анатомического отделения</t>
  </si>
  <si>
    <t>норма раб.времени в год, часов</t>
  </si>
  <si>
    <t>Зубной врач, зубной техник</t>
  </si>
  <si>
    <t>Фельдшер-бактериолог</t>
  </si>
  <si>
    <t>Фельдшер-лаборант, лаборант патолого-анатомического отделения</t>
  </si>
  <si>
    <t>Аппликация лекарственного препарата на слизистую оболочку полости рта (1 сеанс)</t>
  </si>
  <si>
    <t>Лечение глубокого  кариеса 1,2, 5 класса по Блеку с наложением лечебной (изолирующей) прокладки и наложением пломбы изфотокомпозита</t>
  </si>
  <si>
    <t>Лечение глубокого  кариеса  4 класса по Блеку с наложением лечебной (изолирующей )прокладки и наложением фотокомпозита</t>
  </si>
  <si>
    <t>Лечение глубокого  кариеса 1,2, 5 класса по Блеку с наложением лечебной (изолирующей) прокладки и наложением пломбы из фотокомпозита</t>
  </si>
  <si>
    <t>Лечение глубокого  кариеса 3 класса по Блеку с наложением лечебной (изолирующей) прокладки и наложением фотокомпозита</t>
  </si>
  <si>
    <t>Лечение глубокого  кариеса с наложением лечебной (изолирующей) прокладки и композита химического отверждения</t>
  </si>
  <si>
    <t>Лечение пульпита в 2-3 посещения 1 канального  зуба с наложением пломбы из фотокомпозита</t>
  </si>
  <si>
    <t>Лечение пульпита в 2-3 посещения 2 канального  зуба с наложением пломбы из фотокомпозита</t>
  </si>
  <si>
    <t>Лечение пульпита в 2-3 посещения 3 канального  зуба с наложением пломбы из фотокомпозита</t>
  </si>
  <si>
    <t>Рентгенография  плечевой кости</t>
  </si>
  <si>
    <t>Рентгенография  шейного отдела позвоночника</t>
  </si>
  <si>
    <t>Состав заработной платы врачебного и среднего персонал</t>
  </si>
  <si>
    <t>специальность врача</t>
  </si>
  <si>
    <t>без категории</t>
  </si>
  <si>
    <t xml:space="preserve">Заведующий отделением (лабораторией), амбулаторией, дневным стационаром, кабинетом, руководитель центра </t>
  </si>
  <si>
    <t>Хирургического профиля, лабораторией, руководитель хирургического центра</t>
  </si>
  <si>
    <t>при наличии в подчинении до 6,5  врачебных должностей</t>
  </si>
  <si>
    <t>при наличии в подчинении более 6,5 врачебных должностей</t>
  </si>
  <si>
    <t>высшая квалификационная категория</t>
  </si>
  <si>
    <t>первая квалификационная категория</t>
  </si>
  <si>
    <t>без квалификационной категории</t>
  </si>
  <si>
    <t>вторая квалификационная категория</t>
  </si>
  <si>
    <t>Квалифик категория</t>
  </si>
  <si>
    <t>Вредность</t>
  </si>
  <si>
    <t>Итого, руб.</t>
  </si>
  <si>
    <t>%</t>
  </si>
  <si>
    <t>руб.</t>
  </si>
  <si>
    <t>РК, 
руб.</t>
  </si>
  <si>
    <t>СК, 
руб.</t>
  </si>
  <si>
    <t>Дополни-тельная заработная плата, руб.</t>
  </si>
  <si>
    <t>сумма единовременных премий, материальной помощи, оплата за бытовое топливо работникам</t>
  </si>
  <si>
    <t>Медикаменты и перевязочные средства</t>
  </si>
  <si>
    <t>Мягкий инвентарь и
 обмундирование</t>
  </si>
  <si>
    <t>Косвен-ные расходы</t>
  </si>
  <si>
    <t>рента-бельность, %</t>
  </si>
  <si>
    <t>Итого стоимость услуги, руб.</t>
  </si>
  <si>
    <t>руб., УЕТ</t>
  </si>
  <si>
    <t>расход</t>
  </si>
  <si>
    <t>наимено-вание</t>
  </si>
  <si>
    <t>срок служ-бы, лет</t>
  </si>
  <si>
    <t>норма год. износа %</t>
  </si>
  <si>
    <t>сумма годового износа</t>
  </si>
  <si>
    <t>Итого ФЗП:</t>
  </si>
  <si>
    <t>итого:</t>
  </si>
  <si>
    <t>стоимость I УЕТ</t>
  </si>
  <si>
    <t>врача</t>
  </si>
  <si>
    <t>мед.сестры</t>
  </si>
  <si>
    <t>Трудозатраты</t>
  </si>
  <si>
    <t>ФЗП мед.перс.</t>
  </si>
  <si>
    <t>Амбулаторно-поликлиническая помощь</t>
  </si>
  <si>
    <t>Персонал, приравненный по оплате труда к медицинским работникам</t>
  </si>
  <si>
    <t>Медицинский психолог</t>
  </si>
  <si>
    <t>первой категории</t>
  </si>
  <si>
    <t>второй категории</t>
  </si>
  <si>
    <t>Заведующий отделением</t>
  </si>
  <si>
    <t>-</t>
  </si>
  <si>
    <t>Врачебный персонал</t>
  </si>
  <si>
    <t xml:space="preserve">Фонд оплаты труда </t>
  </si>
  <si>
    <t>в том числе</t>
  </si>
  <si>
    <t>Ку=</t>
  </si>
  <si>
    <t>Врач-психиатр-нарколог</t>
  </si>
  <si>
    <t>Врач-специалист (прочих наименований),  включая физиологов</t>
  </si>
  <si>
    <t>Врачи оперирующие больных с гнойными заболеваниями и осложнениями (гнойной хирургии, отоларингологическое отделение); специальности, согласно приложения 2 приказа 377, прим.1, п.1.</t>
  </si>
  <si>
    <t>Врач-патологоанатом и другие должности врачей-специалистов,  оплата труда которых производится по аналогии с врачами указанных специальностей</t>
  </si>
  <si>
    <t>Наложение одной пломбы из композитов химического отверждения при поверхностном и среднем кариесе 1 и 5 класса по Блеку</t>
  </si>
  <si>
    <t>Врач-специалист (хирург всех наименований, оперирующий больных в стационаре; анестезиолог-реаниматолог; врач-эндоскопист, осуществляющий лечебные мероприятия в стационарах; врач-трансфузиолог отделений гравитационной хирургии крови; врач-рентгенолог лабораторий искусственного кровообращения; врач-хирург отделения гемодиализа и другие должности врачей-специалистов,  оплата труда которых производится по аналогии с врачами указанных специальностей)</t>
  </si>
  <si>
    <t>Средний медицинский персонал</t>
  </si>
  <si>
    <t>Фельдшер-лаборант патолого-анатомического отделения</t>
  </si>
  <si>
    <t>Фельдшер, работающий в медицинском пункте вокзала, фельдшер-лаборант клинической лабораторной диагностики; помощник врача-эпидемиолога</t>
  </si>
  <si>
    <t>Фельдшер, акушерка, медсестра по массажу, и другие должности среднего медицинского персонала, оплата труда которых производится по аналогии с работниками среднего медицинского персонала указанных специальностей</t>
  </si>
  <si>
    <t>Медсестра кабинета УЗИ, кабинета дерматовенеролога; лаборант клинической лаборатной диагностики, рентгенолаборант и другие должности среднего медицинского персонала, оплата труда которых производится по аналогии с работниками среднего медицинского персонала указанных специальностей</t>
  </si>
  <si>
    <t>Лаборант патолого-анатомического отделения и другие должности среднего медицинского персонала, оплата труда которых производится по аналогии с работниками среднего медицинского персонала указанных специальностей</t>
  </si>
  <si>
    <t>Массаж лица (лечебный) 21.01.002</t>
  </si>
  <si>
    <t>Массаж ног             21.01.009</t>
  </si>
  <si>
    <t>Массаж шеи        21.01.003</t>
  </si>
  <si>
    <t>Массаж рук          21.01.004</t>
  </si>
  <si>
    <t>Массаж волосистой части головы         21.01.005</t>
  </si>
  <si>
    <t>Массаж и гимнастика у детей раннего возраста             21.31.002</t>
  </si>
  <si>
    <t>Массаж при переломе костей 21.03.001</t>
  </si>
  <si>
    <t>Массаж при заболеваниях позвоночника              21.03.002</t>
  </si>
  <si>
    <t>Массаж при хронических неспецифических заболеваниях легких          21.09.002</t>
  </si>
  <si>
    <t>Массаж при заболеваниях сердца и перикарда   21.01.002</t>
  </si>
  <si>
    <t>Массаж при заболеваниях крупных кровеносных сосудов 21.12.001</t>
  </si>
  <si>
    <t>Массаж при заболеваниях периферических сосудов 21.13.001</t>
  </si>
  <si>
    <t>Массаж при заболеваниях печени, желчного пузыря, желчевыводящих путей 21.14.001</t>
  </si>
  <si>
    <t>Массаж при заболеваниях пищевода, желудка, 12-перстной кишки 21.16.002</t>
  </si>
  <si>
    <t>Массаж при заболеваниях кишечника         21.18.001</t>
  </si>
  <si>
    <t>Массаж при заболеваниях желез внутренней секреции 21.22.001</t>
  </si>
  <si>
    <t>Массаж при заболевании нервной системы у детей раннего возраста         21.31.003</t>
  </si>
  <si>
    <t>Массаж при заболевании опорно-двигательного аппарата у детей раннего возраста      21.31.004</t>
  </si>
  <si>
    <t>Массаж при заболеваниях центральной нервной системы                 21.23.001</t>
  </si>
  <si>
    <t>Массаж при заболеваниях периферической нервной системы 21.24.004</t>
  </si>
  <si>
    <t>Массаж век         21.26.001</t>
  </si>
  <si>
    <t>Массаж живота       21.31.001</t>
  </si>
  <si>
    <t>Медицинское сопровождение</t>
  </si>
  <si>
    <t>Стол массажный</t>
  </si>
  <si>
    <t>Общий массаж   21.01.001</t>
  </si>
  <si>
    <t>11.05.001-03.016.02</t>
  </si>
  <si>
    <t>Общий анализ крови развернутый ( взятие крови+ исследование)</t>
  </si>
  <si>
    <t>11.05.001-03.016.03</t>
  </si>
  <si>
    <t xml:space="preserve">Определение белка в моче </t>
  </si>
  <si>
    <t>09.028.003</t>
  </si>
  <si>
    <t xml:space="preserve">Гемоглобин(взятие крови из пальца+исследование)     </t>
  </si>
  <si>
    <t>09.05.084</t>
  </si>
  <si>
    <t>05.05.003</t>
  </si>
  <si>
    <t>01.039.01</t>
  </si>
  <si>
    <t>Рентгенаппарат</t>
  </si>
  <si>
    <t>Калькуляция услуг гинекологического кабинета</t>
  </si>
  <si>
    <t>Осмотр шейки матки в зеркалах</t>
  </si>
  <si>
    <t>Парафинотерапия</t>
  </si>
  <si>
    <t>20.24.002</t>
  </si>
  <si>
    <t>Патронаж педиатрической сестры на дому</t>
  </si>
  <si>
    <t>02.031.01</t>
  </si>
  <si>
    <t>16.25.015</t>
  </si>
  <si>
    <t>Первичная хирургическая обработка раны уха</t>
  </si>
  <si>
    <t>Перевязки при гнойных заболеваниях кожи и подкожной клетчатки</t>
  </si>
  <si>
    <t>15.01.002</t>
  </si>
  <si>
    <t>Перевязки при переломах костей</t>
  </si>
  <si>
    <t>15.01.001</t>
  </si>
  <si>
    <t>Получение влагалищного мазка</t>
  </si>
  <si>
    <t>Постановка очистительной клизмы           14.19.002</t>
  </si>
  <si>
    <t>Прием беременной первичный</t>
  </si>
  <si>
    <t>Прием беременной повторный</t>
  </si>
  <si>
    <t>01.008.02</t>
  </si>
  <si>
    <t>01.023.01</t>
  </si>
  <si>
    <t>01.023.02</t>
  </si>
  <si>
    <t>01.028.01</t>
  </si>
  <si>
    <t>01.028.02</t>
  </si>
  <si>
    <t>01.029.01</t>
  </si>
  <si>
    <t>01.029.02</t>
  </si>
  <si>
    <t>01.031.01</t>
  </si>
  <si>
    <t>01.031.02</t>
  </si>
  <si>
    <t>01.065.01</t>
  </si>
  <si>
    <t>01.065.02</t>
  </si>
  <si>
    <t>Прием врача-хирурга первичный</t>
  </si>
  <si>
    <t>Прием врача-хирурга повторный</t>
  </si>
  <si>
    <t>01.057.01</t>
  </si>
  <si>
    <t>01.057.02</t>
  </si>
  <si>
    <t>01.058.01</t>
  </si>
  <si>
    <t>01.058.02</t>
  </si>
  <si>
    <t>Оформление выписки из медицинской карты стоматологоческого больного</t>
  </si>
  <si>
    <t>Помощь при неотложных стоматологических состояних (включая осмотр)</t>
  </si>
  <si>
    <t>Анестезия внутриротовая (лидокаин)</t>
  </si>
  <si>
    <t>Анестезия внутриротовая (ультракаин,убистезин)</t>
  </si>
  <si>
    <t>Внеротовая анестезия(блокада)</t>
  </si>
  <si>
    <t>Трепанация зуба,искусственной коронки</t>
  </si>
  <si>
    <t>Обучение гигиены полости рта</t>
  </si>
  <si>
    <t>Обучение ,санитарное просвещение консультация матери,сопровождающих лиц</t>
  </si>
  <si>
    <t>Проведение профессиональной гигиены одного зуба снятие над, под десневого камня шлифовка,полировка</t>
  </si>
  <si>
    <t>Местное применение реминиализующих и фторосодержащих препаратов (1-4 зубов)</t>
  </si>
  <si>
    <t>Чтение одной дентальной рентограммы</t>
  </si>
  <si>
    <t>20.001</t>
  </si>
  <si>
    <t>Фельдшер-лаборант патолого-анатомического отделения и другие должности среднего медицинского персонала, оплата труда которых производится по аналогии с работниками среднего медицинского персонала указанных специальностей</t>
  </si>
  <si>
    <t>Отделения переливания крови</t>
  </si>
  <si>
    <t>Стоимость 1 УЕТ для женщин, работаю-щих на севере и в сельской местности</t>
  </si>
  <si>
    <t>Врачебный, средний мед. персонал психиатрических, наркологических кабинетов</t>
  </si>
  <si>
    <t>Врачебный, средний мед. персонал кожно-венерологических кабинетов</t>
  </si>
  <si>
    <t>Врачебный, средний мед. пперсонал нейрохирургического отделения</t>
  </si>
  <si>
    <t>Халат</t>
  </si>
  <si>
    <t xml:space="preserve">Исследование уровня желчных пигментов и их производных  в моче  </t>
  </si>
  <si>
    <t>А09.28.007</t>
  </si>
  <si>
    <t>Микроскопическое исследование кала на простейшие</t>
  </si>
  <si>
    <t>А26.19.011</t>
  </si>
  <si>
    <t>А09.19.009</t>
  </si>
  <si>
    <t>Исследование кала на простейшие и яйца гельминтов</t>
  </si>
  <si>
    <t>Взятие крови из периферической вены</t>
  </si>
  <si>
    <t>А11.12.009</t>
  </si>
  <si>
    <t>Дарсонвализация кожи</t>
  </si>
  <si>
    <t>А17.01.007</t>
  </si>
  <si>
    <t xml:space="preserve">Дарсонвализация местная при заболеваниях системы органов кроветворения и крови       </t>
  </si>
  <si>
    <t>А17.05.001</t>
  </si>
  <si>
    <t xml:space="preserve">Дарсонвализация при патологии полости рта               </t>
  </si>
  <si>
    <t>А17.07.007</t>
  </si>
  <si>
    <t xml:space="preserve">Дарсонвализация при заболеваниях верхних дыхательных путей     </t>
  </si>
  <si>
    <t>А17.08.002</t>
  </si>
  <si>
    <t xml:space="preserve">Дарсонвализация эндоназальная при заболеваниях верхних  дыхательных путей  </t>
  </si>
  <si>
    <t>А17.08.006</t>
  </si>
  <si>
    <t xml:space="preserve">Дарсонвализация при патологии сердца и перикарда        </t>
  </si>
  <si>
    <t>А17.10.003</t>
  </si>
  <si>
    <t xml:space="preserve">Дарсонвализация местная при заболеваниях крупных кровеносных сосудов        </t>
  </si>
  <si>
    <t>А17.12.002</t>
  </si>
  <si>
    <t xml:space="preserve">Дарсонвализация при нарушениях микроциркуляции          </t>
  </si>
  <si>
    <t>А17.13.004</t>
  </si>
  <si>
    <t xml:space="preserve">Ректальная дарсонвализация при заболеваниях сигмовидной и прямой кишки </t>
  </si>
  <si>
    <t>А17.19.004</t>
  </si>
  <si>
    <t xml:space="preserve">Дарсонвализация местная при заболеваниях женских  половых органов      </t>
  </si>
  <si>
    <t>А17.20.005</t>
  </si>
  <si>
    <t xml:space="preserve">Ректальная дарсонвализация при заболеваниях мужских  половых органов    </t>
  </si>
  <si>
    <t>А17.21.004</t>
  </si>
  <si>
    <t xml:space="preserve">Дарсонвализация местная при заболеваниях центральной нервной системы и головного мозга   </t>
  </si>
  <si>
    <t>А17.23.002</t>
  </si>
  <si>
    <t xml:space="preserve">Дарсонвализация местная при заболеваниях периферической нервной системы  </t>
  </si>
  <si>
    <t>А17.24.004</t>
  </si>
  <si>
    <t xml:space="preserve">Дарсонвализация органа слуха                            </t>
  </si>
  <si>
    <t>А17.25.002</t>
  </si>
  <si>
    <t xml:space="preserve">Дарсонвализация эндоурально при заболеваниях органа слуха    </t>
  </si>
  <si>
    <t>А17.25.005</t>
  </si>
  <si>
    <t xml:space="preserve">Электрофорез импульсными токами                         </t>
  </si>
  <si>
    <t>А17.30.024</t>
  </si>
  <si>
    <t xml:space="preserve">Электрофорез диадинамическими токами (ДЦТ-форез)        </t>
  </si>
  <si>
    <t>А17.30.025</t>
  </si>
  <si>
    <t>А17.30.024.001</t>
  </si>
  <si>
    <t xml:space="preserve">Электрофорез синусоидальными модулированными токами (СМТ-форез)    </t>
  </si>
  <si>
    <t>А17.30.024.002</t>
  </si>
  <si>
    <t xml:space="preserve">Низкочастотная магнитотерапия на орган зрения           </t>
  </si>
  <si>
    <t>А17.26.002</t>
  </si>
  <si>
    <t xml:space="preserve">Общая магнитотерапия                                    </t>
  </si>
  <si>
    <t>Определение биодозы для ультрафиолетового облучения</t>
  </si>
  <si>
    <t>А22.30.014</t>
  </si>
  <si>
    <t xml:space="preserve">Магнитотерапия при патологии полости рта и зубов        </t>
  </si>
  <si>
    <t>А17.07.005</t>
  </si>
  <si>
    <t>Парафинотерапия заболеваний периферической нервной системы</t>
  </si>
  <si>
    <t>А20.24.002</t>
  </si>
  <si>
    <t>Воздействие парафином при заболеваниях костной системы</t>
  </si>
  <si>
    <t>А20.03.002</t>
  </si>
  <si>
    <t xml:space="preserve">Воздействие парафином на кисти или стопы (парафиновая ванночка)    </t>
  </si>
  <si>
    <t>А20.24.002.001</t>
  </si>
  <si>
    <t xml:space="preserve">Воздействие парафином при заболеваниях почек и мочевыделительного тракта         </t>
  </si>
  <si>
    <t>А20.28.002</t>
  </si>
  <si>
    <t xml:space="preserve">Воздействие синусоидальными модулированными токами  (СМТ)      </t>
  </si>
  <si>
    <t>А17.30.004</t>
  </si>
  <si>
    <t xml:space="preserve">Воздействие электрическим полем ультравысокой частоты  (ЭП УВЧ) </t>
  </si>
  <si>
    <t>А17.30.017</t>
  </si>
  <si>
    <t xml:space="preserve">Ультрафиолетовое облучение кожи                         </t>
  </si>
  <si>
    <t>А22.01.006</t>
  </si>
  <si>
    <t xml:space="preserve">Ультрафиолетовое облучение при заболеваниях суставов    </t>
  </si>
  <si>
    <t>А22.04.004</t>
  </si>
  <si>
    <t xml:space="preserve">Ультрафиолетовое облучение при заболеваниях центральной нервной системы и головного мозга </t>
  </si>
  <si>
    <t>А22.23.002</t>
  </si>
  <si>
    <t>Ультрафиолетовое облучение ротоглотки</t>
  </si>
  <si>
    <t>А22.07.005</t>
  </si>
  <si>
    <t xml:space="preserve">Ультрафиолетовое облучение (местное) при заболеваниях  глаза и его придаточных пазух    </t>
  </si>
  <si>
    <t>А22.26.024</t>
  </si>
  <si>
    <t xml:space="preserve">Ультрафиолетовое облучение слизистой носа               </t>
  </si>
  <si>
    <t>А22.27.001</t>
  </si>
  <si>
    <t>Взятие крови из пальца</t>
  </si>
  <si>
    <t>А11.05.001</t>
  </si>
  <si>
    <t xml:space="preserve">Микроскопическое исследование отделяемого женских половых органов на гонококк (Neisseria gonorrhoeae)           </t>
  </si>
  <si>
    <t>А26.20.001</t>
  </si>
  <si>
    <t>А12.05.014</t>
  </si>
  <si>
    <t xml:space="preserve">Исследование времени свертывания нестабилизированной крови или рекальцификации плазмы неактивированное    </t>
  </si>
  <si>
    <t xml:space="preserve">Инъекционное введение лекарственных препаратов в челюстно-лицевую область       </t>
  </si>
  <si>
    <t>А11.07.011</t>
  </si>
  <si>
    <t>Глубокое фторирование твердых тканей зубов</t>
  </si>
  <si>
    <t>А11.07.012</t>
  </si>
  <si>
    <t>Профессиональная гигиена полости рта и зубов</t>
  </si>
  <si>
    <t>А16.07.051</t>
  </si>
  <si>
    <t xml:space="preserve">Удаление наддесневых и поддесневых зубных отложений     </t>
  </si>
  <si>
    <t>А16.07.020</t>
  </si>
  <si>
    <t xml:space="preserve">Удаление эписклеральной пломбы                          </t>
  </si>
  <si>
    <t>А16.26.116</t>
  </si>
  <si>
    <t xml:space="preserve">Вскрытие и дренирование флегмоны (абсцесса)             </t>
  </si>
  <si>
    <t>А16.01.012</t>
  </si>
  <si>
    <t xml:space="preserve">Дренирование одонтогенного абсцесса                     </t>
  </si>
  <si>
    <t xml:space="preserve"> - Для женщин,  работающих в районах Крайнего Севера и приравненных к ним  местностях,  устанавливается  36-часовая  рабочая неделя, если меньшая продолжительность рабочей недели не предусмотрена для  отдельных категорий женщин, специалистов НУЗ иными законодательными актами Российской Федерации, коллективным договором НУЗ.</t>
  </si>
  <si>
    <t>Наименование</t>
  </si>
  <si>
    <t>Первоначаль-ная стоимость</t>
  </si>
  <si>
    <t>Годовой % износа</t>
  </si>
  <si>
    <t>в том числе площадь холлов и кори-доров, м.кв.</t>
  </si>
  <si>
    <t>баланс. стоим (тв.инв.)</t>
  </si>
  <si>
    <t>Итого годовая стоимость износа на 1 кв. м. площади по оказанию услуг, руб.</t>
  </si>
  <si>
    <t>сумма годового износа, руб.</t>
  </si>
  <si>
    <t>Расходы на оплату труда медицинского персонала (за исключением п.1.2., 1.3., 1.4., 1.5., 1.6., 1.7. статей косв.расх.)</t>
  </si>
  <si>
    <t>административно-управленческий персонал 
(в том числе главный врач, заместители главного-врача - врачи), сотрудники вспомогательных подразделений</t>
  </si>
  <si>
    <t>Стоимость износа площади здания на 1 кв. метр используемого для оказания медицинских услуг, 
в год, рублей</t>
  </si>
  <si>
    <t>Общая площадь здания, м.кв.</t>
  </si>
  <si>
    <t>перчатки(пара)</t>
  </si>
  <si>
    <t>пара</t>
  </si>
  <si>
    <t>Простынь</t>
  </si>
  <si>
    <t>Полотенце махровое</t>
  </si>
  <si>
    <t>Полотенце х/б</t>
  </si>
  <si>
    <t>Медицинский халат</t>
  </si>
  <si>
    <t>Медицинский колпак(шапочка)</t>
  </si>
  <si>
    <t>% износа</t>
  </si>
  <si>
    <t>Терминал</t>
  </si>
  <si>
    <t>Тонометр</t>
  </si>
  <si>
    <t>Стетофонендоскоп</t>
  </si>
  <si>
    <t>Термометр медицинский</t>
  </si>
  <si>
    <t>Секундомер</t>
  </si>
  <si>
    <t>Шпатель металический</t>
  </si>
  <si>
    <t>Чемодан-укладка</t>
  </si>
  <si>
    <t>норма мес. износа %</t>
  </si>
  <si>
    <t>А21.26.001</t>
  </si>
  <si>
    <t>А21.01.005</t>
  </si>
  <si>
    <t>А21.30.001</t>
  </si>
  <si>
    <t>А21.30.002</t>
  </si>
  <si>
    <t>А21.01.002</t>
  </si>
  <si>
    <t>А21.01.009</t>
  </si>
  <si>
    <t>А21.30.004</t>
  </si>
  <si>
    <t>А21.24.004</t>
  </si>
  <si>
    <t>А21.03.002</t>
  </si>
  <si>
    <t>А21.10.002</t>
  </si>
  <si>
    <t>А21.23.001</t>
  </si>
  <si>
    <t>А21.03.001</t>
  </si>
  <si>
    <t>Массаж при хронических неспецифических заболеваниях легких</t>
  </si>
  <si>
    <t>А21.09.002</t>
  </si>
  <si>
    <t>А21.01.004</t>
  </si>
  <si>
    <t>А21.01.003</t>
  </si>
  <si>
    <t>А21.01.001</t>
  </si>
  <si>
    <t>Исследование времени кровотечения</t>
  </si>
  <si>
    <t>А12.05.015</t>
  </si>
  <si>
    <t>Расчет платных медицинских услуг 
НУЗ "Узловая поликлиника
на ст. Наушки ОАО "РЖД"</t>
  </si>
  <si>
    <t>Лечебный корпус</t>
  </si>
  <si>
    <t>врач-терапевт (1 категории)</t>
  </si>
  <si>
    <t>Вата</t>
  </si>
  <si>
    <t>г</t>
  </si>
  <si>
    <t>Спирт</t>
  </si>
  <si>
    <t>Перчатки н/с</t>
  </si>
  <si>
    <t>шт.</t>
  </si>
  <si>
    <t>Самаровка</t>
  </si>
  <si>
    <t>л</t>
  </si>
  <si>
    <t>Мыло</t>
  </si>
  <si>
    <t>Полотенце</t>
  </si>
  <si>
    <t>01.036</t>
  </si>
  <si>
    <t xml:space="preserve">Проведение реакции Вассермана (RW)                      </t>
  </si>
  <si>
    <t>А12.06.011</t>
  </si>
  <si>
    <t>Гальванотерапия при заболеваниях периферической нервной ситемы</t>
  </si>
  <si>
    <t>Гальвановоздействие при заболеваниях органа зрения</t>
  </si>
  <si>
    <t>А17.24.002</t>
  </si>
  <si>
    <t>А17.26.005</t>
  </si>
  <si>
    <t>А11.09.007</t>
  </si>
  <si>
    <t xml:space="preserve">Ингаляторное введение лекарственных препаратов и кислорода        </t>
  </si>
  <si>
    <t>A11.09.007.001</t>
  </si>
  <si>
    <t xml:space="preserve">Ингаляторное введение лекарственных препаратов через небулайзер     </t>
  </si>
  <si>
    <t xml:space="preserve">Воздействие ультразвуком при заболеваниях суставов      </t>
  </si>
  <si>
    <t>А22.04.002</t>
  </si>
  <si>
    <t>Воздействие ультразвуком при заболеваниях верхних дыхательных путей</t>
  </si>
  <si>
    <t>А22.08.002</t>
  </si>
  <si>
    <t>Воздействие ультразвуком при заболеваниях крупных кровеносных сосудов</t>
  </si>
  <si>
    <t>А22.12.002</t>
  </si>
  <si>
    <t>Воздействие ультразвуком при заболеваниях печени и желчевыводящих путей</t>
  </si>
  <si>
    <t>А22.14.002</t>
  </si>
  <si>
    <t>Воздействие ультразвуком при заболеваниях пищевода, желудка, двенадцатиперстной кишки</t>
  </si>
  <si>
    <t>А22.16.002</t>
  </si>
  <si>
    <t xml:space="preserve">Внутривлагалищное воздействие ультразвуком при заболеваниях женских половых органов         </t>
  </si>
  <si>
    <t xml:space="preserve">Ректальное воздействие ультразвуком при заболеваниях мужских половых органов         </t>
  </si>
  <si>
    <t>А22.20.003</t>
  </si>
  <si>
    <t>А22.21.004</t>
  </si>
  <si>
    <t>Ультрафонофорез лекарственный</t>
  </si>
  <si>
    <t>А17.30.034</t>
  </si>
  <si>
    <t>Ультрафонофорез лекарственный кожи</t>
  </si>
  <si>
    <t>А22.01.001.001</t>
  </si>
  <si>
    <t>А22.02.002</t>
  </si>
  <si>
    <t>Ультрафонофорез лекарственный при заболеваниях мышц</t>
  </si>
  <si>
    <t>А22.04.002.001</t>
  </si>
  <si>
    <t>Ультрафонофорез лекарственный при заболеваниях суставов</t>
  </si>
  <si>
    <t>Ультрафонофорез лекарственных препаратов на область десен</t>
  </si>
  <si>
    <t>А22.07.007</t>
  </si>
  <si>
    <t>А22.08.005</t>
  </si>
  <si>
    <t>А22.09.008</t>
  </si>
  <si>
    <t>А22.12.002.002</t>
  </si>
  <si>
    <t>А22.14.002.01</t>
  </si>
  <si>
    <t>Ультрафонофорез лекарственный при заболеваниях верхних дыхательных путей</t>
  </si>
  <si>
    <t>Ультрафонофорез лекарственный при заболеваниях нижних дыхательных путей</t>
  </si>
  <si>
    <t>Ультрафонофорез лекарственный при заболеваниях крупных кровеносных сосудов</t>
  </si>
  <si>
    <t>Ультрафонофорез лекарственный при заболеваниях печени и желчевыводящих путей</t>
  </si>
  <si>
    <t>Лекарственный ультрафонофорез при заболеваниях пищевода, желудка, двенадцатиперстной кишки</t>
  </si>
  <si>
    <t>А22.16.002.001</t>
  </si>
  <si>
    <t>Лекарственный ультрафонофорез при заболеванияхпериферической нервной системы</t>
  </si>
  <si>
    <t>А22.24.002.001</t>
  </si>
  <si>
    <t>Ультрафонофорез препаратов при заболеваниях органов зрения</t>
  </si>
  <si>
    <t>А22.26.026</t>
  </si>
  <si>
    <t>Проведение электрокардиографических исследований</t>
  </si>
  <si>
    <t>А05.10.002</t>
  </si>
  <si>
    <t>01.037</t>
  </si>
  <si>
    <t>01.038</t>
  </si>
  <si>
    <t>11.04.004</t>
  </si>
  <si>
    <t>Внутрисуставное введение лекарственных средств</t>
  </si>
  <si>
    <t>05.009</t>
  </si>
  <si>
    <t>05.010</t>
  </si>
  <si>
    <t>страх.взносы 20,2%</t>
  </si>
  <si>
    <t>косвенные расходы</t>
  </si>
  <si>
    <t>с-стоимость</t>
  </si>
  <si>
    <t>ВСЕГО</t>
  </si>
  <si>
    <t xml:space="preserve">Лечение переодонтита в 2-3 посещения  1 канального зуба с наложением пломбы из композита химического отверждения </t>
  </si>
  <si>
    <t>Лечение переодонтита в 2-3 посещения  1 канального зуба с наложением пломбы из фотокомпозита</t>
  </si>
  <si>
    <t xml:space="preserve">Лечение переодонтита в 2-3 посещения  2 канального зуба с наложением пломбы из композита химического отверждения </t>
  </si>
  <si>
    <t>Лечение переодонтита в 2-3 посещения  2 канального зуба с наложением пломбы из фотокомпозита</t>
  </si>
  <si>
    <t>Лечение переодонтита в 2-3 посещения  3 канального зуба с наложением пломбы из композита химического отверждения</t>
  </si>
  <si>
    <t>Лечение переодонтита в 2-3 посещения 3 канального зуба с наложением пломбы из фотокомпозита</t>
  </si>
  <si>
    <t>Колпак</t>
  </si>
  <si>
    <t>ед.изм.</t>
  </si>
  <si>
    <t>сумма</t>
  </si>
  <si>
    <t>сумма износа</t>
  </si>
  <si>
    <t>Шприц</t>
  </si>
  <si>
    <t>Снятие пломбы</t>
  </si>
  <si>
    <t>Трепанация зуба, искусственной коронки</t>
  </si>
  <si>
    <t>Лечение глубокого кариеса наложением лечебной (изолирующей)прокладки и композита химического отверждения</t>
  </si>
  <si>
    <t>Лечение глубокого кариеса  I,II,V класса по Блеку с наложением лечебной (изолирующей) прокладки и наложением пломбы из фотокомпозита.</t>
  </si>
  <si>
    <t>Лечение глубокого кариеса  III класса по Блеку с наложением лечебной (изолирующей) прокладки и наложением пломбы из фотокомпозита.</t>
  </si>
  <si>
    <t>Лечение глубокого кариеса  IV класса по Блеку с наложением лечебной (изолирующей) прокладки и наложением пломбы из фотокомпозита.</t>
  </si>
  <si>
    <t>Лечение пульпита в 2-3 посещения 1 канального зуба с наложением пломбы из                                    композита химического отверждения</t>
  </si>
  <si>
    <t>06.006</t>
  </si>
  <si>
    <t xml:space="preserve">Консультация врача-стоматолога </t>
  </si>
  <si>
    <t xml:space="preserve">Осмотр врача-стоматолога </t>
  </si>
  <si>
    <t>Осмотр врача-стоматолога</t>
  </si>
  <si>
    <t>Лечение пульпита в 2-3 посещения 2 канального зуба с наложением пломбы из                           композита химического отверждения</t>
  </si>
  <si>
    <t>Лечение пульпита в 2-3 посещения 3 канального зуба с наложением пломбы из           композита химического отверждения</t>
  </si>
  <si>
    <t>Лечение пульпита в 2-3 посещения 1 канального зуба с наложением пломбы из фотокомпозита.</t>
  </si>
  <si>
    <t>Лечение пульпита в 2-3 посещения 2 канального зуба с наложением пломбы из фотокомпозита</t>
  </si>
  <si>
    <t xml:space="preserve">Лечение пульпита в 2-3 посещения 3 канального зуба с наложением пломбы из фотокомпозита </t>
  </si>
  <si>
    <t>Распломбирование 1 корневого канала запломбированного цинк -                                  эвгеноловой пастой</t>
  </si>
  <si>
    <t>Лечение периодонтита в 2-3 посещения 1-канального зуба с наложением пломбы из композита химического отверждения</t>
  </si>
  <si>
    <t>Лечение периодонтита в 2-3 посещения 2-канального зуба с наложением пломбы из композита химического отверждения</t>
  </si>
  <si>
    <t>Лечение периодонтита в 2-3 посещения 3-канального зуба с наложением пломбы из композита химического отверждения</t>
  </si>
  <si>
    <t>Калькуляция услуг хирургического кабинета</t>
  </si>
  <si>
    <t>Вскрытие панариция</t>
  </si>
  <si>
    <t>КОД 16.01.002</t>
  </si>
  <si>
    <t>Вскрытие фурункула (карбункула)</t>
  </si>
  <si>
    <t>КОД 16.01.028</t>
  </si>
  <si>
    <t>Лечение периодонтита в 2-3 посещения 1 - канального зуба с наложением пломбы из фотокомпозита</t>
  </si>
  <si>
    <t>Лечение периодонтита в 2-3 посещения 2 - канального зуба с наложением пломбы из фотокомпозита</t>
  </si>
  <si>
    <t>Лечение периодонтита в 2-3 посещения 3 - канального зуба с наложением пломбы из фотокомпозита</t>
  </si>
  <si>
    <t xml:space="preserve">Удаление постоянного зуба </t>
  </si>
  <si>
    <t>Удаление ретинированного,дистопированного зуба</t>
  </si>
  <si>
    <t>Перевязка раны в полости рта</t>
  </si>
  <si>
    <t>Лечение альвеолита с ревизией лунки</t>
  </si>
  <si>
    <t>Остановка кровотечения</t>
  </si>
  <si>
    <t>Внутриротовой разрез с дренированием раны</t>
  </si>
  <si>
    <t>Внеротовой разрез, дренирование</t>
  </si>
  <si>
    <t>Резекция верхушки корня одного зуба</t>
  </si>
  <si>
    <t>Иссечение капюшона</t>
  </si>
  <si>
    <t>ПХО раны без наложения швов</t>
  </si>
  <si>
    <t>Наложение повязки, компресса с участием врача</t>
  </si>
  <si>
    <t>Снятие швов</t>
  </si>
  <si>
    <t>амп</t>
  </si>
  <si>
    <t>Анастезия внутриротовая                   ( лидокаин)</t>
  </si>
  <si>
    <t>Ультракаин</t>
  </si>
  <si>
    <t>Общие виды работ</t>
  </si>
  <si>
    <t>Помощь при неотложных стоматологических состояниях (включая осмотр)</t>
  </si>
  <si>
    <t>Определение индекса</t>
  </si>
  <si>
    <t>Премедикация</t>
  </si>
  <si>
    <t>Апликация лекарственного препарата на слизистую оболочку полости рта (1 сеанс)</t>
  </si>
  <si>
    <t>Обучение гигиене полости рта</t>
  </si>
  <si>
    <t>Обучение, санитарное просвещение, консультация матери, сопровождающих лиц</t>
  </si>
  <si>
    <t>Проведение профессиональной гигиены одного зуба(снятие над-,поддесневого камня, шлифовка полировка)</t>
  </si>
  <si>
    <t>Проведение профессиональной гигиены одного зуба при заболеваниях пародонта(снятие над-,поддесневого камня, шлифовка полировка)</t>
  </si>
  <si>
    <t>Проведение профессиональной гигиены у детей (всех зубов)</t>
  </si>
  <si>
    <t>Покрытие зубов фторлаком, фторгелем</t>
  </si>
  <si>
    <t>Полоскание реминерализующими и фторосодержащими препаратами (1 сеанс)</t>
  </si>
  <si>
    <t>Взятие материала на исследование</t>
  </si>
  <si>
    <t>Электрофорез 1 корневого канала (1 сеанс)</t>
  </si>
  <si>
    <t>Чтение одной дентальной рентгенограммы</t>
  </si>
  <si>
    <t>Виды работ на терапевтическом приеме</t>
  </si>
  <si>
    <t>Кариес и некариозные поражения твердых тканей зубов</t>
  </si>
  <si>
    <t>Стоматологическая установка</t>
  </si>
  <si>
    <t>Обучение, санитарное просвещение консультация матери,сопровождающих лиц</t>
  </si>
  <si>
    <t>Компрессор</t>
  </si>
  <si>
    <t xml:space="preserve">Удаление временного зуба </t>
  </si>
  <si>
    <t>Сложное удаление зуба с разъединением корней</t>
  </si>
  <si>
    <t>Секвестрэктомия</t>
  </si>
  <si>
    <t>Извлечение фиксированного инородного тела из одного корневого канала</t>
  </si>
  <si>
    <t>Распломбирование 1 корневого канала под штифт</t>
  </si>
  <si>
    <t>Удаление назубных отложений ручным способом полностью(не менее 5 зубов) с обязательным указанием зубной формулы</t>
  </si>
  <si>
    <t>Наложение 1 шва</t>
  </si>
  <si>
    <t>Рассечение уздечки языка</t>
  </si>
  <si>
    <t>Сошлифовка эмали со ската бугра одного зуба</t>
  </si>
  <si>
    <t>Кюретаж пародонтальных карманов в области двух зубов без отслаивания лоскута</t>
  </si>
  <si>
    <t>Лечебная повязка на слизистую оболочку полости рта (1 сеанс)</t>
  </si>
  <si>
    <t>Медикаментозное лечение пародонтальных карманов: орошение</t>
  </si>
  <si>
    <t>Медикаментозное лечение пародонтальных карманов: аппликация</t>
  </si>
  <si>
    <t>Медикаментозное лечение пародонтальных карманов:инстилляция</t>
  </si>
  <si>
    <t>Медикаментозное лечение пародонтальных карманов:повязка</t>
  </si>
  <si>
    <t>Вскрытие пародонтального абсцесса</t>
  </si>
  <si>
    <t>Рентгенологические исследования органов грудной клетки</t>
  </si>
  <si>
    <t>Перчатки н.с.</t>
  </si>
  <si>
    <t>Рентген пленка</t>
  </si>
  <si>
    <t>Рентгенография гортани и трахеи</t>
  </si>
  <si>
    <t>Рентгенологические исследования органов брюшной полости</t>
  </si>
  <si>
    <t>Рентгенография (обзорная) брюшной полости</t>
  </si>
  <si>
    <t>Рентгенологические исследования костно-суставной системы</t>
  </si>
  <si>
    <t>Рентгенография костей лицевого скилета</t>
  </si>
  <si>
    <t>Рентгенография акромильно-ключичного сустава</t>
  </si>
  <si>
    <t>Рентгенография бедренного сустава</t>
  </si>
  <si>
    <t>Рентгенография болшеберцовой и малоберцовой кости</t>
  </si>
  <si>
    <t>Рентгенография большого пальца</t>
  </si>
  <si>
    <t>Рентгенография большого пальца стопы</t>
  </si>
  <si>
    <t>Рентгенография верхней челюсти в косой проекции</t>
  </si>
  <si>
    <t>Рентгенография всего таза</t>
  </si>
  <si>
    <t>Рентгенография всего черепа, в одной и более проекциях</t>
  </si>
  <si>
    <t>Рентгенография гайморовой пазухи</t>
  </si>
  <si>
    <t>Рентгенография глазницы</t>
  </si>
  <si>
    <t>Рентгенография глотки</t>
  </si>
  <si>
    <t>Рентгенография голеностопного сустава</t>
  </si>
  <si>
    <t>Рентгенография головки и шейки бедренной кости</t>
  </si>
  <si>
    <t>Рентгенография головки плечевой кости</t>
  </si>
  <si>
    <t>Рентгенография грудино-ключичного сочления</t>
  </si>
  <si>
    <t>Рентгенография грудины</t>
  </si>
  <si>
    <t>Рентгенография дорсального отдела позвоночника</t>
  </si>
  <si>
    <t>Рентгенография дорсолюмбального отдела позвоночника</t>
  </si>
  <si>
    <t>Рентгенография другого шейного отдела позвоночника</t>
  </si>
  <si>
    <t>Рентгенография запястья</t>
  </si>
  <si>
    <t>Рентгенография кисти руки</t>
  </si>
  <si>
    <t>Рентгенография ключицы</t>
  </si>
  <si>
    <t>Рентгенография коленного сустава</t>
  </si>
  <si>
    <t>Рентгенография коленной чашечки</t>
  </si>
  <si>
    <t>Рентгенография крестца и копчика</t>
  </si>
  <si>
    <t>Рентгенография легких</t>
  </si>
  <si>
    <t>Рентгенография лодыжки</t>
  </si>
  <si>
    <t>Рентгенография локтевого сустава</t>
  </si>
  <si>
    <t>Рентгенография локтевой кости и лучевой кости</t>
  </si>
  <si>
    <t>Рентгенография лопатки</t>
  </si>
  <si>
    <t>Рентгенография лучезапястного сустава</t>
  </si>
  <si>
    <t>Рентгенография нижней челюсти в боковой проекции</t>
  </si>
  <si>
    <t>Рентгенография носоглотки</t>
  </si>
  <si>
    <t>Рентгенография основания черепа</t>
  </si>
  <si>
    <t>Рентгенография основной кости</t>
  </si>
  <si>
    <t>Рентгенография пальцев ноги</t>
  </si>
  <si>
    <t>Рентгенография пальцев руки</t>
  </si>
  <si>
    <t>Рентгенография первого и второго шейного позвонка</t>
  </si>
  <si>
    <t>Рентгенография плеча</t>
  </si>
  <si>
    <t>Рентгенография плечевого сустава</t>
  </si>
  <si>
    <t>Рентгенография плечевой кости</t>
  </si>
  <si>
    <t>Освидетельствование на алкоголь</t>
  </si>
  <si>
    <t>Фельдшер</t>
  </si>
  <si>
    <t>стоимость I мин :</t>
  </si>
  <si>
    <t>Рентгенография плюсны и фаланг стопы</t>
  </si>
  <si>
    <t>КОД 3.22</t>
  </si>
  <si>
    <t>КОД 3.30</t>
  </si>
  <si>
    <t>КОД 3.31</t>
  </si>
  <si>
    <t>КОД 3.41</t>
  </si>
  <si>
    <t>КОД 3.47</t>
  </si>
  <si>
    <t>КОД 3.42</t>
  </si>
  <si>
    <t>КОД 3.24</t>
  </si>
  <si>
    <t>КОД 2.5.5</t>
  </si>
  <si>
    <t>КОД 2.5.10</t>
  </si>
  <si>
    <t>КОД 2.5.13</t>
  </si>
  <si>
    <t>КОД 2.5.14</t>
  </si>
  <si>
    <t>КОД 2.5.15</t>
  </si>
  <si>
    <t>КОД 2.5.16</t>
  </si>
  <si>
    <t>КОД 2.5.17</t>
  </si>
  <si>
    <t>Анализ мочи общий</t>
  </si>
  <si>
    <t>КОД 03.016.06</t>
  </si>
  <si>
    <t>Вакцинация  04.014.03</t>
  </si>
  <si>
    <t>Кушетка</t>
  </si>
  <si>
    <t>Шкаф</t>
  </si>
  <si>
    <t>взятие крови из вены, кровопускание  11.12.013</t>
  </si>
  <si>
    <t xml:space="preserve">Взятие крови из пальца </t>
  </si>
  <si>
    <t>КОД 11.05.001</t>
  </si>
  <si>
    <t>внутривенное введение лекарственных средств            11.12.003</t>
  </si>
  <si>
    <t>Рентгенография позвоночника в динамике</t>
  </si>
  <si>
    <t>Рентгенография позвоночника,вертикальная</t>
  </si>
  <si>
    <t>Рентгенография поясничного отдела позвоночника</t>
  </si>
  <si>
    <t>Рентгенография пояснично-крестцового отдела позвоночника</t>
  </si>
  <si>
    <t>Рентгенография придаточных пазух носа</t>
  </si>
  <si>
    <t>Рентгенография пяточной кости</t>
  </si>
  <si>
    <t>Рентгенография ребер</t>
  </si>
  <si>
    <t>Рентгенография седалищной кости</t>
  </si>
  <si>
    <t>Рентгенография сочленения затылочной кости и первого шейного позвонка</t>
  </si>
  <si>
    <t>Рентгенография стопы</t>
  </si>
  <si>
    <t>Рентгенография фаланг кисти</t>
  </si>
  <si>
    <t>Лечение с помощью простых физических воздействий на пациента (массаж)</t>
  </si>
  <si>
    <t>Итого себестоимость услуги, руб.</t>
  </si>
  <si>
    <t>Массаж шеи</t>
  </si>
  <si>
    <t>МАССАЖ (1 сеанс)</t>
  </si>
  <si>
    <t>Услуги физиотерапевтического кабинета</t>
  </si>
  <si>
    <t>Гальванизация</t>
  </si>
  <si>
    <t>06.084</t>
  </si>
  <si>
    <t>06.085</t>
  </si>
  <si>
    <t>06.086</t>
  </si>
  <si>
    <t>Наложение одной пломбы из фотокомпозита при поверхностном и среднем кариесе 1и 5 класса по Блеку</t>
  </si>
  <si>
    <t>Наложение одной пломбы из фотокомпозита при поверхностном и среднем кариесе 2 и 3 класса по Блеку</t>
  </si>
  <si>
    <t>Наложение одной пломбы из фотокомпозита при поверхностном и среднем кариесе 4 класса по Блеку</t>
  </si>
  <si>
    <t>Пробирка для взятия крови</t>
  </si>
  <si>
    <t>Харизма мат-л пломб.</t>
  </si>
  <si>
    <t>Альвостаз (губка)</t>
  </si>
  <si>
    <t>Гель для аппликационной анестезии</t>
  </si>
  <si>
    <t>Альвостаз (губка) №3 (для остановки кровотечения)</t>
  </si>
  <si>
    <t>Сложное удаление зуба свыкраиванием слизисто-надкостничного лоскута и резекцией костной пластинки с разъединением корня</t>
  </si>
  <si>
    <t>Салфетка дезинф.</t>
  </si>
  <si>
    <t>Хлоргексидин</t>
  </si>
  <si>
    <t>Вправление вывиха нижней челюсти</t>
  </si>
  <si>
    <t xml:space="preserve">Вправление вывиха нижней челюсти </t>
  </si>
  <si>
    <t>Весы</t>
  </si>
  <si>
    <t>Ростомер</t>
  </si>
  <si>
    <t>Тест-полоски на сахар</t>
  </si>
  <si>
    <t>Бумага для ЭКГ</t>
  </si>
  <si>
    <t xml:space="preserve">Маска медицинская </t>
  </si>
  <si>
    <t xml:space="preserve">                                                                               "УТВЕРЖДАЮ"</t>
  </si>
  <si>
    <t xml:space="preserve">                                                                              Главный врач</t>
  </si>
  <si>
    <t xml:space="preserve">                                                                              НУЗ "Узловая поликлиника на ст.Наушки</t>
  </si>
  <si>
    <t>ОАО "РЖД"</t>
  </si>
  <si>
    <t xml:space="preserve">                                                                              _______________ М.Н.Колодина</t>
  </si>
  <si>
    <t xml:space="preserve"> НУЗ "Узловая поликлиника на станции  Наушки ОАО "РЖД"</t>
  </si>
  <si>
    <t>Рентгенография ребра (ер)</t>
  </si>
  <si>
    <t>Прием (осмотр, консультация)врача-акушера-гинеколога повторный</t>
  </si>
  <si>
    <t>Прием (осмотр, консультация) врача-акушера-гинеколога беременной первичный</t>
  </si>
  <si>
    <t>Получение  мазка с шейки матки</t>
  </si>
  <si>
    <t>В01.001.01</t>
  </si>
  <si>
    <t>В01.001.02</t>
  </si>
  <si>
    <t>В04.001.02</t>
  </si>
  <si>
    <t>В01.001.03</t>
  </si>
  <si>
    <t>В01.001.04</t>
  </si>
  <si>
    <t>А11.20.024</t>
  </si>
  <si>
    <t>А11.20.014</t>
  </si>
  <si>
    <t>А11.20.015</t>
  </si>
  <si>
    <t>Введение внутриматочной спирали</t>
  </si>
  <si>
    <t>Удаление внутриматочной спирали</t>
  </si>
  <si>
    <t>Прием (осмотр, консультация)  врача-терапевта участкового первичный</t>
  </si>
  <si>
    <t xml:space="preserve">Прием (осмотр, консультация) врача-педиатра участкового первичный </t>
  </si>
  <si>
    <t xml:space="preserve">Прием (осмотр, консультация) врача-оториноларинголога  первичный  </t>
  </si>
  <si>
    <t xml:space="preserve">Прием (осмотр, консультация) врача-дерматовенеролога  первичный  </t>
  </si>
  <si>
    <t>В01.033.001</t>
  </si>
  <si>
    <t xml:space="preserve">Прием (осмотр, консультация) врача-профпатолога первичный </t>
  </si>
  <si>
    <t>Прием (осмотр, консультация) врача-терапевта участкового повторный</t>
  </si>
  <si>
    <t xml:space="preserve">Прием (осмотр, консультация) врача-педиатра участкового повторный </t>
  </si>
  <si>
    <t>В01.033.002</t>
  </si>
  <si>
    <t>Прием (осмотр, консультация) врача-профпатолога повторный</t>
  </si>
  <si>
    <t>Прием (осмотр, консультация) врача-терапевта участкового профилактический</t>
  </si>
  <si>
    <t>Профилактический прием (осмотр, консультация) врача-педиатра участкового</t>
  </si>
  <si>
    <t>Профилактический прием (осмотр, консультация) врача-невролога</t>
  </si>
  <si>
    <t>Профилактический прием (осмотр, консультация) врача-дерматовенеролога</t>
  </si>
  <si>
    <t>В04.033.002</t>
  </si>
  <si>
    <t>Профилактический прием (осмотр, консультация) врача-профпатолога</t>
  </si>
  <si>
    <t>Функциональное исследование легких  (спирография)</t>
  </si>
  <si>
    <t xml:space="preserve">Вакцинация (введение вакцины)                                                                                           </t>
  </si>
  <si>
    <t>Внутривенное введение лекарственных препаратов</t>
  </si>
  <si>
    <t>А03.20.001</t>
  </si>
  <si>
    <t>Кольпоскопия</t>
  </si>
  <si>
    <t>Прием ( осмотр, консультация) врача-хирурга первичный</t>
  </si>
  <si>
    <t>Прием ( осмотр, консультация) врача-хирурга повторный</t>
  </si>
  <si>
    <t>Профилактический прием (осмотр, консультация) врача-хирурга</t>
  </si>
  <si>
    <t xml:space="preserve"> Аэрозольтерапия при заболеваниях нижних дыхательных путей (ингаляции)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</si>
  <si>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</si>
  <si>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при заболеваниях центральной нервной системы и головного мозга</t>
  </si>
  <si>
    <t>Электрофорез лекарственных препаратов при заболеваниях периферической нервной системы</t>
  </si>
  <si>
    <t>Электрофорез лекарственных препаратов при заболеваниях почек</t>
  </si>
  <si>
    <t>Электрофорез импульсными токами</t>
  </si>
  <si>
    <t>Воздействие переменным магнитным полем (ПеМП)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</si>
  <si>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</si>
  <si>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</si>
  <si>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ультразвуком про заболеваниях переферической нервной стстемы</t>
  </si>
  <si>
    <t>Массаж волосистой части головы медицинский</t>
  </si>
  <si>
    <t>Массаж живота медицинский</t>
  </si>
  <si>
    <t>Массаж лица медицинский</t>
  </si>
  <si>
    <t>Массаж ног медицинский</t>
  </si>
  <si>
    <t>Массаж при заболеваниях позвоночника</t>
  </si>
  <si>
    <t>Массаж рук медицинский</t>
  </si>
  <si>
    <t>Массаж шеи медицинский</t>
  </si>
  <si>
    <t>Общий массаж медицинский</t>
  </si>
  <si>
    <t xml:space="preserve">Взятие крови из пальца                                                                 </t>
  </si>
  <si>
    <t>Соотношение лейкоцитов крови (подсчет формулы крови)</t>
  </si>
  <si>
    <t>Анализ крови биохимический общетерапевтический</t>
  </si>
  <si>
    <t xml:space="preserve">Определение основных групп крови (А, В, 0)                              </t>
  </si>
  <si>
    <t>Определение резус-принадлежности</t>
  </si>
  <si>
    <t>А09.19.001</t>
  </si>
  <si>
    <t>Исследование кала на скрытую кровь</t>
  </si>
  <si>
    <t>А26.01.019</t>
  </si>
  <si>
    <t>Микроскопическое исследование отпечатков с поверхности перианальных складок на яйца гельминтов</t>
  </si>
  <si>
    <t>А09.20.005</t>
  </si>
  <si>
    <t>Подсчет лейкоцитов, эритроцитов, цилиндров в 1 мл мочи</t>
  </si>
  <si>
    <t>Микроскопическое исследование отделяемого из уретры на гонококк (Neisseria gonorrhoeae)</t>
  </si>
  <si>
    <t>Гемотология</t>
  </si>
  <si>
    <t>Копрология</t>
  </si>
  <si>
    <t>Исследования мочи</t>
  </si>
  <si>
    <t>Исследования основных возбудителей инфекционных заболеваний</t>
  </si>
  <si>
    <t>В03.016.004-11.12.013</t>
  </si>
  <si>
    <t xml:space="preserve">Определение основных групп крови (А, В, 0)    </t>
  </si>
  <si>
    <t>11.05.001-А12.05.005</t>
  </si>
  <si>
    <t>11.05.001-А12.05.006</t>
  </si>
  <si>
    <t>Спирограф</t>
  </si>
  <si>
    <t>Кольпоскоп</t>
  </si>
  <si>
    <t>Прием (осмотр, консультация) врача-профпатолога</t>
  </si>
  <si>
    <t>на платные медицинские услуги</t>
  </si>
  <si>
    <t>Главный бухгалтер</t>
  </si>
  <si>
    <t>Е.О.Ощепкова</t>
  </si>
  <si>
    <t>Электроэнцефалография (ЭЭГ)</t>
  </si>
  <si>
    <t>А 05.23.001</t>
  </si>
  <si>
    <t>на    2018  год</t>
  </si>
  <si>
    <t>В01.065.007.000</t>
  </si>
  <si>
    <t>В01.065.008.000</t>
  </si>
  <si>
    <t>Прием(осмотр, консультация) врача-стоматолога первичный</t>
  </si>
  <si>
    <t>Прием(осмотр, консультация) врача-стоматолога повторный</t>
  </si>
  <si>
    <t xml:space="preserve">Прием (осмотр, консультация) врача-стоматолога первичный  </t>
  </si>
  <si>
    <t>А16.07.087.001</t>
  </si>
  <si>
    <t>А11.07.024.000</t>
  </si>
  <si>
    <t>Местное применение реминиализующих  препаратов в области зуба</t>
  </si>
  <si>
    <t>Местное применение реминерализующих  препаратов  в области зуба</t>
  </si>
  <si>
    <t>А16.07.085.002</t>
  </si>
  <si>
    <t>Проведение внутриротовой анестезии</t>
  </si>
  <si>
    <t>А16.07.143.000</t>
  </si>
  <si>
    <t>А16.07.144.000</t>
  </si>
  <si>
    <t>Проведение внеротовой анестезии</t>
  </si>
  <si>
    <t>Прведение внутриротовой анестезии</t>
  </si>
  <si>
    <t>Прведение внеротовой анестезии</t>
  </si>
  <si>
    <t>А17.07.145.000</t>
  </si>
  <si>
    <t>А16.07.319.000</t>
  </si>
  <si>
    <t>А16.07.409.000</t>
  </si>
  <si>
    <t>Лечебная повязка на слизистую оболочку полости рта</t>
  </si>
  <si>
    <t xml:space="preserve">Наложение лечебной прокладки </t>
  </si>
  <si>
    <t>А16.07.110.000</t>
  </si>
  <si>
    <t>А16.07.107.000</t>
  </si>
  <si>
    <t>А16.07.108.000</t>
  </si>
  <si>
    <t>А16.07.109.000</t>
  </si>
  <si>
    <t>А16.07.104.000</t>
  </si>
  <si>
    <t>А16.07.105.000</t>
  </si>
  <si>
    <t>А16.07.106.000</t>
  </si>
  <si>
    <t>Наложение одной пломбы из цемента  I, V класса по Блеку</t>
  </si>
  <si>
    <t>Наложение одной пломбы из цемента  II и III класса по Блеку</t>
  </si>
  <si>
    <t>Наложение одной пломбы из цемента IV класса по Блеку</t>
  </si>
  <si>
    <t>Наложение одной пломбы из композитов химического отверждения при поверхностном и среднем кариесе II и III класса по Блеку</t>
  </si>
  <si>
    <t>Наложение одной пломбы из композитов химического отверждения при поверхностном и среднем кариесе I , V класса по Блеку</t>
  </si>
  <si>
    <t>Наложение одной пломбы из композитов химического отверждения при поверхностном и среднем кариесе IV класса по Блеку</t>
  </si>
  <si>
    <t>Наложение одной пломбы из композита светового отверждения I, V класса по Блеку, кариесе цемента корня(стандарт)</t>
  </si>
  <si>
    <t>А16.07.114.000</t>
  </si>
  <si>
    <t>Наложение одной пломбы из композита светового отверждения II и  III класса по Блеку, кариесе цемента корня(стандарт)</t>
  </si>
  <si>
    <t>А16.07.117.000</t>
  </si>
  <si>
    <t>А16.07.120.000</t>
  </si>
  <si>
    <t>Наложение одной пломбы из композита светового отверждения IV класса по Блеку, кариесе цемента корня(стандарт)</t>
  </si>
  <si>
    <t>Определение пародонтальных индексов</t>
  </si>
  <si>
    <t>А12.07.004.000</t>
  </si>
  <si>
    <t>А16.07.138.000</t>
  </si>
  <si>
    <t>Полировка пломбы из композита химического или светового отверждения при лечении кариозных полостей I,II,III,V класса по Блеку</t>
  </si>
  <si>
    <t>Полировка пломбы из композита химического или светового отверждения при лечении кариозных полостей IV класса по Блеку</t>
  </si>
  <si>
    <t>А16.07.137.000</t>
  </si>
  <si>
    <t>Распломбирование одного корневого канала, пломбированного  цинк-эвгеноловой пастой</t>
  </si>
  <si>
    <t>А16.07.315.000</t>
  </si>
  <si>
    <t xml:space="preserve">Расшлифовка одной фиссуры,сошлифовка некротических масс при кариесе в стадии пятна </t>
  </si>
  <si>
    <t>А16.07.101.000</t>
  </si>
  <si>
    <t>А16.07.403.000</t>
  </si>
  <si>
    <t>Удаление наддесневых и поддесневых зубных отложений в области зуба ручным методом</t>
  </si>
  <si>
    <t>А16.07.020.001</t>
  </si>
  <si>
    <t>Снятие постоянной пломбы</t>
  </si>
  <si>
    <t>А16.07.088.001</t>
  </si>
  <si>
    <t>Вскрытие пародонтального абцесса (гингивотомия)</t>
  </si>
  <si>
    <t>А16.07.411.000</t>
  </si>
  <si>
    <t xml:space="preserve">Закрытие одной фисуры герметиком </t>
  </si>
  <si>
    <t>А16.07.102.000</t>
  </si>
  <si>
    <t>А16.07.534.000</t>
  </si>
  <si>
    <t>А16.07.512.000</t>
  </si>
  <si>
    <t>А16.07.513.000</t>
  </si>
  <si>
    <t>Внеротовой разрез с дренированием раны</t>
  </si>
  <si>
    <t>А16.04.018.001</t>
  </si>
  <si>
    <t>Наложение шва на слизистую оболочку рта</t>
  </si>
  <si>
    <t>А16.07.097.000</t>
  </si>
  <si>
    <t>Операция удаления ретинированного, дистопированного или сверхкомплектного зуба</t>
  </si>
  <si>
    <t>А16.07.024.000</t>
  </si>
  <si>
    <t>Остановка луночного кровотечения без наложения швов</t>
  </si>
  <si>
    <t>А16.07.095.001</t>
  </si>
  <si>
    <t>А16.07.509.000</t>
  </si>
  <si>
    <t>А16.07.525.000</t>
  </si>
  <si>
    <t>Первичная хирургическая обработка раны  без наложения швов</t>
  </si>
  <si>
    <t>А16.07.530.000</t>
  </si>
  <si>
    <t xml:space="preserve">Резекция верхушки корня </t>
  </si>
  <si>
    <t>А16.07.007.000</t>
  </si>
  <si>
    <t xml:space="preserve">Сложное удаление зуба с выкраиванием слизисто-надкостничного лоскута и резекцией костной пластинки </t>
  </si>
  <si>
    <t>А16.07.505.000</t>
  </si>
  <si>
    <t>А16.07.001.001</t>
  </si>
  <si>
    <t>А16.07.001.000</t>
  </si>
  <si>
    <t>Удаление зуба сложное с разъединением корней</t>
  </si>
  <si>
    <t>А16.07.001.003</t>
  </si>
  <si>
    <t>А16.07.001.002</t>
  </si>
  <si>
    <t>Удаление постоянного  зуба</t>
  </si>
  <si>
    <t>А16.07.539.000</t>
  </si>
  <si>
    <t>Кюретаж пародонтальных карманов в области одного зуба без отслаивания лоскута</t>
  </si>
  <si>
    <t>А16.07.407.000</t>
  </si>
  <si>
    <t>В04.014.004.002</t>
  </si>
  <si>
    <t>В04.014.004.009</t>
  </si>
  <si>
    <t>Вакцинация  против гриппа с использованием отечественной вакцины</t>
  </si>
  <si>
    <t>Вакцина</t>
  </si>
  <si>
    <t>Исследование времени свертывания нестабилизированной крови или рекальцификации плазмы неактивированное</t>
  </si>
  <si>
    <t>A12.05.014.000</t>
  </si>
  <si>
    <t xml:space="preserve">А11.05.001.000 </t>
  </si>
  <si>
    <t>А11.05.001.000</t>
  </si>
  <si>
    <t xml:space="preserve"> А12.05.014.000</t>
  </si>
  <si>
    <t>А12.05.015.000</t>
  </si>
  <si>
    <t>А09.19.002.000</t>
  </si>
  <si>
    <t>А09.19.009.000</t>
  </si>
  <si>
    <t>А09.19.001.000</t>
  </si>
  <si>
    <t>А09.05.003.000</t>
  </si>
  <si>
    <t>А12.05.119.000</t>
  </si>
  <si>
    <t>А09.05.010.000</t>
  </si>
  <si>
    <t>А09.05.026.000</t>
  </si>
  <si>
    <t>A09.28.011.000</t>
  </si>
  <si>
    <t>А26.21.001.000</t>
  </si>
  <si>
    <t>А26.01.019.000</t>
  </si>
  <si>
    <t>А09.05.023.000</t>
  </si>
  <si>
    <t>В03.016.004.000</t>
  </si>
  <si>
    <t>В03.016.003.000</t>
  </si>
  <si>
    <t>Общий (клинический) анализ мочи</t>
  </si>
  <si>
    <t>В03.016.006.000</t>
  </si>
  <si>
    <t xml:space="preserve">А12.05.005.000             </t>
  </si>
  <si>
    <t>А12.05.006.003</t>
  </si>
  <si>
    <t>А09.28.003.000</t>
  </si>
  <si>
    <t>В03.016.002.000</t>
  </si>
  <si>
    <t>А08.05.006.000</t>
  </si>
  <si>
    <t>Исследование антител к кардиолипину в крови УМСС)</t>
  </si>
  <si>
    <t>А12.06.029.000</t>
  </si>
  <si>
    <t>В01.001.01.000</t>
  </si>
  <si>
    <t>В01.001.02.000</t>
  </si>
  <si>
    <t>В04.001.02.000</t>
  </si>
  <si>
    <t>А02.20.001.000</t>
  </si>
  <si>
    <t>В01.001.04.000</t>
  </si>
  <si>
    <t>В01.001.05.000</t>
  </si>
  <si>
    <t>Получение  соскоба с шейки матки</t>
  </si>
  <si>
    <t>А11.20.025.000</t>
  </si>
  <si>
    <t>А11.20.013.000</t>
  </si>
  <si>
    <t>А11.20.014.000</t>
  </si>
  <si>
    <t>А11.20.015.000</t>
  </si>
  <si>
    <t>А03.20.001.000</t>
  </si>
  <si>
    <t>Предрейсовый (предсменный) медицинский осмотр с АСПО</t>
  </si>
  <si>
    <t>A02.30.011.000</t>
  </si>
  <si>
    <t>Послерейсовый (послесменный) медицинский осмотр с АСПО</t>
  </si>
  <si>
    <t>A02.30.013.000</t>
  </si>
  <si>
    <t>Предсменный медицинский осмотр водителей автотранспортных средств</t>
  </si>
  <si>
    <t>Послесменный медицинский осмотр водителей автотранспортных средств</t>
  </si>
  <si>
    <t>A02.30.015.000</t>
  </si>
  <si>
    <t>A02.30.016.000</t>
  </si>
  <si>
    <t>Медицинский осмотр предварительный при поступлении на работу, связанную с вредными и (или) опасными условиями труда, или тяжелую работу (женщины) по приказу от 12.04.2011г №302н приложение 2 п.14-26</t>
  </si>
  <si>
    <t>B03.070.014.008</t>
  </si>
  <si>
    <t>Медицинский осмотр предварительный при поступлении на работу, связанную с вредными и (или) опасными условиями труда, или тяжелую работу (мужчины) по приказу от 12.04.2011г №302н прил.2 п.14-26</t>
  </si>
  <si>
    <t>B03.070.015.007</t>
  </si>
  <si>
    <t>B01.023.001.000</t>
  </si>
  <si>
    <t>B01.023.002.000</t>
  </si>
  <si>
    <t>B04.023.002.000</t>
  </si>
  <si>
    <t>B01.028.001.000</t>
  </si>
  <si>
    <t>B01.028.002.000</t>
  </si>
  <si>
    <t>B04.028.002.000</t>
  </si>
  <si>
    <t>B01.029.001.000</t>
  </si>
  <si>
    <t>B01.029.002.000</t>
  </si>
  <si>
    <t>B04.029.002.000</t>
  </si>
  <si>
    <t>B01.031.001.000</t>
  </si>
  <si>
    <t>B01.031.002.000</t>
  </si>
  <si>
    <t>B04.031.004.000</t>
  </si>
  <si>
    <t>B01.033.001.000</t>
  </si>
  <si>
    <t>B01.033.002.000</t>
  </si>
  <si>
    <t>B04.033.002.000</t>
  </si>
  <si>
    <t>Прием (осмотр, консультация) врача-рентгенолога первичный</t>
  </si>
  <si>
    <t>Прием (осмотр, консультация) врача-рентгенолога повторный</t>
  </si>
  <si>
    <t>B01.039.001.000</t>
  </si>
  <si>
    <t>B01.039.002.000</t>
  </si>
  <si>
    <t>Рентгенография  бедренной кости</t>
  </si>
  <si>
    <t>А06.03.043.000</t>
  </si>
  <si>
    <t>А06.03.046.000</t>
  </si>
  <si>
    <t>А06.03.005.000</t>
  </si>
  <si>
    <t>А06.04.012.000</t>
  </si>
  <si>
    <t>А06.03.017.000</t>
  </si>
  <si>
    <t>А06.03.048.000</t>
  </si>
  <si>
    <t>А06.07.008.000</t>
  </si>
  <si>
    <t>А06.03.028.000</t>
  </si>
  <si>
    <t>А06.03.024.000</t>
  </si>
  <si>
    <t>А06.03.010.000</t>
  </si>
  <si>
    <t>Рентгенография кисти</t>
  </si>
  <si>
    <t>А06.03.032.000</t>
  </si>
  <si>
    <t>А06.03.022.000</t>
  </si>
  <si>
    <t>А06.04.005.000</t>
  </si>
  <si>
    <t>А06.09.007.000</t>
  </si>
  <si>
    <t>А06.04.003.000</t>
  </si>
  <si>
    <t>А06.03.026.000</t>
  </si>
  <si>
    <t>А06.04.004.000</t>
  </si>
  <si>
    <t>А06.04.010.000</t>
  </si>
  <si>
    <t>А06.03.020.000</t>
  </si>
  <si>
    <t>Рентгенография поясничного и крестцового отдела позвоночника</t>
  </si>
  <si>
    <t>А06.03.016.000</t>
  </si>
  <si>
    <t>А06.03.015.000</t>
  </si>
  <si>
    <t>А06.03.023.000</t>
  </si>
  <si>
    <t>А06.03.038.000</t>
  </si>
  <si>
    <t>А06.03.052.000</t>
  </si>
  <si>
    <t>Рентгенография стопы в одной проекции</t>
  </si>
  <si>
    <t>Флюорография легких цифровая</t>
  </si>
  <si>
    <t>A06.09.006.001</t>
  </si>
  <si>
    <t>A11.12.003.000</t>
  </si>
  <si>
    <t>A11.02.002.000</t>
  </si>
  <si>
    <t>Взятие крови из периферической вены с помощью стерильной вакуумной пробирки (с использованием одной пробирки)</t>
  </si>
  <si>
    <t>A11.12.009.002</t>
  </si>
  <si>
    <t>A15.03.001.000</t>
  </si>
  <si>
    <t>A15.01.002.000</t>
  </si>
  <si>
    <t>A14.20.001.000</t>
  </si>
  <si>
    <t>B01.047.005.000</t>
  </si>
  <si>
    <t>В01.047.006.000</t>
  </si>
  <si>
    <t>В04.047.004.000</t>
  </si>
  <si>
    <t>Вакцинация против гриппа с использованием отечественной вакцины (взрослые)</t>
  </si>
  <si>
    <t>Вакцинация против клещевого энцефалита  с использованием вакцины отечественного производства (дети)</t>
  </si>
  <si>
    <t>Вакцинация против клещевого энцефалита  с использованием вакцины отечественного производства (взрослые)</t>
  </si>
  <si>
    <t xml:space="preserve">B04.014.004.000                 </t>
  </si>
  <si>
    <t>A17.09.002.001</t>
  </si>
  <si>
    <t>A17.30.019.000</t>
  </si>
  <si>
    <t>A17.30.004.000</t>
  </si>
  <si>
    <t>A17.30.017.000</t>
  </si>
  <si>
    <t>A22.24.002.000</t>
  </si>
  <si>
    <t>Гальванизация при заболеваниях периферической нервной системы</t>
  </si>
  <si>
    <t>A17.24.002.000</t>
  </si>
  <si>
    <t>Дарсонвализация (внутриполостная)</t>
  </si>
  <si>
    <t>A17.20.005.003</t>
  </si>
  <si>
    <t>A20.24.002.000</t>
  </si>
  <si>
    <t>A22.07.005.000</t>
  </si>
  <si>
    <t>A17.30.034.000</t>
  </si>
  <si>
    <t>А17.08.001.000</t>
  </si>
  <si>
    <t>A17.23.001.000</t>
  </si>
  <si>
    <t>А17.24.005.000</t>
  </si>
  <si>
    <t>А17.28.001.000</t>
  </si>
  <si>
    <t>А17.30.024.000</t>
  </si>
  <si>
    <t xml:space="preserve">Массаж век </t>
  </si>
  <si>
    <t>А21.26.001.001</t>
  </si>
  <si>
    <t>А21.01.005.000</t>
  </si>
  <si>
    <t>А21.30.001.001</t>
  </si>
  <si>
    <t>А21.01.002.000</t>
  </si>
  <si>
    <t>А21.01.008.000</t>
  </si>
  <si>
    <t>А21.30.004.000</t>
  </si>
  <si>
    <t>А21.24.004.000</t>
  </si>
  <si>
    <t>А21.03.002.000</t>
  </si>
  <si>
    <t>А21.10.002.000</t>
  </si>
  <si>
    <t>А21.23.001.000</t>
  </si>
  <si>
    <t>А21.03.001.000</t>
  </si>
  <si>
    <t>А21.09.002.000</t>
  </si>
  <si>
    <t>А21.01.003.000</t>
  </si>
  <si>
    <t>A21.01.001.000</t>
  </si>
  <si>
    <t>A05.23.001.000</t>
  </si>
  <si>
    <t>Электрокардиографическое исследование в 12-ти отведениях</t>
  </si>
  <si>
    <t>A05.10.002.001</t>
  </si>
  <si>
    <t>Функциональное тестирование легких  (спирография)</t>
  </si>
  <si>
    <t>B03.037.001.000</t>
  </si>
  <si>
    <t>B01.057.001.000</t>
  </si>
  <si>
    <t>B01.057.002.000</t>
  </si>
  <si>
    <t>B04.057.002.000</t>
  </si>
  <si>
    <t>A16.01.002.000</t>
  </si>
  <si>
    <t>A16.01.011.000</t>
  </si>
  <si>
    <t>A16.01.004.000</t>
  </si>
  <si>
    <t>B01.058.001.000</t>
  </si>
  <si>
    <t>В01.008.001.000</t>
  </si>
  <si>
    <t>В01.008.002.000</t>
  </si>
  <si>
    <t>В01.058.002.000</t>
  </si>
  <si>
    <t>В04.008.002.000</t>
  </si>
  <si>
    <t>B06.070.008.000</t>
  </si>
  <si>
    <t>А16.07.092.000</t>
  </si>
  <si>
    <t>А16.07.112.000</t>
  </si>
  <si>
    <t>А16.07.523.000</t>
  </si>
  <si>
    <t>Лечение перикоронарита(промывание, рассечение и/или иссечение)</t>
  </si>
  <si>
    <t>А16.07.013.000</t>
  </si>
  <si>
    <t>Отсроченный кюретаж лунки удаленного зуба</t>
  </si>
  <si>
    <t>А16.07.410.000</t>
  </si>
  <si>
    <t>Введение лекарственных препаратовв пародонтальный карман(в области одного зуба):орошение, аппликация, инстилляция</t>
  </si>
  <si>
    <t>А16.07.617.000</t>
  </si>
  <si>
    <t>Анализ прицельной внутриротовой рентгенограммы на стоматологическом приеме</t>
  </si>
  <si>
    <t>А25.07.003.000</t>
  </si>
  <si>
    <t>Назначение лечебно-оздоровительного режима при заболеваниях полости рта и зубов</t>
  </si>
  <si>
    <t>А16.07.095.003</t>
  </si>
  <si>
    <t>Обраблтка одного зуба фторидсодержащим препаратом</t>
  </si>
  <si>
    <t>А16.07.401.000</t>
  </si>
  <si>
    <t>Удаление зубных отложений ручным способом (с одного зуба)</t>
  </si>
  <si>
    <t>"СОГЛАСОВАНО"                                                                    "УТВЕРЖДАЮ"</t>
  </si>
  <si>
    <t>Вакцинация  против клещевого энцефалита с использованием вакцины отечественного производства (взрослые)</t>
  </si>
  <si>
    <t>Вакцинация  против клещевого энцефалита с использованием вакцины отечественного производства (дети)</t>
  </si>
  <si>
    <t>"____"_________2018г.</t>
  </si>
  <si>
    <t>А.17.30.035.000</t>
  </si>
  <si>
    <t>Электростимуляция ( Аппарат ДЭНАС-Вертебра)</t>
  </si>
  <si>
    <t xml:space="preserve">Программа А </t>
  </si>
  <si>
    <t>1 сеанс</t>
  </si>
  <si>
    <t>Программа Е (комбинированная)</t>
  </si>
  <si>
    <t>Программа А (обасть спины)</t>
  </si>
  <si>
    <t>Программа Б (область спины)</t>
  </si>
  <si>
    <t>Программа С (область спины)</t>
  </si>
  <si>
    <t>Программа Д (малая область спины)</t>
  </si>
  <si>
    <t>на 2019 год</t>
  </si>
  <si>
    <t>Фонд рабочего времени, 2019 год</t>
  </si>
  <si>
    <t xml:space="preserve"> - Для врачебных специальностей, среднего медицинского персонала, не указанных в табл., коэффициент использования рабочего времени принимается равным 0,923, годовая норма рабочего времени 2019 года составляет 1911,8 часов.</t>
  </si>
  <si>
    <t>сумма
врачебного и среднего медицинского персонала, 
за 2018 год</t>
  </si>
  <si>
    <t>сумма,
2018 год</t>
  </si>
  <si>
    <t>сумма, 
2018 год</t>
  </si>
  <si>
    <t>Проведениепрофессиональной гигиены одного зуба (снятие мягкого пигментированного налета, налета курильщика)</t>
  </si>
  <si>
    <t>А16.07.051.001</t>
  </si>
  <si>
    <t>Полоски шлифовальные (штрипсы)</t>
  </si>
  <si>
    <t>Щетка полировочная</t>
  </si>
  <si>
    <t>Материал для уд/зубных отложений</t>
  </si>
  <si>
    <t>гр</t>
  </si>
  <si>
    <t>Инъекционное введение лекарственных препаратов в челюстно-лицевую область</t>
  </si>
  <si>
    <t>А11.07.011.000</t>
  </si>
  <si>
    <t xml:space="preserve">Шприц одноразовый </t>
  </si>
  <si>
    <t>Анестезия (1 ампула)</t>
  </si>
  <si>
    <t>Наложение девитализирующей пасты</t>
  </si>
  <si>
    <t>А11.07.027.000</t>
  </si>
  <si>
    <t>Наложение временной пломбы</t>
  </si>
  <si>
    <t>А16.07.002.009</t>
  </si>
  <si>
    <t>Времееный пломбировочный материал</t>
  </si>
  <si>
    <t>Снятие временной пломбы</t>
  </si>
  <si>
    <t>А16.07.091.000</t>
  </si>
  <si>
    <t xml:space="preserve">Бор </t>
  </si>
  <si>
    <t>Комплексное ультразвуковой исследование внутренних органов</t>
  </si>
  <si>
    <t>В03.052.001.000</t>
  </si>
  <si>
    <t>Дезсредство</t>
  </si>
  <si>
    <t>Гель</t>
  </si>
  <si>
    <t>Аппарат УЗИ</t>
  </si>
  <si>
    <t>Ультразвуковое исследование в первом триместре беременности</t>
  </si>
  <si>
    <t>Ультразвуковое исследование брюшины</t>
  </si>
  <si>
    <t>А04.20.002.000</t>
  </si>
  <si>
    <t>Ультразвуковое исследование внутренних женских половых органов двумя датчиками</t>
  </si>
  <si>
    <t>A04.30.006.000</t>
  </si>
  <si>
    <t>А04.20.001.007</t>
  </si>
  <si>
    <t>А04.20.001.008</t>
  </si>
  <si>
    <t>презерватив</t>
  </si>
  <si>
    <t>Ультразвуковое исследование матки и придатков (после медицинского аборта)</t>
  </si>
  <si>
    <t>А04.20.001.000</t>
  </si>
  <si>
    <t>Ультразвуковое исследование матки и придатков трансвагинальное</t>
  </si>
  <si>
    <t>А04.20.001.001</t>
  </si>
  <si>
    <t>Ультразвуковое исследование молочных желез</t>
  </si>
  <si>
    <t>А04.20.003.000</t>
  </si>
  <si>
    <t>Ультразвуковое исследование плода</t>
  </si>
  <si>
    <t>А04.30.001.000</t>
  </si>
  <si>
    <t>Ультразвуковое исследование плода (II и  III триместре)</t>
  </si>
  <si>
    <t>А04.30.001.006</t>
  </si>
  <si>
    <t>Ультразвуковое исследование плода (в I триместре)</t>
  </si>
  <si>
    <t>А04.30.001.005</t>
  </si>
  <si>
    <t>Ультразвуковое исследование плода при беременности малого срока</t>
  </si>
  <si>
    <t>А04.30.001.009</t>
  </si>
  <si>
    <t>Ультразвуковое исследование  при беременности 1 триместра</t>
  </si>
  <si>
    <t>А04.20.001.006</t>
  </si>
  <si>
    <t>Ультразвуковое исследование  головного мозга</t>
  </si>
  <si>
    <t>А04.23.001.001</t>
  </si>
  <si>
    <t>Ультразвуковое исследование  двенадцатиперстной кишки</t>
  </si>
  <si>
    <t>А04.30.007.014</t>
  </si>
  <si>
    <t>Ультразвуковое исследование  желудка</t>
  </si>
  <si>
    <t>А04.16.007.000</t>
  </si>
  <si>
    <t>Ультразвуковое исследование  легких</t>
  </si>
  <si>
    <t>А04.09.002.000</t>
  </si>
  <si>
    <t>Ультразвуковое исследование  лимфотических узлов (одна анатомическая зона)</t>
  </si>
  <si>
    <t>А04.06.002.000</t>
  </si>
  <si>
    <t>Ультразвуковое исследование  мочевого пузыря</t>
  </si>
  <si>
    <t>А04.28.002.003</t>
  </si>
  <si>
    <t>Ультразвуковое исследование  мочевого пузыря с определением остаточной мочи</t>
  </si>
  <si>
    <t>А04.28.002.005</t>
  </si>
  <si>
    <t>Ультразвуковое исследование  мочевыводящих путей</t>
  </si>
  <si>
    <t>А04.28.002.000</t>
  </si>
  <si>
    <t>Ультразвуковое исследование  мочеточников</t>
  </si>
  <si>
    <t>Ультразвуковое исследование надпочечников</t>
  </si>
  <si>
    <t>А04.22.002.000</t>
  </si>
  <si>
    <t>А04.16.001.000</t>
  </si>
  <si>
    <t>Ультразвуковое исследование органов брющной полости (комплексное)</t>
  </si>
  <si>
    <t>Ультразвуковое исследование печени и желчного пузыря</t>
  </si>
  <si>
    <t>А04.30.007.015</t>
  </si>
  <si>
    <t>Ультразвуковое исследование поджелудочной железы</t>
  </si>
  <si>
    <t>А04.15.001.000</t>
  </si>
  <si>
    <t>Ультразвуковое исследование почек</t>
  </si>
  <si>
    <t>А04.28.002.001</t>
  </si>
  <si>
    <t>Ультразвуковое исследование почек и надпочечников</t>
  </si>
  <si>
    <t>А04.30.007.018</t>
  </si>
  <si>
    <t>Ультразвуковое исследование почек и мочевого пузыря</t>
  </si>
  <si>
    <t>А04.28.001.000</t>
  </si>
  <si>
    <t>Ультразвуковое исследование предстательной железы</t>
  </si>
  <si>
    <t>А04.21.001.000</t>
  </si>
  <si>
    <t>Ультразвуковое исследование мошонки</t>
  </si>
  <si>
    <t>А04.28.003.000</t>
  </si>
  <si>
    <t>Ультразвуковое исследование органов пищеварения</t>
  </si>
  <si>
    <t>А04.16.005.002</t>
  </si>
  <si>
    <t>Ультразвуковое исследование селезенки</t>
  </si>
  <si>
    <t>А04.06.001.000</t>
  </si>
  <si>
    <t>Ультразвуковое исследование щитовидной железы</t>
  </si>
  <si>
    <t>А04.22.004.000</t>
  </si>
  <si>
    <t>Ультразвуковое исследование щитовидной железы и паращитовидных желез</t>
  </si>
  <si>
    <t>А04.22.001.000</t>
  </si>
  <si>
    <t>Расчет стоимости медицинских услуг на 2019г.</t>
  </si>
  <si>
    <t>УЛЬТРАЗВУКОВАЯ ДИАГНОСТИКА</t>
  </si>
  <si>
    <t>Ультразвуковое исследование матки и придатков трансабдоминальное</t>
  </si>
  <si>
    <t>_____________________ 2019 года</t>
  </si>
  <si>
    <t>Перчатки</t>
  </si>
  <si>
    <t>Мыло жидкое</t>
  </si>
  <si>
    <t>Салфетка марлевая</t>
  </si>
  <si>
    <t>шприц</t>
  </si>
  <si>
    <t>Салфетка спиртовая</t>
  </si>
  <si>
    <t>Электростимуляция ( Аппарат ДЭНАС-Вертебра) 1 сеанс</t>
  </si>
  <si>
    <t>Холтеровское мониторирование ЭКГ</t>
  </si>
  <si>
    <t>Аппарат ЭЭГ</t>
  </si>
  <si>
    <t>Холтер ЭКГ</t>
  </si>
  <si>
    <t>Холтеровское мониторирование артериального давления</t>
  </si>
  <si>
    <t>A05.10.008.001</t>
  </si>
  <si>
    <t>электрод</t>
  </si>
  <si>
    <t>Комбинированое суточное мониторирование электрокардиограммы и артериального давления</t>
  </si>
  <si>
    <t>A12.12.004.002</t>
  </si>
  <si>
    <t>Неготоскоп</t>
  </si>
  <si>
    <t>Рентгенография верхней челюсти в боковой проекции</t>
  </si>
  <si>
    <t>Гальванизация (1 поле)</t>
  </si>
  <si>
    <t>Аппарат "Полюс-1"</t>
  </si>
  <si>
    <t>Воздействие магнитными полями при патологии полости рта и зубов</t>
  </si>
  <si>
    <t>A17.07.013.000</t>
  </si>
  <si>
    <t>Офтальмоскоп</t>
  </si>
  <si>
    <t>Облучатель ультрафиолетовый</t>
  </si>
  <si>
    <t>А17.30.035.000</t>
  </si>
  <si>
    <t>ДЭНАС-Вертебра</t>
  </si>
  <si>
    <t>Электростимуляция, программа А,Б</t>
  </si>
  <si>
    <t>Электростимуляция, программа С</t>
  </si>
  <si>
    <t>Электростимуляция, программа D</t>
  </si>
  <si>
    <t>Электростимуляция, программа E</t>
  </si>
  <si>
    <t>A17.26.002.000</t>
  </si>
  <si>
    <t>Низкочастотная магнитотерапия на орган зрения</t>
  </si>
  <si>
    <t>А17.26.002.000</t>
  </si>
  <si>
    <t>Офтальмаг</t>
  </si>
  <si>
    <t>Исследование антител к кардиолипину в крови (УМСС)</t>
  </si>
  <si>
    <t>Пищеблок</t>
  </si>
  <si>
    <t>Лечение в 2-х местной палате дневного стационара (1 пациенто-день) терапевтического профиля (без физиопроцедур, без массажа)</t>
  </si>
  <si>
    <t xml:space="preserve">                                                                                                                  "___"______________2019г.                                                     "____"___________________2019г.</t>
  </si>
  <si>
    <t>Прием (осмотр,консультация) врача-рефлексотерапевта первичный</t>
  </si>
  <si>
    <t>Прием (осмотр,консультация) врача-рефлексотерапевта повторный</t>
  </si>
  <si>
    <t>Рефлексотерапия</t>
  </si>
  <si>
    <t>РЕФЛЕКСОТЕРАПИЯ</t>
  </si>
  <si>
    <t>В01.041.001.000</t>
  </si>
  <si>
    <t>В01.041.002.000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</si>
  <si>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</si>
  <si>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</si>
  <si>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А21.08.001.000</t>
  </si>
  <si>
    <t>Лазеропунктура</t>
  </si>
  <si>
    <t>А17.01.002.003</t>
  </si>
  <si>
    <t>А17.01.002.006</t>
  </si>
  <si>
    <t>Магнитоаппликация</t>
  </si>
  <si>
    <t>Микроиглотерапия</t>
  </si>
  <si>
    <t>А21.30.011.000</t>
  </si>
  <si>
    <t>Поверхностная иглотерапия</t>
  </si>
  <si>
    <t>А21.30.014.000</t>
  </si>
  <si>
    <t>Аурикулодиагностика</t>
  </si>
  <si>
    <t>А21.30.012.000</t>
  </si>
  <si>
    <t>Аурикулотерапия</t>
  </si>
  <si>
    <t>А21.30.013.000</t>
  </si>
  <si>
    <t>Вакуум массаж</t>
  </si>
  <si>
    <t>А21.30.019.003</t>
  </si>
  <si>
    <t>Диагностика по методу Фоля с подбором медикаментов</t>
  </si>
  <si>
    <t>А21.30.009.000</t>
  </si>
  <si>
    <t>Классическая корпоральная иглотерапия</t>
  </si>
  <si>
    <t>В01.054.007.001</t>
  </si>
  <si>
    <t>Электропунтура и электропунктура в рефлексотерапии</t>
  </si>
  <si>
    <t>А17.01.001.000</t>
  </si>
  <si>
    <t>Элетрорефлексотерапия</t>
  </si>
  <si>
    <t>А17.01.001.001</t>
  </si>
  <si>
    <t>Рефлексотерапия (1 сеанс)</t>
  </si>
  <si>
    <t>Лазеропунктура (1 сеанс)</t>
  </si>
  <si>
    <t>Магнитоаппликация (1 сеанс)</t>
  </si>
  <si>
    <t>Микроиглотерапия (1 сеанс)</t>
  </si>
  <si>
    <t>Поверхностная иглотерапия (1 сеанс)</t>
  </si>
  <si>
    <t>Аурикулодиагностика (1 сеанс)</t>
  </si>
  <si>
    <t>Аурикулотерапия (1 сеанс)</t>
  </si>
  <si>
    <t>Вакуум массаж (1 сеанс)</t>
  </si>
  <si>
    <t>Диагностика по методу Фоля с подбором медикаментов (1 сеанс)</t>
  </si>
  <si>
    <t>Классическая корпоральная иглотерапия (1 сеанс)</t>
  </si>
  <si>
    <t>Электропунтура и электропунктура в рефлексотерапии (1 сеанс)</t>
  </si>
  <si>
    <t>Элетрорефлексотерапия (1 сеанс)</t>
  </si>
  <si>
    <t>Аппарат МнДэП</t>
  </si>
  <si>
    <t>Аппарат "Дека-Фолль"</t>
  </si>
  <si>
    <t>Молоточек игольчатый</t>
  </si>
  <si>
    <t>Палочка Доктора Редокс</t>
  </si>
  <si>
    <t>Шарики магнитные</t>
  </si>
  <si>
    <t>Иглы Редокс</t>
  </si>
  <si>
    <t>Аппликатор Ляпко-Валик</t>
  </si>
  <si>
    <t>Сигары полынные</t>
  </si>
  <si>
    <t>Игла одноразовая</t>
  </si>
  <si>
    <t>Лечение в 2-х местной палате дневного стационара (1 пациенто-день) терапевтического профиля (без физиотерапевтических процедур и массажа)</t>
  </si>
  <si>
    <t>оклад на 1.07.19</t>
  </si>
  <si>
    <t>А04.12.001.002</t>
  </si>
  <si>
    <t>Ультразвуковая доплерография сосудов (артерий и вен) со спектральным анализом</t>
  </si>
  <si>
    <t>Комплексное ультразвуковое исследование (почки+надпочечники+мочевой пузырь с определением остатков мочи)</t>
  </si>
  <si>
    <t>Эхокардиография</t>
  </si>
  <si>
    <t>А04.10.002.000</t>
  </si>
  <si>
    <t>А04.028.002.001</t>
  </si>
  <si>
    <t>Комплексное ультразвуковое исследование  (почки+надпочечники+мочевой пузырь с определением остатков мочи)</t>
  </si>
  <si>
    <t xml:space="preserve">                                                                                                   Главный врач</t>
  </si>
  <si>
    <t xml:space="preserve">                                                                                                                                                                                     пгт.Наушки"</t>
  </si>
  <si>
    <t xml:space="preserve">                                                                                                   ЧУЗ "Поликлиника "РЖД-Медицина"</t>
  </si>
  <si>
    <t>_____________                                                                         _______________ М.Н.Колодина</t>
  </si>
  <si>
    <t>ЧУЗ "Поликлиника "РЖД-Медицина" пгт.Наушки"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</si>
</sst>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р_._-;\-* #,##0.00_р_._-;_-* &quot;-&quot;??_р_._-;_-@_-"/>
    <numFmt numFmtId="165" formatCode="0.0"/>
    <numFmt numFmtId="166" formatCode="0.000"/>
    <numFmt numFmtId="167" formatCode="0.0000"/>
    <numFmt numFmtId="168" formatCode="_-* #,##0_р_._-;\-* #,##0_р_._-;_-* &quot;-&quot;??_р_._-;_-@_-"/>
    <numFmt numFmtId="169" formatCode="0.0%"/>
    <numFmt numFmtId="170" formatCode="#,##0_р_."/>
    <numFmt numFmtId="171" formatCode="#,##0.000"/>
    <numFmt numFmtId="172" formatCode="#,##0.0000"/>
  </numFmts>
  <fonts count="5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8"/>
      <name val="Arial Cyr"/>
      <charset val="204"/>
    </font>
    <font>
      <b/>
      <i/>
      <sz val="12"/>
      <name val="Arial Cyr"/>
      <charset val="204"/>
    </font>
    <font>
      <sz val="11"/>
      <name val="Arial"/>
      <family val="2"/>
      <charset val="204"/>
    </font>
    <font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name val="Arial Cyr"/>
      <charset val="204"/>
    </font>
    <font>
      <sz val="11"/>
      <name val="Arial Cyr"/>
      <charset val="204"/>
    </font>
    <font>
      <b/>
      <sz val="11"/>
      <name val="Arial Cyr"/>
      <charset val="204"/>
    </font>
    <font>
      <sz val="9"/>
      <name val="Arial Cyr"/>
      <charset val="204"/>
    </font>
    <font>
      <sz val="8"/>
      <name val="Arial"/>
      <family val="2"/>
      <charset val="204"/>
    </font>
    <font>
      <b/>
      <i/>
      <sz val="10"/>
      <name val="Arial Cyr"/>
      <charset val="204"/>
    </font>
    <font>
      <b/>
      <sz val="9"/>
      <name val="Arial Cyr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sz val="8"/>
      <name val="Arial Cyr"/>
      <family val="2"/>
      <charset val="204"/>
    </font>
    <font>
      <b/>
      <i/>
      <sz val="11"/>
      <name val="Arial"/>
      <family val="2"/>
      <charset val="204"/>
    </font>
    <font>
      <b/>
      <i/>
      <sz val="12"/>
      <name val="Arial"/>
      <family val="2"/>
      <charset val="204"/>
    </font>
    <font>
      <b/>
      <sz val="11"/>
      <name val="Arial"/>
      <family val="2"/>
      <charset val="204"/>
    </font>
    <font>
      <i/>
      <sz val="8"/>
      <name val="Arial Cyr"/>
      <charset val="204"/>
    </font>
    <font>
      <sz val="11"/>
      <color indexed="81"/>
      <name val="Tahoma"/>
      <family val="2"/>
      <charset val="204"/>
    </font>
    <font>
      <sz val="12"/>
      <name val="Arial"/>
      <family val="2"/>
      <charset val="204"/>
    </font>
    <font>
      <b/>
      <i/>
      <sz val="16"/>
      <name val="Arial"/>
      <family val="2"/>
      <charset val="204"/>
    </font>
    <font>
      <sz val="16"/>
      <name val="Arial Cyr"/>
      <charset val="204"/>
    </font>
    <font>
      <b/>
      <i/>
      <sz val="14"/>
      <color indexed="8"/>
      <name val="Arial"/>
      <family val="2"/>
      <charset val="204"/>
    </font>
    <font>
      <b/>
      <sz val="14"/>
      <name val="Arial Cyr"/>
      <charset val="204"/>
    </font>
    <font>
      <i/>
      <sz val="12"/>
      <color indexed="8"/>
      <name val="Arial"/>
      <family val="2"/>
      <charset val="204"/>
    </font>
    <font>
      <sz val="12"/>
      <color indexed="81"/>
      <name val="Tahoma"/>
      <family val="2"/>
      <charset val="204"/>
    </font>
    <font>
      <sz val="14"/>
      <color indexed="81"/>
      <name val="Tahoma"/>
      <family val="2"/>
      <charset val="204"/>
    </font>
    <font>
      <b/>
      <sz val="16"/>
      <name val="Arial Cyr"/>
      <charset val="204"/>
    </font>
    <font>
      <b/>
      <sz val="10"/>
      <color indexed="8"/>
      <name val="Arial Cyr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2"/>
      <name val="Arial Narrow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0"/>
      <name val="Arial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color indexed="8"/>
      <name val="Arial Cyr"/>
      <charset val="204"/>
    </font>
    <font>
      <sz val="10"/>
      <name val="Arial Cyr"/>
      <charset val="204"/>
    </font>
    <font>
      <sz val="10"/>
      <color indexed="55"/>
      <name val="Arial Cyr"/>
      <charset val="204"/>
    </font>
    <font>
      <b/>
      <sz val="16"/>
      <name val="Impact"/>
      <family val="2"/>
      <charset val="204"/>
    </font>
    <font>
      <b/>
      <i/>
      <sz val="11"/>
      <name val="Arial Cyr"/>
      <charset val="204"/>
    </font>
    <font>
      <sz val="10"/>
      <color indexed="61"/>
      <name val="Arial Narrow"/>
      <family val="2"/>
      <charset val="204"/>
    </font>
    <font>
      <sz val="10"/>
      <color indexed="20"/>
      <name val="Arial Narrow"/>
      <family val="2"/>
      <charset val="204"/>
    </font>
    <font>
      <sz val="12"/>
      <name val="Arial Narrow"/>
      <family val="2"/>
      <charset val="204"/>
    </font>
    <font>
      <sz val="12"/>
      <color indexed="10"/>
      <name val="Arial Cyr"/>
      <charset val="204"/>
    </font>
    <font>
      <b/>
      <sz val="20"/>
      <name val="Arial Cyr"/>
      <charset val="204"/>
    </font>
    <font>
      <sz val="11"/>
      <color indexed="10"/>
      <name val="Arial"/>
      <family val="2"/>
      <charset val="204"/>
    </font>
    <font>
      <sz val="12"/>
      <color indexed="17"/>
      <name val="Arial Cyr"/>
      <charset val="204"/>
    </font>
    <font>
      <sz val="9"/>
      <name val="Arial"/>
      <family val="2"/>
    </font>
    <font>
      <b/>
      <sz val="16"/>
      <name val="Arial Narrow"/>
      <family val="2"/>
      <charset val="204"/>
    </font>
    <font>
      <sz val="10"/>
      <color rgb="FFFF0000"/>
      <name val="Arial Narrow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9"/>
      </left>
      <right/>
      <top/>
      <bottom/>
      <diagonal/>
    </border>
    <border>
      <left/>
      <right/>
      <top/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/>
      <diagonal/>
    </border>
    <border>
      <left/>
      <right style="thin">
        <color indexed="29"/>
      </right>
      <top style="thin">
        <color indexed="29"/>
      </top>
      <bottom/>
      <diagonal/>
    </border>
    <border>
      <left style="thin">
        <color indexed="29"/>
      </left>
      <right/>
      <top/>
      <bottom style="thin">
        <color indexed="29"/>
      </bottom>
      <diagonal/>
    </border>
    <border>
      <left/>
      <right style="thin">
        <color indexed="29"/>
      </right>
      <top/>
      <bottom style="thin">
        <color indexed="2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84">
    <xf numFmtId="0" fontId="0" fillId="0" borderId="0" xfId="0"/>
    <xf numFmtId="0" fontId="2" fillId="0" borderId="1" xfId="0" applyFont="1" applyFill="1" applyBorder="1"/>
    <xf numFmtId="2" fontId="2" fillId="0" borderId="1" xfId="0" applyNumberFormat="1" applyFont="1" applyFill="1" applyBorder="1"/>
    <xf numFmtId="0" fontId="2" fillId="0" borderId="0" xfId="0" applyFont="1" applyFill="1"/>
    <xf numFmtId="0" fontId="0" fillId="0" borderId="0" xfId="0" applyBorder="1" applyAlignment="1">
      <alignment horizontal="center" vertical="center" wrapText="1"/>
    </xf>
    <xf numFmtId="0" fontId="7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0" fontId="7" fillId="0" borderId="0" xfId="0" applyFont="1" applyBorder="1"/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1" fontId="10" fillId="0" borderId="0" xfId="0" applyNumberFormat="1" applyFont="1" applyBorder="1" applyAlignment="1">
      <alignment horizontal="center" vertical="center"/>
    </xf>
    <xf numFmtId="165" fontId="11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quotePrefix="1" applyFont="1" applyBorder="1" applyAlignment="1">
      <alignment horizontal="center" vertical="center"/>
    </xf>
    <xf numFmtId="168" fontId="0" fillId="0" borderId="0" xfId="1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/>
    <xf numFmtId="1" fontId="0" fillId="0" borderId="0" xfId="0" applyNumberForma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/>
    </xf>
    <xf numFmtId="0" fontId="1" fillId="0" borderId="0" xfId="0" applyFont="1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/>
    </xf>
    <xf numFmtId="0" fontId="13" fillId="0" borderId="0" xfId="0" applyFont="1" applyFill="1"/>
    <xf numFmtId="0" fontId="14" fillId="0" borderId="0" xfId="0" applyFont="1" applyFill="1"/>
    <xf numFmtId="0" fontId="13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center" vertical="center" textRotation="90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 textRotation="90" wrapText="1"/>
    </xf>
    <xf numFmtId="2" fontId="4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/>
    <xf numFmtId="0" fontId="13" fillId="0" borderId="1" xfId="0" applyFont="1" applyFill="1" applyBorder="1" applyAlignment="1">
      <alignment horizontal="center"/>
    </xf>
    <xf numFmtId="1" fontId="13" fillId="0" borderId="1" xfId="0" applyNumberFormat="1" applyFont="1" applyFill="1" applyBorder="1"/>
    <xf numFmtId="165" fontId="13" fillId="0" borderId="1" xfId="0" applyNumberFormat="1" applyFont="1" applyFill="1" applyBorder="1"/>
    <xf numFmtId="165" fontId="13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9" fontId="2" fillId="0" borderId="1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Fill="1" applyBorder="1" applyAlignment="1">
      <alignment horizontal="center"/>
    </xf>
    <xf numFmtId="2" fontId="18" fillId="0" borderId="1" xfId="0" applyNumberFormat="1" applyFont="1" applyFill="1" applyBorder="1" applyAlignment="1">
      <alignment horizontal="center"/>
    </xf>
    <xf numFmtId="2" fontId="18" fillId="0" borderId="1" xfId="0" applyNumberFormat="1" applyFont="1" applyFill="1" applyBorder="1"/>
    <xf numFmtId="0" fontId="13" fillId="0" borderId="2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left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left" vertical="center" wrapText="1"/>
    </xf>
    <xf numFmtId="2" fontId="2" fillId="0" borderId="1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19" fillId="0" borderId="0" xfId="0" applyFont="1"/>
    <xf numFmtId="0" fontId="20" fillId="0" borderId="5" xfId="0" applyFont="1" applyBorder="1"/>
    <xf numFmtId="0" fontId="6" fillId="2" borderId="1" xfId="0" applyFont="1" applyFill="1" applyBorder="1" applyAlignment="1">
      <alignment horizontal="center" vertical="center" wrapText="1"/>
    </xf>
    <xf numFmtId="9" fontId="6" fillId="0" borderId="1" xfId="0" applyNumberFormat="1" applyFont="1" applyBorder="1"/>
    <xf numFmtId="0" fontId="6" fillId="0" borderId="1" xfId="0" applyFont="1" applyBorder="1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21" fillId="0" borderId="1" xfId="0" applyFont="1" applyBorder="1" applyAlignment="1">
      <alignment wrapText="1"/>
    </xf>
    <xf numFmtId="9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left"/>
    </xf>
    <xf numFmtId="9" fontId="21" fillId="0" borderId="1" xfId="0" applyNumberFormat="1" applyFont="1" applyBorder="1" applyAlignment="1">
      <alignment wrapText="1"/>
    </xf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center" wrapText="1"/>
    </xf>
    <xf numFmtId="9" fontId="6" fillId="0" borderId="2" xfId="0" applyNumberFormat="1" applyFont="1" applyBorder="1"/>
    <xf numFmtId="0" fontId="21" fillId="0" borderId="7" xfId="0" applyFont="1" applyBorder="1" applyAlignment="1">
      <alignment wrapText="1"/>
    </xf>
    <xf numFmtId="9" fontId="21" fillId="0" borderId="7" xfId="0" applyNumberFormat="1" applyFont="1" applyBorder="1" applyAlignment="1">
      <alignment wrapText="1"/>
    </xf>
    <xf numFmtId="0" fontId="6" fillId="0" borderId="0" xfId="0" applyFont="1" applyBorder="1"/>
    <xf numFmtId="2" fontId="6" fillId="0" borderId="0" xfId="0" applyNumberFormat="1" applyFont="1" applyBorder="1"/>
    <xf numFmtId="0" fontId="6" fillId="2" borderId="2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wrapText="1"/>
    </xf>
    <xf numFmtId="9" fontId="6" fillId="0" borderId="7" xfId="0" applyNumberFormat="1" applyFont="1" applyBorder="1" applyAlignment="1">
      <alignment horizontal="center" wrapText="1"/>
    </xf>
    <xf numFmtId="2" fontId="6" fillId="2" borderId="0" xfId="0" applyNumberFormat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9" fontId="6" fillId="0" borderId="7" xfId="0" applyNumberFormat="1" applyFont="1" applyBorder="1"/>
    <xf numFmtId="0" fontId="21" fillId="0" borderId="5" xfId="0" applyFont="1" applyBorder="1" applyAlignment="1">
      <alignment wrapText="1"/>
    </xf>
    <xf numFmtId="0" fontId="21" fillId="0" borderId="6" xfId="0" applyFont="1" applyBorder="1" applyAlignment="1">
      <alignment wrapText="1"/>
    </xf>
    <xf numFmtId="9" fontId="21" fillId="0" borderId="6" xfId="0" applyNumberFormat="1" applyFont="1" applyBorder="1" applyAlignment="1">
      <alignment wrapText="1"/>
    </xf>
    <xf numFmtId="170" fontId="6" fillId="0" borderId="7" xfId="0" applyNumberFormat="1" applyFont="1" applyBorder="1" applyAlignment="1">
      <alignment horizontal="center" wrapText="1"/>
    </xf>
    <xf numFmtId="170" fontId="6" fillId="0" borderId="1" xfId="0" applyNumberFormat="1" applyFont="1" applyBorder="1" applyAlignment="1">
      <alignment horizontal="center" wrapText="1"/>
    </xf>
    <xf numFmtId="170" fontId="6" fillId="0" borderId="1" xfId="0" applyNumberFormat="1" applyFont="1" applyBorder="1"/>
    <xf numFmtId="170" fontId="21" fillId="0" borderId="1" xfId="0" applyNumberFormat="1" applyFont="1" applyBorder="1" applyAlignment="1">
      <alignment wrapText="1"/>
    </xf>
    <xf numFmtId="170" fontId="6" fillId="0" borderId="2" xfId="0" applyNumberFormat="1" applyFont="1" applyBorder="1"/>
    <xf numFmtId="170" fontId="21" fillId="0" borderId="7" xfId="0" applyNumberFormat="1" applyFont="1" applyBorder="1" applyAlignment="1">
      <alignment wrapText="1"/>
    </xf>
    <xf numFmtId="170" fontId="21" fillId="0" borderId="6" xfId="0" applyNumberFormat="1" applyFont="1" applyBorder="1" applyAlignment="1">
      <alignment wrapText="1"/>
    </xf>
    <xf numFmtId="170" fontId="6" fillId="0" borderId="7" xfId="0" applyNumberFormat="1" applyFont="1" applyBorder="1"/>
    <xf numFmtId="170" fontId="6" fillId="0" borderId="6" xfId="0" applyNumberFormat="1" applyFont="1" applyBorder="1"/>
    <xf numFmtId="0" fontId="6" fillId="2" borderId="4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left" vertical="center" wrapText="1"/>
    </xf>
    <xf numFmtId="2" fontId="7" fillId="0" borderId="0" xfId="0" applyNumberFormat="1" applyFont="1" applyAlignment="1">
      <alignment horizontal="center"/>
    </xf>
    <xf numFmtId="0" fontId="1" fillId="0" borderId="0" xfId="0" applyFont="1" applyFill="1" applyBorder="1"/>
    <xf numFmtId="0" fontId="5" fillId="0" borderId="0" xfId="0" applyFont="1" applyFill="1" applyBorder="1"/>
    <xf numFmtId="9" fontId="1" fillId="0" borderId="0" xfId="0" applyNumberFormat="1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 vertical="center" wrapText="1"/>
    </xf>
    <xf numFmtId="165" fontId="17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left"/>
    </xf>
    <xf numFmtId="2" fontId="1" fillId="0" borderId="0" xfId="0" applyNumberFormat="1" applyFont="1" applyFill="1" applyBorder="1"/>
    <xf numFmtId="1" fontId="1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165" fontId="2" fillId="0" borderId="0" xfId="0" applyNumberFormat="1" applyFont="1" applyFill="1" applyBorder="1"/>
    <xf numFmtId="165" fontId="1" fillId="0" borderId="0" xfId="0" applyNumberFormat="1" applyFont="1" applyFill="1" applyBorder="1"/>
    <xf numFmtId="165" fontId="1" fillId="0" borderId="0" xfId="0" applyNumberFormat="1" applyFont="1" applyFill="1" applyBorder="1" applyAlignment="1">
      <alignment horizontal="left"/>
    </xf>
    <xf numFmtId="0" fontId="21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horizontal="center"/>
    </xf>
    <xf numFmtId="9" fontId="12" fillId="0" borderId="0" xfId="0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2" fontId="7" fillId="0" borderId="0" xfId="0" applyNumberFormat="1" applyFont="1"/>
    <xf numFmtId="0" fontId="9" fillId="0" borderId="0" xfId="0" applyFont="1" applyAlignment="1">
      <alignment horizontal="left" vertical="center"/>
    </xf>
    <xf numFmtId="0" fontId="3" fillId="0" borderId="9" xfId="0" applyFont="1" applyFill="1" applyBorder="1" applyAlignment="1">
      <alignment horizontal="center" vertical="center" textRotation="90" wrapText="1"/>
    </xf>
    <xf numFmtId="0" fontId="16" fillId="0" borderId="2" xfId="0" applyFont="1" applyFill="1" applyBorder="1" applyAlignment="1">
      <alignment horizontal="center" vertical="center" wrapText="1"/>
    </xf>
    <xf numFmtId="2" fontId="16" fillId="0" borderId="7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indent="1"/>
    </xf>
    <xf numFmtId="169" fontId="6" fillId="0" borderId="1" xfId="0" applyNumberFormat="1" applyFont="1" applyBorder="1" applyAlignment="1">
      <alignment horizontal="center"/>
    </xf>
    <xf numFmtId="0" fontId="6" fillId="2" borderId="10" xfId="0" applyFont="1" applyFill="1" applyBorder="1" applyAlignment="1">
      <alignment horizontal="center" vertical="center" wrapText="1"/>
    </xf>
    <xf numFmtId="10" fontId="6" fillId="2" borderId="7" xfId="0" applyNumberFormat="1" applyFont="1" applyFill="1" applyBorder="1" applyAlignment="1">
      <alignment horizontal="center" vertical="center" wrapText="1"/>
    </xf>
    <xf numFmtId="169" fontId="6" fillId="0" borderId="2" xfId="0" applyNumberFormat="1" applyFont="1" applyBorder="1" applyAlignment="1">
      <alignment horizontal="center"/>
    </xf>
    <xf numFmtId="0" fontId="21" fillId="0" borderId="1" xfId="0" applyFont="1" applyBorder="1" applyAlignment="1">
      <alignment horizontal="left" wrapText="1"/>
    </xf>
    <xf numFmtId="0" fontId="2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18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13" fillId="0" borderId="0" xfId="0" applyFont="1" applyFill="1" applyAlignment="1">
      <alignment wrapText="1"/>
    </xf>
    <xf numFmtId="0" fontId="13" fillId="0" borderId="1" xfId="0" applyFont="1" applyFill="1" applyBorder="1" applyAlignment="1">
      <alignment wrapText="1"/>
    </xf>
    <xf numFmtId="0" fontId="13" fillId="0" borderId="1" xfId="0" applyFont="1" applyFill="1" applyBorder="1" applyAlignment="1">
      <alignment horizontal="center" wrapText="1"/>
    </xf>
    <xf numFmtId="9" fontId="6" fillId="3" borderId="2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wrapText="1"/>
    </xf>
    <xf numFmtId="0" fontId="6" fillId="3" borderId="7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1" fontId="6" fillId="3" borderId="7" xfId="0" applyNumberFormat="1" applyFont="1" applyFill="1" applyBorder="1" applyAlignment="1">
      <alignment horizontal="center"/>
    </xf>
    <xf numFmtId="0" fontId="0" fillId="0" borderId="0" xfId="0" applyProtection="1"/>
    <xf numFmtId="0" fontId="0" fillId="0" borderId="0" xfId="0" applyAlignment="1" applyProtection="1">
      <alignment wrapText="1"/>
    </xf>
    <xf numFmtId="0" fontId="25" fillId="0" borderId="0" xfId="0" applyFont="1" applyAlignment="1" applyProtection="1">
      <alignment horizontal="center" vertical="center" wrapText="1"/>
    </xf>
    <xf numFmtId="0" fontId="26" fillId="0" borderId="0" xfId="0" applyFont="1" applyAlignment="1" applyProtection="1">
      <alignment horizontal="center"/>
    </xf>
    <xf numFmtId="0" fontId="26" fillId="0" borderId="0" xfId="0" applyFont="1" applyProtection="1"/>
    <xf numFmtId="0" fontId="7" fillId="0" borderId="0" xfId="0" applyFont="1" applyFill="1" applyAlignment="1" applyProtection="1">
      <alignment horizontal="center" vertical="center"/>
    </xf>
    <xf numFmtId="0" fontId="26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justify" vertical="top" wrapText="1"/>
    </xf>
    <xf numFmtId="0" fontId="24" fillId="0" borderId="10" xfId="0" applyFont="1" applyBorder="1" applyAlignment="1">
      <alignment horizontal="justify" vertical="top" wrapText="1"/>
    </xf>
    <xf numFmtId="49" fontId="24" fillId="0" borderId="2" xfId="0" applyNumberFormat="1" applyFont="1" applyFill="1" applyBorder="1" applyAlignment="1" applyProtection="1">
      <alignment horizontal="justify" vertical="top" wrapText="1"/>
    </xf>
    <xf numFmtId="49" fontId="24" fillId="0" borderId="1" xfId="0" applyNumberFormat="1" applyFont="1" applyFill="1" applyBorder="1" applyAlignment="1" applyProtection="1">
      <alignment horizontal="justify" vertical="top" wrapText="1"/>
    </xf>
    <xf numFmtId="165" fontId="7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left" vertical="center" wrapText="1"/>
    </xf>
    <xf numFmtId="2" fontId="7" fillId="0" borderId="1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 indent="1"/>
    </xf>
    <xf numFmtId="165" fontId="7" fillId="0" borderId="0" xfId="0" applyNumberFormat="1" applyFont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165" fontId="7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 wrapText="1"/>
    </xf>
    <xf numFmtId="165" fontId="7" fillId="0" borderId="0" xfId="0" applyNumberFormat="1" applyFont="1" applyBorder="1" applyAlignment="1">
      <alignment horizontal="center" vertical="center" wrapText="1"/>
    </xf>
    <xf numFmtId="165" fontId="7" fillId="0" borderId="0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/>
    <xf numFmtId="9" fontId="6" fillId="0" borderId="1" xfId="0" applyNumberFormat="1" applyFont="1" applyBorder="1" applyAlignment="1"/>
    <xf numFmtId="170" fontId="6" fillId="0" borderId="1" xfId="0" applyNumberFormat="1" applyFont="1" applyBorder="1" applyAlignment="1"/>
    <xf numFmtId="0" fontId="20" fillId="0" borderId="1" xfId="0" applyFont="1" applyBorder="1" applyAlignment="1"/>
    <xf numFmtId="0" fontId="6" fillId="0" borderId="1" xfId="0" applyFont="1" applyBorder="1" applyAlignment="1"/>
    <xf numFmtId="2" fontId="2" fillId="0" borderId="2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/>
    </xf>
    <xf numFmtId="165" fontId="2" fillId="0" borderId="5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2" fontId="4" fillId="0" borderId="5" xfId="0" applyNumberFormat="1" applyFont="1" applyFill="1" applyBorder="1" applyAlignment="1">
      <alignment horizontal="center" vertical="center"/>
    </xf>
    <xf numFmtId="169" fontId="4" fillId="0" borderId="1" xfId="0" applyNumberFormat="1" applyFont="1" applyFill="1" applyBorder="1" applyAlignment="1">
      <alignment horizontal="center" vertical="center" wrapText="1"/>
    </xf>
    <xf numFmtId="169" fontId="13" fillId="0" borderId="1" xfId="0" applyNumberFormat="1" applyFont="1" applyFill="1" applyBorder="1" applyAlignment="1">
      <alignment horizontal="center" vertical="center" wrapText="1"/>
    </xf>
    <xf numFmtId="169" fontId="13" fillId="0" borderId="1" xfId="0" applyNumberFormat="1" applyFont="1" applyFill="1" applyBorder="1"/>
    <xf numFmtId="165" fontId="7" fillId="0" borderId="0" xfId="0" applyNumberFormat="1" applyFont="1" applyAlignment="1">
      <alignment horizontal="left" vertical="center" wrapText="1"/>
    </xf>
    <xf numFmtId="0" fontId="7" fillId="0" borderId="1" xfId="0" applyFont="1" applyBorder="1"/>
    <xf numFmtId="0" fontId="10" fillId="0" borderId="1" xfId="0" applyFont="1" applyBorder="1" applyAlignment="1">
      <alignment horizontal="center" vertical="center" wrapText="1"/>
    </xf>
    <xf numFmtId="10" fontId="7" fillId="0" borderId="1" xfId="0" applyNumberFormat="1" applyFont="1" applyBorder="1"/>
    <xf numFmtId="165" fontId="7" fillId="0" borderId="0" xfId="0" applyNumberFormat="1" applyFont="1"/>
    <xf numFmtId="0" fontId="7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10" fontId="2" fillId="0" borderId="1" xfId="0" applyNumberFormat="1" applyFont="1" applyBorder="1"/>
    <xf numFmtId="166" fontId="18" fillId="0" borderId="1" xfId="0" applyNumberFormat="1" applyFont="1" applyFill="1" applyBorder="1"/>
    <xf numFmtId="172" fontId="13" fillId="0" borderId="1" xfId="0" applyNumberFormat="1" applyFont="1" applyFill="1" applyBorder="1"/>
    <xf numFmtId="1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/>
    <xf numFmtId="0" fontId="0" fillId="0" borderId="0" xfId="0" applyBorder="1"/>
    <xf numFmtId="0" fontId="34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1" fontId="0" fillId="0" borderId="1" xfId="0" applyNumberFormat="1" applyBorder="1"/>
    <xf numFmtId="0" fontId="35" fillId="0" borderId="1" xfId="0" applyFont="1" applyBorder="1" applyAlignment="1">
      <alignment vertical="center" wrapText="1"/>
    </xf>
    <xf numFmtId="0" fontId="35" fillId="0" borderId="1" xfId="0" applyFont="1" applyFill="1" applyBorder="1" applyAlignment="1">
      <alignment horizontal="left"/>
    </xf>
    <xf numFmtId="0" fontId="35" fillId="0" borderId="0" xfId="0" applyFont="1"/>
    <xf numFmtId="1" fontId="0" fillId="0" borderId="0" xfId="0" applyNumberFormat="1" applyBorder="1"/>
    <xf numFmtId="0" fontId="35" fillId="0" borderId="0" xfId="0" applyFont="1" applyBorder="1" applyAlignment="1">
      <alignment wrapText="1"/>
    </xf>
    <xf numFmtId="0" fontId="35" fillId="0" borderId="0" xfId="0" applyFont="1" applyFill="1" applyBorder="1"/>
    <xf numFmtId="2" fontId="2" fillId="4" borderId="1" xfId="0" applyNumberFormat="1" applyFont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 wrapText="1"/>
    </xf>
    <xf numFmtId="0" fontId="38" fillId="0" borderId="0" xfId="0" applyFont="1" applyFill="1"/>
    <xf numFmtId="0" fontId="39" fillId="0" borderId="0" xfId="0" applyFont="1" applyFill="1"/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/>
    <xf numFmtId="9" fontId="39" fillId="0" borderId="0" xfId="0" applyNumberFormat="1" applyFont="1" applyFill="1" applyBorder="1"/>
    <xf numFmtId="0" fontId="39" fillId="0" borderId="0" xfId="0" applyFont="1" applyFill="1" applyBorder="1" applyAlignment="1">
      <alignment horizontal="center"/>
    </xf>
    <xf numFmtId="0" fontId="39" fillId="0" borderId="1" xfId="0" applyFont="1" applyFill="1" applyBorder="1" applyAlignment="1">
      <alignment horizontal="center" vertical="center" textRotation="90" wrapText="1"/>
    </xf>
    <xf numFmtId="2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37" fillId="0" borderId="0" xfId="0" applyFont="1" applyFill="1"/>
    <xf numFmtId="0" fontId="37" fillId="0" borderId="0" xfId="0" applyFont="1" applyFill="1" applyBorder="1" applyAlignment="1">
      <alignment horizontal="center" vertical="center"/>
    </xf>
    <xf numFmtId="0" fontId="37" fillId="0" borderId="0" xfId="0" applyFont="1" applyFill="1" applyBorder="1"/>
    <xf numFmtId="9" fontId="37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37" fillId="0" borderId="2" xfId="0" applyFont="1" applyFill="1" applyBorder="1" applyAlignment="1">
      <alignment horizontal="center" vertical="center" textRotation="90" wrapText="1"/>
    </xf>
    <xf numFmtId="2" fontId="40" fillId="0" borderId="7" xfId="0" applyNumberFormat="1" applyFont="1" applyFill="1" applyBorder="1" applyAlignment="1">
      <alignment horizontal="center" vertical="center" wrapText="1"/>
    </xf>
    <xf numFmtId="2" fontId="37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169" fontId="38" fillId="0" borderId="1" xfId="0" applyNumberFormat="1" applyFont="1" applyFill="1" applyBorder="1" applyAlignment="1">
      <alignment horizontal="center" vertical="center" wrapText="1"/>
    </xf>
    <xf numFmtId="2" fontId="38" fillId="0" borderId="1" xfId="0" applyNumberFormat="1" applyFont="1" applyFill="1" applyBorder="1" applyAlignment="1">
      <alignment horizontal="center" vertical="center" wrapText="1"/>
    </xf>
    <xf numFmtId="0" fontId="39" fillId="0" borderId="1" xfId="0" applyFont="1" applyFill="1" applyBorder="1"/>
    <xf numFmtId="0" fontId="37" fillId="0" borderId="0" xfId="0" applyFont="1" applyFill="1" applyAlignment="1">
      <alignment horizontal="left" vertical="center"/>
    </xf>
    <xf numFmtId="0" fontId="37" fillId="0" borderId="1" xfId="0" applyFont="1" applyFill="1" applyBorder="1" applyAlignment="1">
      <alignment horizontal="left" vertical="center"/>
    </xf>
    <xf numFmtId="0" fontId="37" fillId="0" borderId="1" xfId="0" applyFont="1" applyFill="1" applyBorder="1"/>
    <xf numFmtId="0" fontId="37" fillId="0" borderId="1" xfId="0" applyFont="1" applyFill="1" applyBorder="1" applyAlignment="1">
      <alignment horizontal="center"/>
    </xf>
    <xf numFmtId="2" fontId="37" fillId="0" borderId="1" xfId="0" applyNumberFormat="1" applyFont="1" applyFill="1" applyBorder="1"/>
    <xf numFmtId="0" fontId="38" fillId="0" borderId="1" xfId="0" applyFont="1" applyFill="1" applyBorder="1" applyAlignment="1">
      <alignment horizontal="left" vertical="center"/>
    </xf>
    <xf numFmtId="0" fontId="38" fillId="0" borderId="1" xfId="0" applyFont="1" applyFill="1" applyBorder="1"/>
    <xf numFmtId="0" fontId="38" fillId="0" borderId="1" xfId="0" applyFont="1" applyFill="1" applyBorder="1" applyAlignment="1">
      <alignment horizontal="center"/>
    </xf>
    <xf numFmtId="1" fontId="38" fillId="0" borderId="1" xfId="0" applyNumberFormat="1" applyFont="1" applyFill="1" applyBorder="1"/>
    <xf numFmtId="165" fontId="38" fillId="0" borderId="1" xfId="0" applyNumberFormat="1" applyFont="1" applyFill="1" applyBorder="1"/>
    <xf numFmtId="2" fontId="38" fillId="0" borderId="1" xfId="0" applyNumberFormat="1" applyFont="1" applyFill="1" applyBorder="1"/>
    <xf numFmtId="165" fontId="38" fillId="0" borderId="1" xfId="0" applyNumberFormat="1" applyFont="1" applyFill="1" applyBorder="1" applyAlignment="1">
      <alignment horizontal="center"/>
    </xf>
    <xf numFmtId="165" fontId="39" fillId="0" borderId="1" xfId="0" applyNumberFormat="1" applyFont="1" applyFill="1" applyBorder="1" applyAlignment="1">
      <alignment horizontal="center"/>
    </xf>
    <xf numFmtId="9" fontId="39" fillId="0" borderId="1" xfId="0" applyNumberFormat="1" applyFont="1" applyFill="1" applyBorder="1" applyAlignment="1">
      <alignment horizontal="center"/>
    </xf>
    <xf numFmtId="1" fontId="37" fillId="0" borderId="1" xfId="0" applyNumberFormat="1" applyFont="1" applyFill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Fill="1" applyBorder="1" applyAlignment="1">
      <alignment horizontal="center"/>
    </xf>
    <xf numFmtId="2" fontId="41" fillId="0" borderId="1" xfId="0" applyNumberFormat="1" applyFont="1" applyFill="1" applyBorder="1" applyAlignment="1">
      <alignment horizontal="center"/>
    </xf>
    <xf numFmtId="2" fontId="41" fillId="0" borderId="1" xfId="0" applyNumberFormat="1" applyFont="1" applyFill="1" applyBorder="1"/>
    <xf numFmtId="0" fontId="38" fillId="0" borderId="2" xfId="0" applyFont="1" applyFill="1" applyBorder="1" applyAlignment="1">
      <alignment horizontal="center"/>
    </xf>
    <xf numFmtId="0" fontId="38" fillId="0" borderId="3" xfId="0" applyFont="1" applyFill="1" applyBorder="1" applyAlignment="1">
      <alignment horizontal="center"/>
    </xf>
    <xf numFmtId="0" fontId="39" fillId="0" borderId="1" xfId="0" applyFont="1" applyBorder="1"/>
    <xf numFmtId="0" fontId="39" fillId="0" borderId="1" xfId="0" applyFont="1" applyBorder="1" applyAlignment="1">
      <alignment horizontal="center"/>
    </xf>
    <xf numFmtId="10" fontId="39" fillId="0" borderId="1" xfId="0" applyNumberFormat="1" applyFont="1" applyBorder="1"/>
    <xf numFmtId="1" fontId="37" fillId="0" borderId="1" xfId="0" applyNumberFormat="1" applyFont="1" applyFill="1" applyBorder="1" applyAlignment="1">
      <alignment horizontal="left" vertical="center" wrapText="1"/>
    </xf>
    <xf numFmtId="2" fontId="37" fillId="0" borderId="1" xfId="0" applyNumberFormat="1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/>
    </xf>
    <xf numFmtId="2" fontId="42" fillId="0" borderId="1" xfId="0" applyNumberFormat="1" applyFont="1" applyFill="1" applyBorder="1" applyAlignment="1">
      <alignment horizontal="center"/>
    </xf>
    <xf numFmtId="1" fontId="37" fillId="0" borderId="1" xfId="0" applyNumberFormat="1" applyFont="1" applyFill="1" applyBorder="1" applyAlignment="1">
      <alignment horizontal="center" vertical="center"/>
    </xf>
    <xf numFmtId="165" fontId="37" fillId="0" borderId="1" xfId="0" applyNumberFormat="1" applyFont="1" applyFill="1" applyBorder="1" applyAlignment="1">
      <alignment horizontal="center" vertical="center" wrapText="1"/>
    </xf>
    <xf numFmtId="2" fontId="37" fillId="0" borderId="1" xfId="0" applyNumberFormat="1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center"/>
    </xf>
    <xf numFmtId="0" fontId="42" fillId="0" borderId="1" xfId="0" applyFont="1" applyFill="1" applyBorder="1"/>
    <xf numFmtId="2" fontId="17" fillId="0" borderId="1" xfId="0" applyNumberFormat="1" applyFont="1" applyFill="1" applyBorder="1" applyAlignment="1">
      <alignment horizontal="left" vertical="center" wrapText="1"/>
    </xf>
    <xf numFmtId="0" fontId="37" fillId="0" borderId="0" xfId="0" applyFont="1" applyFill="1" applyAlignment="1">
      <alignment horizontal="center"/>
    </xf>
    <xf numFmtId="1" fontId="39" fillId="0" borderId="1" xfId="0" applyNumberFormat="1" applyFont="1" applyFill="1" applyBorder="1" applyAlignment="1">
      <alignment horizontal="left" vertical="center"/>
    </xf>
    <xf numFmtId="2" fontId="39" fillId="0" borderId="1" xfId="0" applyNumberFormat="1" applyFont="1" applyFill="1" applyBorder="1" applyAlignment="1">
      <alignment horizontal="center" vertical="center"/>
    </xf>
    <xf numFmtId="1" fontId="39" fillId="0" borderId="1" xfId="0" applyNumberFormat="1" applyFont="1" applyFill="1" applyBorder="1" applyAlignment="1">
      <alignment horizontal="left" vertical="center" wrapText="1"/>
    </xf>
    <xf numFmtId="2" fontId="39" fillId="0" borderId="1" xfId="0" applyNumberFormat="1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left" vertical="center"/>
    </xf>
    <xf numFmtId="1" fontId="39" fillId="0" borderId="1" xfId="0" applyNumberFormat="1" applyFont="1" applyFill="1" applyBorder="1" applyAlignment="1">
      <alignment horizontal="center" vertical="center"/>
    </xf>
    <xf numFmtId="165" fontId="39" fillId="0" borderId="1" xfId="0" applyNumberFormat="1" applyFont="1" applyFill="1" applyBorder="1" applyAlignment="1">
      <alignment horizontal="center" vertical="center" wrapText="1"/>
    </xf>
    <xf numFmtId="2" fontId="39" fillId="0" borderId="1" xfId="0" applyNumberFormat="1" applyFont="1" applyFill="1" applyBorder="1" applyAlignment="1">
      <alignment horizontal="left" vertical="center" wrapText="1"/>
    </xf>
    <xf numFmtId="165" fontId="37" fillId="0" borderId="1" xfId="0" applyNumberFormat="1" applyFont="1" applyFill="1" applyBorder="1" applyAlignment="1">
      <alignment horizontal="center" vertical="center"/>
    </xf>
    <xf numFmtId="1" fontId="44" fillId="0" borderId="1" xfId="0" applyNumberFormat="1" applyFont="1" applyFill="1" applyBorder="1" applyAlignment="1">
      <alignment horizontal="left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left" vertical="center"/>
    </xf>
    <xf numFmtId="0" fontId="39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/>
    </xf>
    <xf numFmtId="0" fontId="38" fillId="0" borderId="0" xfId="0" applyFont="1" applyFill="1" applyAlignment="1">
      <alignment horizontal="left" vertical="center"/>
    </xf>
    <xf numFmtId="2" fontId="37" fillId="0" borderId="2" xfId="0" applyNumberFormat="1" applyFont="1" applyFill="1" applyBorder="1" applyAlignment="1">
      <alignment horizontal="center" vertical="center"/>
    </xf>
    <xf numFmtId="2" fontId="37" fillId="0" borderId="9" xfId="0" applyNumberFormat="1" applyFont="1" applyFill="1" applyBorder="1" applyAlignment="1">
      <alignment horizontal="center" vertical="center"/>
    </xf>
    <xf numFmtId="2" fontId="37" fillId="0" borderId="7" xfId="0" applyNumberFormat="1" applyFont="1" applyFill="1" applyBorder="1" applyAlignment="1">
      <alignment horizontal="center" vertical="center"/>
    </xf>
    <xf numFmtId="0" fontId="14" fillId="0" borderId="0" xfId="0" applyFont="1" applyFill="1" applyBorder="1"/>
    <xf numFmtId="0" fontId="37" fillId="0" borderId="0" xfId="0" applyFont="1" applyFill="1" applyAlignment="1">
      <alignment horizontal="center" vertical="center"/>
    </xf>
    <xf numFmtId="0" fontId="37" fillId="0" borderId="0" xfId="0" applyFont="1" applyFill="1" applyAlignment="1">
      <alignment wrapText="1"/>
    </xf>
    <xf numFmtId="0" fontId="38" fillId="0" borderId="0" xfId="0" applyFont="1" applyFill="1" applyAlignment="1">
      <alignment wrapText="1"/>
    </xf>
    <xf numFmtId="0" fontId="39" fillId="0" borderId="0" xfId="0" applyFont="1" applyFill="1" applyAlignment="1">
      <alignment wrapText="1"/>
    </xf>
    <xf numFmtId="0" fontId="3" fillId="0" borderId="0" xfId="0" applyFont="1" applyFill="1" applyBorder="1" applyAlignment="1">
      <alignment horizontal="center" vertical="center" wrapText="1"/>
    </xf>
    <xf numFmtId="9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 wrapText="1"/>
    </xf>
    <xf numFmtId="0" fontId="37" fillId="0" borderId="0" xfId="0" applyNumberFormat="1" applyFont="1" applyFill="1" applyBorder="1" applyAlignment="1">
      <alignment horizontal="center" vertical="center" wrapText="1"/>
    </xf>
    <xf numFmtId="169" fontId="3" fillId="0" borderId="1" xfId="0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wrapText="1"/>
    </xf>
    <xf numFmtId="0" fontId="37" fillId="0" borderId="0" xfId="0" applyFont="1" applyFill="1" applyBorder="1" applyAlignment="1">
      <alignment horizontal="left"/>
    </xf>
    <xf numFmtId="0" fontId="37" fillId="0" borderId="0" xfId="0" applyNumberFormat="1" applyFont="1" applyFill="1" applyBorder="1" applyAlignment="1">
      <alignment horizontal="left" vertical="center" wrapText="1"/>
    </xf>
    <xf numFmtId="2" fontId="37" fillId="4" borderId="1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165" fontId="39" fillId="0" borderId="0" xfId="0" applyNumberFormat="1" applyFont="1" applyFill="1" applyBorder="1" applyAlignment="1">
      <alignment horizontal="center"/>
    </xf>
    <xf numFmtId="0" fontId="37" fillId="0" borderId="1" xfId="0" applyFont="1" applyFill="1" applyBorder="1" applyAlignment="1">
      <alignment wrapText="1"/>
    </xf>
    <xf numFmtId="0" fontId="38" fillId="0" borderId="1" xfId="0" applyFont="1" applyFill="1" applyBorder="1" applyAlignment="1">
      <alignment wrapText="1"/>
    </xf>
    <xf numFmtId="1" fontId="39" fillId="0" borderId="1" xfId="0" applyNumberFormat="1" applyFont="1" applyFill="1" applyBorder="1" applyAlignment="1">
      <alignment horizontal="center"/>
    </xf>
    <xf numFmtId="2" fontId="39" fillId="0" borderId="0" xfId="0" applyNumberFormat="1" applyFont="1" applyFill="1" applyBorder="1" applyAlignment="1">
      <alignment horizontal="left"/>
    </xf>
    <xf numFmtId="2" fontId="39" fillId="0" borderId="0" xfId="0" applyNumberFormat="1" applyFont="1" applyFill="1" applyBorder="1"/>
    <xf numFmtId="1" fontId="39" fillId="0" borderId="0" xfId="0" applyNumberFormat="1" applyFont="1" applyFill="1" applyBorder="1" applyAlignment="1">
      <alignment horizontal="center"/>
    </xf>
    <xf numFmtId="1" fontId="37" fillId="0" borderId="0" xfId="0" applyNumberFormat="1" applyFont="1" applyFill="1" applyBorder="1" applyAlignment="1">
      <alignment horizontal="center"/>
    </xf>
    <xf numFmtId="165" fontId="37" fillId="0" borderId="0" xfId="0" applyNumberFormat="1" applyFont="1" applyFill="1" applyBorder="1" applyAlignment="1">
      <alignment horizontal="center"/>
    </xf>
    <xf numFmtId="165" fontId="37" fillId="0" borderId="0" xfId="0" applyNumberFormat="1" applyFont="1" applyFill="1" applyBorder="1"/>
    <xf numFmtId="0" fontId="41" fillId="0" borderId="0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42" fillId="0" borderId="0" xfId="0" applyFont="1" applyFill="1" applyBorder="1" applyAlignment="1">
      <alignment horizontal="left"/>
    </xf>
    <xf numFmtId="9" fontId="42" fillId="0" borderId="0" xfId="0" applyNumberFormat="1" applyFont="1" applyFill="1" applyBorder="1"/>
    <xf numFmtId="0" fontId="42" fillId="0" borderId="0" xfId="0" applyFont="1" applyFill="1" applyBorder="1" applyAlignment="1">
      <alignment horizontal="center"/>
    </xf>
    <xf numFmtId="165" fontId="42" fillId="0" borderId="0" xfId="0" applyNumberFormat="1" applyFont="1" applyFill="1" applyBorder="1" applyAlignment="1">
      <alignment horizontal="center"/>
    </xf>
    <xf numFmtId="0" fontId="42" fillId="0" borderId="0" xfId="0" applyFont="1" applyFill="1"/>
    <xf numFmtId="169" fontId="38" fillId="0" borderId="1" xfId="0" applyNumberFormat="1" applyFont="1" applyFill="1" applyBorder="1"/>
    <xf numFmtId="165" fontId="42" fillId="0" borderId="0" xfId="0" applyNumberFormat="1" applyFont="1" applyFill="1" applyBorder="1"/>
    <xf numFmtId="0" fontId="38" fillId="0" borderId="1" xfId="0" applyFont="1" applyFill="1" applyBorder="1" applyAlignment="1">
      <alignment horizontal="center" wrapText="1"/>
    </xf>
    <xf numFmtId="165" fontId="42" fillId="0" borderId="0" xfId="0" applyNumberFormat="1" applyFont="1" applyFill="1" applyBorder="1" applyAlignment="1">
      <alignment horizontal="left"/>
    </xf>
    <xf numFmtId="0" fontId="41" fillId="0" borderId="1" xfId="0" applyFont="1" applyFill="1" applyBorder="1" applyAlignment="1">
      <alignment horizontal="center" wrapText="1"/>
    </xf>
    <xf numFmtId="1" fontId="39" fillId="0" borderId="1" xfId="0" applyNumberFormat="1" applyFont="1" applyFill="1" applyBorder="1"/>
    <xf numFmtId="0" fontId="42" fillId="0" borderId="0" xfId="0" applyFont="1"/>
    <xf numFmtId="169" fontId="38" fillId="0" borderId="0" xfId="0" applyNumberFormat="1" applyFont="1" applyFill="1"/>
    <xf numFmtId="165" fontId="37" fillId="0" borderId="0" xfId="0" applyNumberFormat="1" applyFont="1" applyFill="1" applyBorder="1" applyAlignment="1">
      <alignment horizontal="left"/>
    </xf>
    <xf numFmtId="0" fontId="42" fillId="0" borderId="0" xfId="0" applyFont="1" applyFill="1" applyAlignment="1">
      <alignment horizontal="left" vertical="center"/>
    </xf>
    <xf numFmtId="0" fontId="42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wrapText="1"/>
    </xf>
    <xf numFmtId="0" fontId="42" fillId="0" borderId="0" xfId="0" applyFont="1" applyFill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0" fillId="0" borderId="11" xfId="0" applyBorder="1" applyAlignment="1"/>
    <xf numFmtId="2" fontId="41" fillId="0" borderId="5" xfId="0" applyNumberFormat="1" applyFont="1" applyFill="1" applyBorder="1"/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5" xfId="0" applyBorder="1" applyAlignment="1">
      <alignment wrapText="1"/>
    </xf>
    <xf numFmtId="0" fontId="38" fillId="0" borderId="5" xfId="0" applyFont="1" applyFill="1" applyBorder="1" applyAlignment="1">
      <alignment horizontal="center"/>
    </xf>
    <xf numFmtId="0" fontId="0" fillId="0" borderId="5" xfId="0" applyBorder="1"/>
    <xf numFmtId="0" fontId="38" fillId="0" borderId="4" xfId="0" applyFont="1" applyFill="1" applyBorder="1"/>
    <xf numFmtId="0" fontId="39" fillId="0" borderId="4" xfId="0" applyFont="1" applyBorder="1"/>
    <xf numFmtId="0" fontId="0" fillId="0" borderId="4" xfId="0" applyBorder="1"/>
    <xf numFmtId="49" fontId="35" fillId="2" borderId="1" xfId="0" applyNumberFormat="1" applyFont="1" applyFill="1" applyBorder="1" applyAlignment="1">
      <alignment horizontal="center" wrapText="1"/>
    </xf>
    <xf numFmtId="0" fontId="34" fillId="0" borderId="0" xfId="0" applyFont="1" applyAlignment="1">
      <alignment horizontal="right"/>
    </xf>
    <xf numFmtId="0" fontId="34" fillId="0" borderId="0" xfId="0" applyFont="1" applyAlignment="1">
      <alignment horizontal="left"/>
    </xf>
    <xf numFmtId="2" fontId="13" fillId="0" borderId="1" xfId="0" applyNumberFormat="1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0" fillId="0" borderId="1" xfId="0" applyFont="1" applyBorder="1" applyAlignment="1">
      <alignment wrapText="1"/>
    </xf>
    <xf numFmtId="0" fontId="10" fillId="5" borderId="1" xfId="0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textRotation="90" wrapText="1"/>
    </xf>
    <xf numFmtId="0" fontId="1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/>
    <xf numFmtId="0" fontId="10" fillId="0" borderId="0" xfId="0" applyFont="1" applyBorder="1"/>
    <xf numFmtId="165" fontId="11" fillId="0" borderId="1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wrapText="1"/>
    </xf>
    <xf numFmtId="165" fontId="10" fillId="0" borderId="0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 wrapText="1"/>
    </xf>
    <xf numFmtId="0" fontId="3" fillId="2" borderId="6" xfId="0" applyFont="1" applyFill="1" applyBorder="1" applyAlignment="1"/>
    <xf numFmtId="0" fontId="0" fillId="0" borderId="6" xfId="0" applyBorder="1" applyAlignment="1"/>
    <xf numFmtId="49" fontId="35" fillId="2" borderId="1" xfId="0" applyNumberFormat="1" applyFont="1" applyFill="1" applyBorder="1" applyAlignment="1">
      <alignment wrapText="1"/>
    </xf>
    <xf numFmtId="0" fontId="3" fillId="0" borderId="13" xfId="0" applyFont="1" applyFill="1" applyBorder="1" applyAlignment="1"/>
    <xf numFmtId="0" fontId="3" fillId="0" borderId="0" xfId="0" applyFont="1" applyBorder="1" applyAlignment="1"/>
    <xf numFmtId="0" fontId="3" fillId="0" borderId="13" xfId="0" applyFont="1" applyBorder="1" applyAlignment="1"/>
    <xf numFmtId="1" fontId="0" fillId="0" borderId="1" xfId="0" applyNumberFormat="1" applyBorder="1" applyAlignment="1">
      <alignment horizontal="right"/>
    </xf>
    <xf numFmtId="2" fontId="38" fillId="0" borderId="1" xfId="0" applyNumberFormat="1" applyFont="1" applyFill="1" applyBorder="1" applyAlignment="1">
      <alignment horizontal="center"/>
    </xf>
    <xf numFmtId="2" fontId="37" fillId="0" borderId="0" xfId="0" applyNumberFormat="1" applyFont="1" applyFill="1" applyAlignment="1">
      <alignment horizontal="center" vertical="center"/>
    </xf>
    <xf numFmtId="2" fontId="39" fillId="0" borderId="0" xfId="0" applyNumberFormat="1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 wrapText="1"/>
    </xf>
    <xf numFmtId="2" fontId="0" fillId="4" borderId="1" xfId="0" applyNumberForma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" fontId="0" fillId="0" borderId="1" xfId="0" applyNumberFormat="1" applyFont="1" applyFill="1" applyBorder="1"/>
    <xf numFmtId="0" fontId="0" fillId="0" borderId="0" xfId="0" applyFont="1" applyFill="1" applyBorder="1"/>
    <xf numFmtId="0" fontId="0" fillId="0" borderId="0" xfId="0" applyFont="1" applyFill="1"/>
    <xf numFmtId="0" fontId="0" fillId="0" borderId="0" xfId="0" applyFont="1" applyFill="1" applyBorder="1" applyAlignment="1">
      <alignment horizontal="center" vertical="center"/>
    </xf>
    <xf numFmtId="9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left" vertical="center"/>
    </xf>
    <xf numFmtId="2" fontId="0" fillId="0" borderId="9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horizontal="center"/>
    </xf>
    <xf numFmtId="2" fontId="0" fillId="0" borderId="1" xfId="0" applyNumberFormat="1" applyFont="1" applyFill="1" applyBorder="1"/>
    <xf numFmtId="0" fontId="0" fillId="0" borderId="1" xfId="0" applyFont="1" applyBorder="1" applyAlignment="1">
      <alignment horizontal="center"/>
    </xf>
    <xf numFmtId="10" fontId="0" fillId="0" borderId="1" xfId="0" applyNumberFormat="1" applyFont="1" applyBorder="1"/>
    <xf numFmtId="0" fontId="0" fillId="0" borderId="1" xfId="0" applyFont="1" applyBorder="1"/>
    <xf numFmtId="165" fontId="0" fillId="0" borderId="1" xfId="0" applyNumberFormat="1" applyFont="1" applyFill="1" applyBorder="1" applyAlignment="1">
      <alignment horizontal="center"/>
    </xf>
    <xf numFmtId="9" fontId="0" fillId="0" borderId="1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left"/>
    </xf>
    <xf numFmtId="2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/>
    <xf numFmtId="1" fontId="0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1" fontId="0" fillId="0" borderId="1" xfId="0" applyNumberFormat="1" applyFont="1" applyFill="1" applyBorder="1" applyAlignment="1">
      <alignment horizontal="left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left"/>
    </xf>
    <xf numFmtId="165" fontId="0" fillId="2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left" vertical="center" wrapText="1"/>
    </xf>
    <xf numFmtId="2" fontId="0" fillId="0" borderId="7" xfId="0" applyNumberFormat="1" applyFont="1" applyFill="1" applyBorder="1" applyAlignment="1">
      <alignment horizontal="center" vertical="center"/>
    </xf>
    <xf numFmtId="2" fontId="14" fillId="0" borderId="0" xfId="0" applyNumberFormat="1" applyFont="1" applyFill="1"/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wrapText="1"/>
    </xf>
    <xf numFmtId="0" fontId="0" fillId="0" borderId="0" xfId="0" applyNumberFormat="1" applyFont="1" applyFill="1" applyBorder="1" applyAlignment="1">
      <alignment horizontal="left" vertical="center" wrapText="1"/>
    </xf>
    <xf numFmtId="2" fontId="0" fillId="0" borderId="5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2" fontId="0" fillId="0" borderId="2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left" vertical="center"/>
    </xf>
    <xf numFmtId="2" fontId="0" fillId="0" borderId="5" xfId="0" applyNumberFormat="1" applyFont="1" applyFill="1" applyBorder="1" applyAlignment="1">
      <alignment horizontal="center" vertical="center" wrapText="1"/>
    </xf>
    <xf numFmtId="1" fontId="0" fillId="0" borderId="5" xfId="0" applyNumberFormat="1" applyFont="1" applyFill="1" applyBorder="1" applyAlignment="1">
      <alignment horizontal="center" vertical="center"/>
    </xf>
    <xf numFmtId="165" fontId="0" fillId="0" borderId="5" xfId="0" applyNumberFormat="1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left" vertical="center"/>
    </xf>
    <xf numFmtId="0" fontId="0" fillId="0" borderId="5" xfId="0" applyFont="1" applyFill="1" applyBorder="1"/>
    <xf numFmtId="2" fontId="0" fillId="0" borderId="3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wrapText="1"/>
    </xf>
    <xf numFmtId="0" fontId="0" fillId="0" borderId="6" xfId="0" applyFont="1" applyFill="1" applyBorder="1"/>
    <xf numFmtId="2" fontId="0" fillId="0" borderId="8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" fontId="0" fillId="2" borderId="5" xfId="0" applyNumberFormat="1" applyFont="1" applyFill="1" applyBorder="1" applyAlignment="1">
      <alignment horizontal="center" vertical="center"/>
    </xf>
    <xf numFmtId="2" fontId="0" fillId="2" borderId="1" xfId="0" applyNumberFormat="1" applyFont="1" applyFill="1" applyBorder="1" applyAlignment="1">
      <alignment horizontal="center" vertical="center"/>
    </xf>
    <xf numFmtId="0" fontId="0" fillId="2" borderId="6" xfId="0" applyFont="1" applyFill="1" applyBorder="1"/>
    <xf numFmtId="0" fontId="0" fillId="2" borderId="1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/>
    </xf>
    <xf numFmtId="169" fontId="38" fillId="2" borderId="1" xfId="0" applyNumberFormat="1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/>
    <xf numFmtId="0" fontId="0" fillId="2" borderId="0" xfId="0" applyFont="1" applyFill="1" applyBorder="1"/>
    <xf numFmtId="0" fontId="0" fillId="2" borderId="0" xfId="0" applyFont="1" applyFill="1"/>
    <xf numFmtId="0" fontId="0" fillId="2" borderId="0" xfId="0" applyFont="1" applyFill="1" applyBorder="1" applyAlignment="1">
      <alignment horizontal="center" vertical="center"/>
    </xf>
    <xf numFmtId="9" fontId="0" fillId="2" borderId="0" xfId="0" applyNumberFormat="1" applyFont="1" applyFill="1" applyBorder="1"/>
    <xf numFmtId="0" fontId="0" fillId="2" borderId="0" xfId="0" applyFont="1" applyFill="1" applyBorder="1" applyAlignment="1">
      <alignment horizontal="center"/>
    </xf>
    <xf numFmtId="165" fontId="0" fillId="2" borderId="0" xfId="0" applyNumberFormat="1" applyFont="1" applyFill="1" applyBorder="1" applyAlignment="1">
      <alignment horizontal="center"/>
    </xf>
    <xf numFmtId="0" fontId="0" fillId="2" borderId="0" xfId="0" applyFont="1" applyFill="1" applyAlignment="1">
      <alignment horizontal="left" vertical="center"/>
    </xf>
    <xf numFmtId="2" fontId="0" fillId="2" borderId="3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0" fontId="0" fillId="2" borderId="4" xfId="0" applyFont="1" applyFill="1" applyBorder="1" applyAlignment="1">
      <alignment wrapText="1"/>
    </xf>
    <xf numFmtId="0" fontId="0" fillId="2" borderId="1" xfId="0" applyFont="1" applyFill="1" applyBorder="1" applyAlignment="1">
      <alignment horizontal="center"/>
    </xf>
    <xf numFmtId="2" fontId="0" fillId="2" borderId="1" xfId="0" applyNumberFormat="1" applyFont="1" applyFill="1" applyBorder="1"/>
    <xf numFmtId="0" fontId="38" fillId="2" borderId="1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wrapText="1"/>
    </xf>
    <xf numFmtId="0" fontId="38" fillId="2" borderId="1" xfId="0" applyFont="1" applyFill="1" applyBorder="1"/>
    <xf numFmtId="0" fontId="38" fillId="2" borderId="1" xfId="0" applyFont="1" applyFill="1" applyBorder="1" applyAlignment="1">
      <alignment horizontal="center"/>
    </xf>
    <xf numFmtId="1" fontId="38" fillId="2" borderId="1" xfId="0" applyNumberFormat="1" applyFont="1" applyFill="1" applyBorder="1"/>
    <xf numFmtId="165" fontId="38" fillId="2" borderId="1" xfId="0" applyNumberFormat="1" applyFont="1" applyFill="1" applyBorder="1"/>
    <xf numFmtId="165" fontId="38" fillId="2" borderId="1" xfId="0" applyNumberFormat="1" applyFont="1" applyFill="1" applyBorder="1" applyAlignment="1">
      <alignment horizontal="center"/>
    </xf>
    <xf numFmtId="165" fontId="0" fillId="2" borderId="1" xfId="0" applyNumberFormat="1" applyFont="1" applyFill="1" applyBorder="1" applyAlignment="1">
      <alignment horizontal="center"/>
    </xf>
    <xf numFmtId="1" fontId="0" fillId="2" borderId="1" xfId="0" applyNumberFormat="1" applyFont="1" applyFill="1" applyBorder="1" applyAlignment="1">
      <alignment horizontal="center"/>
    </xf>
    <xf numFmtId="2" fontId="0" fillId="2" borderId="0" xfId="0" applyNumberFormat="1" applyFont="1" applyFill="1" applyBorder="1" applyAlignment="1">
      <alignment horizontal="left"/>
    </xf>
    <xf numFmtId="2" fontId="0" fillId="2" borderId="0" xfId="0" applyNumberFormat="1" applyFont="1" applyFill="1" applyBorder="1"/>
    <xf numFmtId="1" fontId="0" fillId="2" borderId="0" xfId="0" applyNumberFormat="1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165" fontId="0" fillId="2" borderId="0" xfId="0" applyNumberFormat="1" applyFont="1" applyFill="1" applyBorder="1"/>
    <xf numFmtId="1" fontId="0" fillId="2" borderId="5" xfId="0" applyNumberFormat="1" applyFont="1" applyFill="1" applyBorder="1" applyAlignment="1">
      <alignment horizontal="left" vertical="center"/>
    </xf>
    <xf numFmtId="2" fontId="0" fillId="2" borderId="0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center"/>
    </xf>
    <xf numFmtId="2" fontId="41" fillId="2" borderId="1" xfId="0" applyNumberFormat="1" applyFont="1" applyFill="1" applyBorder="1" applyAlignment="1">
      <alignment horizontal="center"/>
    </xf>
    <xf numFmtId="2" fontId="41" fillId="2" borderId="1" xfId="0" applyNumberFormat="1" applyFont="1" applyFill="1" applyBorder="1"/>
    <xf numFmtId="0" fontId="38" fillId="2" borderId="2" xfId="0" applyFont="1" applyFill="1" applyBorder="1" applyAlignment="1">
      <alignment horizontal="center"/>
    </xf>
    <xf numFmtId="0" fontId="38" fillId="2" borderId="3" xfId="0" applyFont="1" applyFill="1" applyBorder="1" applyAlignment="1">
      <alignment horizontal="center"/>
    </xf>
    <xf numFmtId="0" fontId="38" fillId="2" borderId="1" xfId="0" applyFont="1" applyFill="1" applyBorder="1" applyAlignment="1">
      <alignment horizontal="left" wrapText="1"/>
    </xf>
    <xf numFmtId="169" fontId="38" fillId="2" borderId="1" xfId="0" applyNumberFormat="1" applyFont="1" applyFill="1" applyBorder="1"/>
    <xf numFmtId="10" fontId="0" fillId="2" borderId="1" xfId="0" applyNumberFormat="1" applyFont="1" applyFill="1" applyBorder="1"/>
    <xf numFmtId="0" fontId="41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" fontId="0" fillId="2" borderId="5" xfId="0" applyNumberFormat="1" applyFont="1" applyFill="1" applyBorder="1" applyAlignment="1">
      <alignment horizontal="left" vertical="center" wrapText="1"/>
    </xf>
    <xf numFmtId="0" fontId="38" fillId="2" borderId="4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left" vertical="center"/>
    </xf>
    <xf numFmtId="2" fontId="0" fillId="2" borderId="1" xfId="0" applyNumberFormat="1" applyFont="1" applyFill="1" applyBorder="1" applyAlignment="1">
      <alignment horizontal="center"/>
    </xf>
    <xf numFmtId="1" fontId="0" fillId="2" borderId="1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wrapText="1"/>
    </xf>
    <xf numFmtId="165" fontId="0" fillId="2" borderId="0" xfId="0" applyNumberFormat="1" applyFont="1" applyFill="1" applyBorder="1" applyAlignment="1">
      <alignment horizontal="left"/>
    </xf>
    <xf numFmtId="0" fontId="41" fillId="2" borderId="4" xfId="0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center" wrapText="1"/>
    </xf>
    <xf numFmtId="2" fontId="0" fillId="2" borderId="5" xfId="0" applyNumberFormat="1" applyFont="1" applyFill="1" applyBorder="1" applyAlignment="1">
      <alignment horizontal="left" vertical="center" wrapText="1"/>
    </xf>
    <xf numFmtId="165" fontId="0" fillId="2" borderId="1" xfId="0" applyNumberFormat="1" applyFont="1" applyFill="1" applyBorder="1" applyAlignment="1">
      <alignment horizontal="center" vertical="center"/>
    </xf>
    <xf numFmtId="0" fontId="41" fillId="2" borderId="4" xfId="0" applyFont="1" applyFill="1" applyBorder="1" applyAlignment="1">
      <alignment horizontal="center" wrapText="1"/>
    </xf>
    <xf numFmtId="2" fontId="41" fillId="2" borderId="0" xfId="0" applyNumberFormat="1" applyFont="1" applyFill="1" applyBorder="1" applyAlignment="1">
      <alignment horizontal="center"/>
    </xf>
    <xf numFmtId="1" fontId="0" fillId="2" borderId="1" xfId="0" applyNumberFormat="1" applyFont="1" applyFill="1" applyBorder="1" applyAlignment="1">
      <alignment horizontal="left" vertical="center" wrapText="1"/>
    </xf>
    <xf numFmtId="2" fontId="0" fillId="2" borderId="9" xfId="0" applyNumberFormat="1" applyFont="1" applyFill="1" applyBorder="1" applyAlignment="1">
      <alignment horizontal="center" vertical="center"/>
    </xf>
    <xf numFmtId="1" fontId="0" fillId="2" borderId="5" xfId="0" applyNumberFormat="1" applyFont="1" applyFill="1" applyBorder="1" applyAlignment="1">
      <alignment horizontal="center" vertical="center"/>
    </xf>
    <xf numFmtId="165" fontId="0" fillId="2" borderId="5" xfId="0" applyNumberFormat="1" applyFont="1" applyFill="1" applyBorder="1" applyAlignment="1">
      <alignment horizontal="center" vertical="center" wrapText="1"/>
    </xf>
    <xf numFmtId="2" fontId="0" fillId="2" borderId="1" xfId="0" applyNumberFormat="1" applyFont="1" applyFill="1" applyBorder="1" applyAlignment="1">
      <alignment horizontal="left" vertical="center" wrapText="1"/>
    </xf>
    <xf numFmtId="2" fontId="0" fillId="2" borderId="2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wrapText="1"/>
    </xf>
    <xf numFmtId="1" fontId="0" fillId="2" borderId="1" xfId="0" applyNumberFormat="1" applyFont="1" applyFill="1" applyBorder="1" applyAlignment="1">
      <alignment horizontal="left" vertical="center"/>
    </xf>
    <xf numFmtId="0" fontId="0" fillId="2" borderId="4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center" wrapText="1"/>
    </xf>
    <xf numFmtId="2" fontId="0" fillId="2" borderId="7" xfId="0" applyNumberFormat="1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2" fontId="0" fillId="2" borderId="5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1" fontId="39" fillId="0" borderId="0" xfId="0" applyNumberFormat="1" applyFont="1" applyFill="1"/>
    <xf numFmtId="1" fontId="3" fillId="0" borderId="1" xfId="0" applyNumberFormat="1" applyFont="1" applyFill="1" applyBorder="1" applyAlignment="1">
      <alignment horizontal="center" vertical="center" wrapText="1"/>
    </xf>
    <xf numFmtId="49" fontId="35" fillId="2" borderId="6" xfId="0" applyNumberFormat="1" applyFont="1" applyFill="1" applyBorder="1" applyAlignment="1">
      <alignment horizontal="center" wrapText="1"/>
    </xf>
    <xf numFmtId="0" fontId="34" fillId="0" borderId="6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left" vertical="center" wrapText="1"/>
    </xf>
    <xf numFmtId="0" fontId="35" fillId="2" borderId="1" xfId="0" applyFont="1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wrapText="1"/>
    </xf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48" fillId="0" borderId="1" xfId="0" applyFont="1" applyBorder="1" applyAlignment="1">
      <alignment wrapText="1"/>
    </xf>
    <xf numFmtId="0" fontId="48" fillId="0" borderId="1" xfId="0" applyFont="1" applyBorder="1" applyAlignment="1">
      <alignment vertical="center" wrapText="1"/>
    </xf>
    <xf numFmtId="49" fontId="48" fillId="2" borderId="1" xfId="0" applyNumberFormat="1" applyFont="1" applyFill="1" applyBorder="1" applyAlignment="1">
      <alignment wrapText="1"/>
    </xf>
    <xf numFmtId="0" fontId="48" fillId="0" borderId="1" xfId="0" applyFont="1" applyFill="1" applyBorder="1" applyAlignment="1">
      <alignment horizontal="left"/>
    </xf>
    <xf numFmtId="0" fontId="49" fillId="0" borderId="1" xfId="0" applyFont="1" applyBorder="1" applyAlignment="1">
      <alignment wrapText="1"/>
    </xf>
    <xf numFmtId="0" fontId="35" fillId="0" borderId="1" xfId="0" applyFont="1" applyFill="1" applyBorder="1" applyAlignment="1">
      <alignment wrapText="1"/>
    </xf>
    <xf numFmtId="49" fontId="35" fillId="2" borderId="0" xfId="0" applyNumberFormat="1" applyFont="1" applyFill="1" applyBorder="1" applyAlignment="1">
      <alignment horizontal="center" wrapText="1"/>
    </xf>
    <xf numFmtId="49" fontId="35" fillId="2" borderId="1" xfId="0" applyNumberFormat="1" applyFont="1" applyFill="1" applyBorder="1" applyAlignment="1">
      <alignment vertical="justify" wrapText="1"/>
    </xf>
    <xf numFmtId="0" fontId="35" fillId="0" borderId="1" xfId="0" applyFont="1" applyBorder="1" applyAlignment="1">
      <alignment vertical="justify" wrapText="1"/>
    </xf>
    <xf numFmtId="0" fontId="35" fillId="0" borderId="1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horizontal="left"/>
    </xf>
    <xf numFmtId="0" fontId="7" fillId="2" borderId="0" xfId="0" applyFont="1" applyFill="1"/>
    <xf numFmtId="49" fontId="35" fillId="0" borderId="1" xfId="0" applyNumberFormat="1" applyFont="1" applyFill="1" applyBorder="1" applyAlignment="1">
      <alignment horizontal="center" wrapText="1"/>
    </xf>
    <xf numFmtId="2" fontId="1" fillId="0" borderId="1" xfId="0" applyNumberFormat="1" applyFont="1" applyFill="1" applyBorder="1"/>
    <xf numFmtId="1" fontId="37" fillId="0" borderId="1" xfId="0" applyNumberFormat="1" applyFont="1" applyFill="1" applyBorder="1"/>
    <xf numFmtId="1" fontId="1" fillId="0" borderId="1" xfId="0" applyNumberFormat="1" applyFont="1" applyFill="1" applyBorder="1"/>
    <xf numFmtId="0" fontId="35" fillId="0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 wrapText="1"/>
    </xf>
    <xf numFmtId="0" fontId="49" fillId="0" borderId="0" xfId="0" applyFont="1"/>
    <xf numFmtId="0" fontId="49" fillId="0" borderId="1" xfId="0" applyFont="1" applyBorder="1"/>
    <xf numFmtId="0" fontId="49" fillId="0" borderId="10" xfId="0" applyFont="1" applyBorder="1" applyAlignment="1"/>
    <xf numFmtId="0" fontId="49" fillId="0" borderId="1" xfId="0" applyFont="1" applyBorder="1" applyAlignment="1"/>
    <xf numFmtId="0" fontId="35" fillId="0" borderId="1" xfId="0" applyFont="1" applyBorder="1"/>
    <xf numFmtId="49" fontId="35" fillId="2" borderId="5" xfId="0" applyNumberFormat="1" applyFont="1" applyFill="1" applyBorder="1" applyAlignment="1">
      <alignment horizontal="center" wrapText="1"/>
    </xf>
    <xf numFmtId="0" fontId="49" fillId="0" borderId="1" xfId="0" applyFont="1" applyBorder="1" applyAlignment="1">
      <alignment vertical="top" wrapText="1"/>
    </xf>
    <xf numFmtId="0" fontId="49" fillId="0" borderId="0" xfId="0" applyFont="1" applyAlignment="1">
      <alignment wrapText="1"/>
    </xf>
    <xf numFmtId="0" fontId="49" fillId="0" borderId="1" xfId="0" applyFont="1" applyBorder="1" applyAlignment="1">
      <alignment vertical="center" wrapText="1"/>
    </xf>
    <xf numFmtId="0" fontId="35" fillId="2" borderId="2" xfId="0" applyFont="1" applyFill="1" applyBorder="1" applyAlignment="1">
      <alignment horizontal="center" wrapText="1"/>
    </xf>
    <xf numFmtId="0" fontId="49" fillId="0" borderId="0" xfId="0" applyFont="1" applyAlignment="1">
      <alignment vertical="top" wrapText="1"/>
    </xf>
    <xf numFmtId="0" fontId="49" fillId="0" borderId="4" xfId="0" applyFont="1" applyBorder="1"/>
    <xf numFmtId="0" fontId="37" fillId="2" borderId="1" xfId="0" applyFont="1" applyFill="1" applyBorder="1"/>
    <xf numFmtId="2" fontId="37" fillId="2" borderId="1" xfId="0" applyNumberFormat="1" applyFont="1" applyFill="1" applyBorder="1"/>
    <xf numFmtId="1" fontId="37" fillId="2" borderId="1" xfId="0" applyNumberFormat="1" applyFont="1" applyFill="1" applyBorder="1"/>
    <xf numFmtId="0" fontId="50" fillId="2" borderId="0" xfId="0" applyFont="1" applyFill="1"/>
    <xf numFmtId="0" fontId="35" fillId="2" borderId="1" xfId="0" applyFont="1" applyFill="1" applyBorder="1" applyAlignment="1">
      <alignment wrapText="1"/>
    </xf>
    <xf numFmtId="1" fontId="37" fillId="0" borderId="0" xfId="0" applyNumberFormat="1" applyFont="1" applyFill="1" applyBorder="1"/>
    <xf numFmtId="1" fontId="37" fillId="2" borderId="0" xfId="0" applyNumberFormat="1" applyFont="1" applyFill="1" applyBorder="1"/>
    <xf numFmtId="2" fontId="37" fillId="2" borderId="5" xfId="0" applyNumberFormat="1" applyFont="1" applyFill="1" applyBorder="1"/>
    <xf numFmtId="2" fontId="37" fillId="0" borderId="5" xfId="0" applyNumberFormat="1" applyFont="1" applyFill="1" applyBorder="1"/>
    <xf numFmtId="2" fontId="51" fillId="0" borderId="0" xfId="0" applyNumberFormat="1" applyFont="1" applyFill="1"/>
    <xf numFmtId="0" fontId="9" fillId="0" borderId="0" xfId="0" applyFont="1"/>
    <xf numFmtId="0" fontId="35" fillId="2" borderId="1" xfId="0" applyFont="1" applyFill="1" applyBorder="1" applyAlignment="1">
      <alignment horizontal="left" wrapText="1"/>
    </xf>
    <xf numFmtId="0" fontId="3" fillId="0" borderId="0" xfId="0" applyFont="1"/>
    <xf numFmtId="0" fontId="3" fillId="0" borderId="1" xfId="0" applyFont="1" applyBorder="1"/>
    <xf numFmtId="2" fontId="3" fillId="0" borderId="1" xfId="0" applyNumberFormat="1" applyFont="1" applyBorder="1"/>
    <xf numFmtId="9" fontId="3" fillId="0" borderId="1" xfId="0" applyNumberFormat="1" applyFont="1" applyBorder="1"/>
    <xf numFmtId="49" fontId="40" fillId="0" borderId="0" xfId="0" applyNumberFormat="1" applyFont="1" applyFill="1" applyBorder="1" applyAlignment="1">
      <alignment wrapText="1"/>
    </xf>
    <xf numFmtId="49" fontId="38" fillId="0" borderId="5" xfId="0" applyNumberFormat="1" applyFont="1" applyFill="1" applyBorder="1" applyAlignment="1">
      <alignment wrapText="1"/>
    </xf>
    <xf numFmtId="1" fontId="38" fillId="0" borderId="1" xfId="0" applyNumberFormat="1" applyFont="1" applyFill="1" applyBorder="1" applyAlignment="1">
      <alignment horizontal="right" wrapText="1"/>
    </xf>
    <xf numFmtId="165" fontId="0" fillId="5" borderId="1" xfId="0" applyNumberFormat="1" applyFill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2" fontId="45" fillId="0" borderId="0" xfId="0" applyNumberFormat="1" applyFont="1" applyFill="1" applyBorder="1" applyAlignment="1"/>
    <xf numFmtId="169" fontId="53" fillId="3" borderId="1" xfId="0" applyNumberFormat="1" applyFont="1" applyFill="1" applyBorder="1" applyAlignment="1">
      <alignment horizontal="center" vertical="center" wrapText="1"/>
    </xf>
    <xf numFmtId="166" fontId="41" fillId="0" borderId="1" xfId="0" applyNumberFormat="1" applyFont="1" applyFill="1" applyBorder="1" applyAlignment="1">
      <alignment horizontal="center"/>
    </xf>
    <xf numFmtId="1" fontId="0" fillId="0" borderId="5" xfId="0" applyNumberFormat="1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/>
    </xf>
    <xf numFmtId="0" fontId="0" fillId="2" borderId="1" xfId="0" applyFill="1" applyBorder="1" applyAlignment="1">
      <alignment horizontal="center" wrapText="1"/>
    </xf>
    <xf numFmtId="2" fontId="0" fillId="2" borderId="1" xfId="0" applyNumberFormat="1" applyFill="1" applyBorder="1" applyAlignment="1">
      <alignment horizontal="left" vertical="center" wrapText="1"/>
    </xf>
    <xf numFmtId="0" fontId="55" fillId="0" borderId="14" xfId="0" applyNumberFormat="1" applyFont="1" applyBorder="1" applyAlignment="1">
      <alignment horizontal="left" vertical="top"/>
    </xf>
    <xf numFmtId="2" fontId="55" fillId="0" borderId="14" xfId="0" applyNumberFormat="1" applyFont="1" applyBorder="1" applyAlignment="1">
      <alignment horizontal="right" vertical="top" wrapText="1"/>
    </xf>
    <xf numFmtId="166" fontId="55" fillId="0" borderId="14" xfId="0" applyNumberFormat="1" applyFont="1" applyBorder="1" applyAlignment="1">
      <alignment horizontal="right" vertical="top" wrapText="1"/>
    </xf>
    <xf numFmtId="4" fontId="55" fillId="0" borderId="14" xfId="0" applyNumberFormat="1" applyFont="1" applyBorder="1" applyAlignment="1">
      <alignment horizontal="right" vertical="top" wrapText="1"/>
    </xf>
    <xf numFmtId="171" fontId="55" fillId="0" borderId="14" xfId="0" applyNumberFormat="1" applyFont="1" applyBorder="1" applyAlignment="1">
      <alignment horizontal="right" vertical="top" wrapText="1"/>
    </xf>
    <xf numFmtId="0" fontId="0" fillId="0" borderId="4" xfId="0" applyFill="1" applyBorder="1" applyAlignment="1">
      <alignment horizontal="left" vertical="center"/>
    </xf>
    <xf numFmtId="0" fontId="0" fillId="0" borderId="1" xfId="0" applyFill="1" applyBorder="1" applyAlignment="1">
      <alignment horizontal="center" wrapText="1"/>
    </xf>
    <xf numFmtId="0" fontId="0" fillId="0" borderId="0" xfId="0" applyAlignment="1"/>
    <xf numFmtId="0" fontId="0" fillId="0" borderId="0" xfId="0"/>
    <xf numFmtId="2" fontId="37" fillId="0" borderId="2" xfId="0" applyNumberFormat="1" applyFont="1" applyFill="1" applyBorder="1" applyAlignment="1">
      <alignment horizontal="center" vertical="center"/>
    </xf>
    <xf numFmtId="2" fontId="37" fillId="0" borderId="9" xfId="0" applyNumberFormat="1" applyFont="1" applyFill="1" applyBorder="1" applyAlignment="1">
      <alignment horizontal="center" vertical="center"/>
    </xf>
    <xf numFmtId="2" fontId="37" fillId="0" borderId="7" xfId="0" applyNumberFormat="1" applyFont="1" applyFill="1" applyBorder="1" applyAlignment="1">
      <alignment horizontal="center" vertical="center"/>
    </xf>
    <xf numFmtId="2" fontId="37" fillId="0" borderId="1" xfId="0" applyNumberFormat="1" applyFont="1" applyFill="1" applyBorder="1" applyAlignment="1">
      <alignment horizontal="center" vertical="center"/>
    </xf>
    <xf numFmtId="2" fontId="37" fillId="0" borderId="1" xfId="0" applyNumberFormat="1" applyFont="1" applyFill="1" applyBorder="1" applyAlignment="1">
      <alignment horizontal="center" vertical="center"/>
    </xf>
    <xf numFmtId="2" fontId="37" fillId="0" borderId="2" xfId="0" applyNumberFormat="1" applyFont="1" applyFill="1" applyBorder="1" applyAlignment="1">
      <alignment horizontal="center" vertical="center"/>
    </xf>
    <xf numFmtId="2" fontId="37" fillId="0" borderId="9" xfId="0" applyNumberFormat="1" applyFont="1" applyFill="1" applyBorder="1" applyAlignment="1">
      <alignment horizontal="center" vertical="center"/>
    </xf>
    <xf numFmtId="2" fontId="37" fillId="0" borderId="7" xfId="0" applyNumberFormat="1" applyFont="1" applyFill="1" applyBorder="1" applyAlignment="1">
      <alignment horizontal="center" vertical="center"/>
    </xf>
    <xf numFmtId="2" fontId="2" fillId="0" borderId="2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textRotation="90" wrapText="1"/>
    </xf>
    <xf numFmtId="2" fontId="2" fillId="0" borderId="6" xfId="0" applyNumberFormat="1" applyFont="1" applyFill="1" applyBorder="1" applyAlignment="1">
      <alignment horizontal="left" vertical="center" wrapText="1"/>
    </xf>
    <xf numFmtId="165" fontId="2" fillId="0" borderId="6" xfId="0" applyNumberFormat="1" applyFont="1" applyFill="1" applyBorder="1" applyAlignment="1">
      <alignment horizontal="center" vertical="center" wrapText="1"/>
    </xf>
    <xf numFmtId="2" fontId="2" fillId="0" borderId="13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center" wrapText="1"/>
    </xf>
    <xf numFmtId="2" fontId="18" fillId="0" borderId="6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2" fontId="18" fillId="0" borderId="6" xfId="0" applyNumberFormat="1" applyFont="1" applyFill="1" applyBorder="1"/>
    <xf numFmtId="0" fontId="13" fillId="0" borderId="6" xfId="0" applyFont="1" applyFill="1" applyBorder="1" applyAlignment="1">
      <alignment horizontal="left" vertical="center"/>
    </xf>
    <xf numFmtId="0" fontId="13" fillId="0" borderId="6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center"/>
    </xf>
    <xf numFmtId="0" fontId="13" fillId="0" borderId="6" xfId="0" applyFont="1" applyFill="1" applyBorder="1"/>
    <xf numFmtId="0" fontId="2" fillId="0" borderId="6" xfId="0" applyFont="1" applyFill="1" applyBorder="1"/>
    <xf numFmtId="1" fontId="2" fillId="0" borderId="4" xfId="0" applyNumberFormat="1" applyFont="1" applyFill="1" applyBorder="1"/>
    <xf numFmtId="2" fontId="2" fillId="0" borderId="2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49" fontId="35" fillId="6" borderId="1" xfId="0" applyNumberFormat="1" applyFont="1" applyFill="1" applyBorder="1" applyAlignment="1">
      <alignment wrapText="1"/>
    </xf>
    <xf numFmtId="49" fontId="35" fillId="6" borderId="1" xfId="0" applyNumberFormat="1" applyFont="1" applyFill="1" applyBorder="1" applyAlignment="1">
      <alignment horizontal="center" wrapText="1"/>
    </xf>
    <xf numFmtId="0" fontId="0" fillId="7" borderId="0" xfId="0" applyFont="1" applyFill="1"/>
    <xf numFmtId="0" fontId="35" fillId="6" borderId="1" xfId="0" applyFont="1" applyFill="1" applyBorder="1" applyAlignment="1">
      <alignment horizontal="center" wrapText="1"/>
    </xf>
    <xf numFmtId="0" fontId="35" fillId="6" borderId="1" xfId="0" applyFont="1" applyFill="1" applyBorder="1" applyAlignment="1">
      <alignment wrapText="1"/>
    </xf>
    <xf numFmtId="0" fontId="34" fillId="6" borderId="1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wrapText="1"/>
    </xf>
    <xf numFmtId="0" fontId="35" fillId="6" borderId="5" xfId="0" applyFont="1" applyFill="1" applyBorder="1" applyAlignment="1">
      <alignment wrapText="1"/>
    </xf>
    <xf numFmtId="2" fontId="37" fillId="6" borderId="1" xfId="0" applyNumberFormat="1" applyFont="1" applyFill="1" applyBorder="1"/>
    <xf numFmtId="0" fontId="37" fillId="6" borderId="1" xfId="0" applyFont="1" applyFill="1" applyBorder="1"/>
    <xf numFmtId="0" fontId="35" fillId="6" borderId="1" xfId="0" applyFont="1" applyFill="1" applyBorder="1" applyAlignment="1">
      <alignment horizontal="left" vertical="top" wrapText="1"/>
    </xf>
    <xf numFmtId="49" fontId="35" fillId="6" borderId="1" xfId="0" applyNumberFormat="1" applyFont="1" applyFill="1" applyBorder="1" applyAlignment="1">
      <alignment horizontal="left" wrapText="1"/>
    </xf>
    <xf numFmtId="0" fontId="7" fillId="6" borderId="0" xfId="0" applyFont="1" applyFill="1"/>
    <xf numFmtId="2" fontId="7" fillId="6" borderId="1" xfId="0" applyNumberFormat="1" applyFont="1" applyFill="1" applyBorder="1"/>
    <xf numFmtId="2" fontId="7" fillId="6" borderId="2" xfId="0" applyNumberFormat="1" applyFont="1" applyFill="1" applyBorder="1"/>
    <xf numFmtId="0" fontId="35" fillId="6" borderId="1" xfId="0" applyFont="1" applyFill="1" applyBorder="1" applyAlignment="1">
      <alignment horizontal="center"/>
    </xf>
    <xf numFmtId="2" fontId="7" fillId="6" borderId="9" xfId="0" applyNumberFormat="1" applyFont="1" applyFill="1" applyBorder="1"/>
    <xf numFmtId="0" fontId="3" fillId="6" borderId="6" xfId="0" applyFont="1" applyFill="1" applyBorder="1" applyAlignment="1"/>
    <xf numFmtId="0" fontId="3" fillId="6" borderId="4" xfId="0" applyFont="1" applyFill="1" applyBorder="1" applyAlignment="1"/>
    <xf numFmtId="0" fontId="7" fillId="6" borderId="1" xfId="0" applyFont="1" applyFill="1" applyBorder="1"/>
    <xf numFmtId="0" fontId="3" fillId="6" borderId="6" xfId="0" applyFont="1" applyFill="1" applyBorder="1" applyAlignment="1">
      <alignment wrapText="1"/>
    </xf>
    <xf numFmtId="0" fontId="3" fillId="6" borderId="4" xfId="0" applyFont="1" applyFill="1" applyBorder="1" applyAlignment="1">
      <alignment wrapText="1"/>
    </xf>
    <xf numFmtId="0" fontId="50" fillId="6" borderId="1" xfId="0" applyFont="1" applyFill="1" applyBorder="1" applyAlignment="1">
      <alignment horizontal="center" wrapText="1"/>
    </xf>
    <xf numFmtId="0" fontId="36" fillId="6" borderId="1" xfId="0" applyFont="1" applyFill="1" applyBorder="1" applyAlignment="1">
      <alignment horizontal="center" wrapText="1"/>
    </xf>
    <xf numFmtId="0" fontId="0" fillId="6" borderId="0" xfId="0" applyFill="1"/>
    <xf numFmtId="0" fontId="0" fillId="6" borderId="0" xfId="0" applyFill="1" applyAlignment="1">
      <alignment horizontal="center"/>
    </xf>
    <xf numFmtId="0" fontId="34" fillId="6" borderId="0" xfId="0" applyFont="1" applyFill="1" applyAlignment="1">
      <alignment horizontal="right"/>
    </xf>
    <xf numFmtId="0" fontId="34" fillId="6" borderId="0" xfId="0" applyFont="1" applyFill="1" applyAlignment="1">
      <alignment horizontal="left"/>
    </xf>
    <xf numFmtId="2" fontId="45" fillId="6" borderId="0" xfId="0" applyNumberFormat="1" applyFont="1" applyFill="1" applyBorder="1" applyAlignment="1"/>
    <xf numFmtId="0" fontId="3" fillId="6" borderId="0" xfId="0" applyFont="1" applyFill="1" applyAlignment="1">
      <alignment horizontal="center"/>
    </xf>
    <xf numFmtId="1" fontId="0" fillId="6" borderId="1" xfId="0" applyNumberFormat="1" applyFill="1" applyBorder="1"/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0" fontId="3" fillId="6" borderId="0" xfId="0" applyFont="1" applyFill="1" applyBorder="1" applyAlignment="1"/>
    <xf numFmtId="0" fontId="3" fillId="6" borderId="13" xfId="0" applyFont="1" applyFill="1" applyBorder="1" applyAlignment="1"/>
    <xf numFmtId="0" fontId="48" fillId="6" borderId="0" xfId="0" applyFont="1" applyFill="1" applyBorder="1" applyAlignment="1">
      <alignment horizontal="left"/>
    </xf>
    <xf numFmtId="0" fontId="34" fillId="6" borderId="4" xfId="0" applyFont="1" applyFill="1" applyBorder="1" applyAlignment="1">
      <alignment wrapText="1"/>
    </xf>
    <xf numFmtId="0" fontId="35" fillId="6" borderId="0" xfId="0" applyFont="1" applyFill="1" applyBorder="1"/>
    <xf numFmtId="0" fontId="0" fillId="6" borderId="0" xfId="0" applyFill="1" applyAlignment="1">
      <alignment horizontal="right"/>
    </xf>
    <xf numFmtId="0" fontId="35" fillId="6" borderId="0" xfId="0" applyFont="1" applyFill="1"/>
    <xf numFmtId="0" fontId="0" fillId="6" borderId="0" xfId="0" applyFill="1" applyAlignment="1">
      <alignment horizontal="left"/>
    </xf>
    <xf numFmtId="1" fontId="0" fillId="0" borderId="1" xfId="0" applyNumberFormat="1" applyBorder="1" applyAlignment="1">
      <alignment horizontal="center"/>
    </xf>
    <xf numFmtId="0" fontId="14" fillId="0" borderId="0" xfId="0" applyFont="1" applyFill="1"/>
    <xf numFmtId="0" fontId="15" fillId="0" borderId="2" xfId="0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2" fontId="7" fillId="3" borderId="1" xfId="0" quotePrefix="1" applyNumberFormat="1" applyFont="1" applyFill="1" applyBorder="1" applyAlignment="1">
      <alignment horizontal="center" vertical="center"/>
    </xf>
    <xf numFmtId="2" fontId="7" fillId="3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Border="1"/>
    <xf numFmtId="2" fontId="13" fillId="0" borderId="1" xfId="0" applyNumberFormat="1" applyFont="1" applyFill="1" applyBorder="1"/>
    <xf numFmtId="2" fontId="2" fillId="0" borderId="1" xfId="0" applyNumberFormat="1" applyFont="1" applyBorder="1"/>
    <xf numFmtId="2" fontId="2" fillId="0" borderId="2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2" fontId="39" fillId="0" borderId="1" xfId="0" applyNumberFormat="1" applyFont="1" applyBorder="1"/>
    <xf numFmtId="0" fontId="41" fillId="0" borderId="1" xfId="0" applyFont="1" applyBorder="1" applyAlignment="1">
      <alignment horizontal="left" vertical="center" wrapText="1"/>
    </xf>
    <xf numFmtId="2" fontId="7" fillId="0" borderId="0" xfId="0" applyNumberFormat="1" applyFont="1" applyFill="1"/>
    <xf numFmtId="2" fontId="0" fillId="7" borderId="1" xfId="0" applyNumberFormat="1" applyFont="1" applyFill="1" applyBorder="1"/>
    <xf numFmtId="0" fontId="0" fillId="7" borderId="0" xfId="0" applyFill="1"/>
    <xf numFmtId="1" fontId="0" fillId="7" borderId="1" xfId="0" applyNumberFormat="1" applyFont="1" applyFill="1" applyBorder="1"/>
    <xf numFmtId="0" fontId="2" fillId="7" borderId="0" xfId="0" applyFont="1" applyFill="1" applyAlignment="1">
      <alignment horizontal="left" vertical="center"/>
    </xf>
    <xf numFmtId="2" fontId="2" fillId="7" borderId="1" xfId="0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left" vertical="center"/>
    </xf>
    <xf numFmtId="0" fontId="2" fillId="7" borderId="1" xfId="0" applyFont="1" applyFill="1" applyBorder="1"/>
    <xf numFmtId="0" fontId="2" fillId="7" borderId="1" xfId="0" applyFont="1" applyFill="1" applyBorder="1" applyAlignment="1">
      <alignment horizontal="center"/>
    </xf>
    <xf numFmtId="2" fontId="2" fillId="7" borderId="1" xfId="0" applyNumberFormat="1" applyFont="1" applyFill="1" applyBorder="1"/>
    <xf numFmtId="0" fontId="13" fillId="7" borderId="1" xfId="0" applyFont="1" applyFill="1" applyBorder="1" applyAlignment="1">
      <alignment horizontal="left" vertical="center"/>
    </xf>
    <xf numFmtId="0" fontId="13" fillId="7" borderId="1" xfId="0" applyFont="1" applyFill="1" applyBorder="1"/>
    <xf numFmtId="0" fontId="13" fillId="7" borderId="1" xfId="0" applyFont="1" applyFill="1" applyBorder="1" applyAlignment="1">
      <alignment horizontal="center"/>
    </xf>
    <xf numFmtId="10" fontId="2" fillId="7" borderId="1" xfId="0" applyNumberFormat="1" applyFont="1" applyFill="1" applyBorder="1"/>
    <xf numFmtId="165" fontId="13" fillId="7" borderId="1" xfId="0" applyNumberFormat="1" applyFont="1" applyFill="1" applyBorder="1" applyAlignment="1">
      <alignment horizontal="center"/>
    </xf>
    <xf numFmtId="165" fontId="2" fillId="7" borderId="1" xfId="0" applyNumberFormat="1" applyFont="1" applyFill="1" applyBorder="1" applyAlignment="1">
      <alignment horizontal="center"/>
    </xf>
    <xf numFmtId="9" fontId="2" fillId="7" borderId="1" xfId="0" applyNumberFormat="1" applyFont="1" applyFill="1" applyBorder="1" applyAlignment="1">
      <alignment horizontal="center"/>
    </xf>
    <xf numFmtId="1" fontId="2" fillId="7" borderId="1" xfId="0" applyNumberFormat="1" applyFont="1" applyFill="1" applyBorder="1" applyAlignment="1">
      <alignment horizontal="center"/>
    </xf>
    <xf numFmtId="1" fontId="2" fillId="7" borderId="1" xfId="0" applyNumberFormat="1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/>
    </xf>
    <xf numFmtId="2" fontId="18" fillId="7" borderId="1" xfId="0" applyNumberFormat="1" applyFont="1" applyFill="1" applyBorder="1" applyAlignment="1">
      <alignment horizontal="center"/>
    </xf>
    <xf numFmtId="2" fontId="18" fillId="7" borderId="1" xfId="0" applyNumberFormat="1" applyFont="1" applyFill="1" applyBorder="1"/>
    <xf numFmtId="0" fontId="13" fillId="7" borderId="2" xfId="0" applyFont="1" applyFill="1" applyBorder="1" applyAlignment="1">
      <alignment horizontal="center"/>
    </xf>
    <xf numFmtId="0" fontId="13" fillId="7" borderId="3" xfId="0" applyFont="1" applyFill="1" applyBorder="1" applyAlignment="1">
      <alignment horizontal="center"/>
    </xf>
    <xf numFmtId="1" fontId="2" fillId="7" borderId="1" xfId="0" applyNumberFormat="1" applyFont="1" applyFill="1" applyBorder="1"/>
    <xf numFmtId="1" fontId="2" fillId="7" borderId="1" xfId="0" applyNumberFormat="1" applyFont="1" applyFill="1" applyBorder="1" applyAlignment="1">
      <alignment horizontal="left" vertical="center" wrapText="1"/>
    </xf>
    <xf numFmtId="166" fontId="18" fillId="7" borderId="1" xfId="0" applyNumberFormat="1" applyFont="1" applyFill="1" applyBorder="1"/>
    <xf numFmtId="0" fontId="13" fillId="7" borderId="4" xfId="0" applyFont="1" applyFill="1" applyBorder="1" applyAlignment="1">
      <alignment horizontal="center"/>
    </xf>
    <xf numFmtId="169" fontId="13" fillId="7" borderId="1" xfId="0" applyNumberFormat="1" applyFont="1" applyFill="1" applyBorder="1"/>
    <xf numFmtId="2" fontId="2" fillId="7" borderId="1" xfId="0" applyNumberFormat="1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horizontal="center"/>
    </xf>
    <xf numFmtId="0" fontId="18" fillId="7" borderId="4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wrapText="1"/>
    </xf>
    <xf numFmtId="2" fontId="2" fillId="7" borderId="1" xfId="0" applyNumberFormat="1" applyFont="1" applyFill="1" applyBorder="1" applyAlignment="1">
      <alignment horizontal="left" vertical="center" wrapText="1"/>
    </xf>
    <xf numFmtId="2" fontId="22" fillId="7" borderId="1" xfId="0" applyNumberFormat="1" applyFont="1" applyFill="1" applyBorder="1" applyAlignment="1">
      <alignment horizontal="left" vertical="center" wrapText="1"/>
    </xf>
    <xf numFmtId="165" fontId="2" fillId="7" borderId="1" xfId="0" applyNumberFormat="1" applyFont="1" applyFill="1" applyBorder="1" applyAlignment="1">
      <alignment horizontal="center" vertical="center" wrapText="1"/>
    </xf>
    <xf numFmtId="0" fontId="2" fillId="7" borderId="1" xfId="0" applyNumberFormat="1" applyFont="1" applyFill="1" applyBorder="1"/>
    <xf numFmtId="166" fontId="13" fillId="7" borderId="1" xfId="0" applyNumberFormat="1" applyFont="1" applyFill="1" applyBorder="1" applyAlignment="1">
      <alignment horizontal="center"/>
    </xf>
    <xf numFmtId="166" fontId="13" fillId="7" borderId="1" xfId="0" applyNumberFormat="1" applyFont="1" applyFill="1" applyBorder="1"/>
    <xf numFmtId="2" fontId="2" fillId="7" borderId="1" xfId="0" applyNumberFormat="1" applyFont="1" applyFill="1" applyBorder="1" applyAlignment="1">
      <alignment horizontal="center" vertical="center"/>
    </xf>
    <xf numFmtId="1" fontId="2" fillId="7" borderId="1" xfId="0" applyNumberFormat="1" applyFont="1" applyFill="1" applyBorder="1" applyAlignment="1">
      <alignment horizontal="center" vertical="center"/>
    </xf>
    <xf numFmtId="2" fontId="13" fillId="7" borderId="1" xfId="0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/>
    </xf>
    <xf numFmtId="169" fontId="13" fillId="7" borderId="1" xfId="0" applyNumberFormat="1" applyFont="1" applyFill="1" applyBorder="1" applyAlignment="1">
      <alignment horizontal="center" vertical="center" wrapText="1"/>
    </xf>
    <xf numFmtId="2" fontId="13" fillId="7" borderId="1" xfId="0" applyNumberFormat="1" applyFont="1" applyFill="1" applyBorder="1" applyAlignment="1">
      <alignment horizontal="center" vertical="center" wrapText="1"/>
    </xf>
    <xf numFmtId="2" fontId="0" fillId="0" borderId="12" xfId="0" applyNumberFormat="1" applyBorder="1" applyAlignment="1">
      <alignment wrapText="1"/>
    </xf>
    <xf numFmtId="9" fontId="0" fillId="0" borderId="1" xfId="0" applyNumberFormat="1" applyBorder="1"/>
    <xf numFmtId="2" fontId="2" fillId="7" borderId="5" xfId="0" applyNumberFormat="1" applyFont="1" applyFill="1" applyBorder="1" applyAlignment="1">
      <alignment horizontal="center" vertical="center"/>
    </xf>
    <xf numFmtId="2" fontId="2" fillId="7" borderId="2" xfId="0" applyNumberFormat="1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0" xfId="0" applyFont="1" applyFill="1" applyBorder="1"/>
    <xf numFmtId="0" fontId="2" fillId="7" borderId="0" xfId="0" applyFont="1" applyFill="1"/>
    <xf numFmtId="0" fontId="2" fillId="7" borderId="0" xfId="0" applyFont="1" applyFill="1" applyBorder="1" applyAlignment="1">
      <alignment horizontal="center" vertical="center"/>
    </xf>
    <xf numFmtId="0" fontId="1" fillId="7" borderId="0" xfId="0" applyFont="1" applyFill="1" applyBorder="1"/>
    <xf numFmtId="9" fontId="1" fillId="7" borderId="0" xfId="0" applyNumberFormat="1" applyFont="1" applyFill="1" applyBorder="1"/>
    <xf numFmtId="0" fontId="1" fillId="7" borderId="0" xfId="0" applyFont="1" applyFill="1" applyBorder="1" applyAlignment="1">
      <alignment horizontal="center"/>
    </xf>
    <xf numFmtId="165" fontId="1" fillId="7" borderId="0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wrapText="1"/>
    </xf>
    <xf numFmtId="0" fontId="13" fillId="7" borderId="1" xfId="0" applyFont="1" applyFill="1" applyBorder="1" applyAlignment="1">
      <alignment wrapText="1"/>
    </xf>
    <xf numFmtId="1" fontId="13" fillId="7" borderId="1" xfId="0" applyNumberFormat="1" applyFont="1" applyFill="1" applyBorder="1"/>
    <xf numFmtId="165" fontId="13" fillId="7" borderId="1" xfId="0" applyNumberFormat="1" applyFont="1" applyFill="1" applyBorder="1"/>
    <xf numFmtId="0" fontId="2" fillId="7" borderId="0" xfId="0" applyFont="1" applyFill="1" applyBorder="1" applyAlignment="1">
      <alignment horizontal="center"/>
    </xf>
    <xf numFmtId="2" fontId="1" fillId="7" borderId="0" xfId="0" applyNumberFormat="1" applyFont="1" applyFill="1" applyBorder="1" applyAlignment="1">
      <alignment horizontal="left"/>
    </xf>
    <xf numFmtId="2" fontId="1" fillId="7" borderId="0" xfId="0" applyNumberFormat="1" applyFont="1" applyFill="1" applyBorder="1"/>
    <xf numFmtId="1" fontId="1" fillId="7" borderId="0" xfId="0" applyNumberFormat="1" applyFont="1" applyFill="1" applyBorder="1" applyAlignment="1">
      <alignment horizontal="center"/>
    </xf>
    <xf numFmtId="2" fontId="3" fillId="7" borderId="0" xfId="0" applyNumberFormat="1" applyFont="1" applyFill="1" applyBorder="1" applyAlignment="1">
      <alignment horizontal="center"/>
    </xf>
    <xf numFmtId="165" fontId="2" fillId="7" borderId="0" xfId="0" applyNumberFormat="1" applyFont="1" applyFill="1" applyBorder="1"/>
    <xf numFmtId="2" fontId="2" fillId="7" borderId="9" xfId="0" applyNumberFormat="1" applyFont="1" applyFill="1" applyBorder="1" applyAlignment="1">
      <alignment horizontal="center" vertical="center"/>
    </xf>
    <xf numFmtId="0" fontId="18" fillId="7" borderId="0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left"/>
    </xf>
    <xf numFmtId="2" fontId="2" fillId="7" borderId="5" xfId="0" applyNumberFormat="1" applyFont="1" applyFill="1" applyBorder="1" applyAlignment="1">
      <alignment horizontal="center" vertical="center" wrapText="1"/>
    </xf>
    <xf numFmtId="165" fontId="1" fillId="7" borderId="0" xfId="0" applyNumberFormat="1" applyFont="1" applyFill="1" applyBorder="1"/>
    <xf numFmtId="1" fontId="2" fillId="7" borderId="5" xfId="0" applyNumberFormat="1" applyFont="1" applyFill="1" applyBorder="1" applyAlignment="1">
      <alignment horizontal="center" vertical="center"/>
    </xf>
    <xf numFmtId="165" fontId="2" fillId="7" borderId="5" xfId="0" applyNumberFormat="1" applyFont="1" applyFill="1" applyBorder="1" applyAlignment="1">
      <alignment horizontal="center" vertical="center" wrapText="1"/>
    </xf>
    <xf numFmtId="165" fontId="1" fillId="7" borderId="0" xfId="0" applyNumberFormat="1" applyFont="1" applyFill="1" applyBorder="1" applyAlignment="1">
      <alignment horizontal="left"/>
    </xf>
    <xf numFmtId="0" fontId="13" fillId="7" borderId="1" xfId="0" applyFont="1" applyFill="1" applyBorder="1" applyAlignment="1">
      <alignment horizontal="center" wrapText="1"/>
    </xf>
    <xf numFmtId="2" fontId="2" fillId="7" borderId="7" xfId="0" applyNumberFormat="1" applyFont="1" applyFill="1" applyBorder="1" applyAlignment="1">
      <alignment horizontal="center" vertical="center"/>
    </xf>
    <xf numFmtId="0" fontId="0" fillId="7" borderId="1" xfId="0" applyFont="1" applyFill="1" applyBorder="1"/>
    <xf numFmtId="0" fontId="46" fillId="6" borderId="0" xfId="0" applyFont="1" applyFill="1" applyBorder="1" applyAlignment="1">
      <alignment horizontal="center"/>
    </xf>
    <xf numFmtId="0" fontId="0" fillId="6" borderId="0" xfId="0" applyFill="1" applyAlignment="1"/>
    <xf numFmtId="0" fontId="56" fillId="6" borderId="0" xfId="0" applyFont="1" applyFill="1" applyBorder="1" applyAlignment="1">
      <alignment horizontal="center"/>
    </xf>
    <xf numFmtId="2" fontId="2" fillId="7" borderId="2" xfId="0" applyNumberFormat="1" applyFont="1" applyFill="1" applyBorder="1" applyAlignment="1">
      <alignment horizontal="center" vertical="center"/>
    </xf>
    <xf numFmtId="2" fontId="2" fillId="7" borderId="9" xfId="0" applyNumberFormat="1" applyFont="1" applyFill="1" applyBorder="1" applyAlignment="1">
      <alignment horizontal="center" vertical="center"/>
    </xf>
    <xf numFmtId="2" fontId="2" fillId="7" borderId="7" xfId="0" applyNumberFormat="1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/>
    </xf>
    <xf numFmtId="165" fontId="2" fillId="7" borderId="1" xfId="0" applyNumberFormat="1" applyFont="1" applyFill="1" applyBorder="1" applyAlignment="1">
      <alignment horizontal="center" vertical="center"/>
    </xf>
    <xf numFmtId="2" fontId="18" fillId="7" borderId="0" xfId="0" applyNumberFormat="1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 vertical="center" textRotation="90" wrapText="1"/>
    </xf>
    <xf numFmtId="2" fontId="2" fillId="7" borderId="6" xfId="0" applyNumberFormat="1" applyFont="1" applyFill="1" applyBorder="1" applyAlignment="1">
      <alignment horizontal="left" vertical="center" wrapText="1"/>
    </xf>
    <xf numFmtId="165" fontId="2" fillId="7" borderId="6" xfId="0" applyNumberFormat="1" applyFont="1" applyFill="1" applyBorder="1" applyAlignment="1">
      <alignment horizontal="center" vertical="center" wrapText="1"/>
    </xf>
    <xf numFmtId="2" fontId="2" fillId="7" borderId="13" xfId="0" applyNumberFormat="1" applyFont="1" applyFill="1" applyBorder="1" applyAlignment="1">
      <alignment horizontal="center" vertical="center"/>
    </xf>
    <xf numFmtId="0" fontId="18" fillId="7" borderId="6" xfId="0" applyFont="1" applyFill="1" applyBorder="1" applyAlignment="1">
      <alignment horizontal="left" vertical="center"/>
    </xf>
    <xf numFmtId="0" fontId="18" fillId="7" borderId="6" xfId="0" applyFont="1" applyFill="1" applyBorder="1" applyAlignment="1">
      <alignment horizontal="center" wrapText="1"/>
    </xf>
    <xf numFmtId="2" fontId="18" fillId="7" borderId="6" xfId="0" applyNumberFormat="1" applyFont="1" applyFill="1" applyBorder="1" applyAlignment="1">
      <alignment horizontal="center"/>
    </xf>
    <xf numFmtId="0" fontId="18" fillId="7" borderId="6" xfId="0" applyFont="1" applyFill="1" applyBorder="1" applyAlignment="1">
      <alignment horizontal="center"/>
    </xf>
    <xf numFmtId="2" fontId="18" fillId="7" borderId="6" xfId="0" applyNumberFormat="1" applyFont="1" applyFill="1" applyBorder="1"/>
    <xf numFmtId="0" fontId="13" fillId="7" borderId="6" xfId="0" applyFont="1" applyFill="1" applyBorder="1" applyAlignment="1">
      <alignment horizontal="left" vertical="center"/>
    </xf>
    <xf numFmtId="0" fontId="13" fillId="7" borderId="6" xfId="0" applyFont="1" applyFill="1" applyBorder="1" applyAlignment="1">
      <alignment horizontal="center" wrapText="1"/>
    </xf>
    <xf numFmtId="0" fontId="13" fillId="7" borderId="6" xfId="0" applyFont="1" applyFill="1" applyBorder="1" applyAlignment="1">
      <alignment horizontal="center"/>
    </xf>
    <xf numFmtId="0" fontId="13" fillId="7" borderId="6" xfId="0" applyFont="1" applyFill="1" applyBorder="1"/>
    <xf numFmtId="0" fontId="2" fillId="7" borderId="6" xfId="0" applyFont="1" applyFill="1" applyBorder="1"/>
    <xf numFmtId="1" fontId="2" fillId="7" borderId="4" xfId="0" applyNumberFormat="1" applyFont="1" applyFill="1" applyBorder="1"/>
    <xf numFmtId="2" fontId="13" fillId="7" borderId="1" xfId="0" applyNumberFormat="1" applyFont="1" applyFill="1" applyBorder="1"/>
    <xf numFmtId="0" fontId="2" fillId="7" borderId="1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horizontal="center" vertical="center" wrapText="1"/>
    </xf>
    <xf numFmtId="0" fontId="14" fillId="0" borderId="0" xfId="0" applyFont="1" applyFill="1"/>
    <xf numFmtId="2" fontId="2" fillId="0" borderId="2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2" fontId="0" fillId="6" borderId="1" xfId="0" applyNumberFormat="1" applyFont="1" applyFill="1" applyBorder="1"/>
    <xf numFmtId="1" fontId="37" fillId="6" borderId="1" xfId="0" applyNumberFormat="1" applyFont="1" applyFill="1" applyBorder="1"/>
    <xf numFmtId="1" fontId="0" fillId="6" borderId="0" xfId="0" applyNumberFormat="1" applyFont="1" applyFill="1" applyBorder="1"/>
    <xf numFmtId="2" fontId="54" fillId="6" borderId="0" xfId="0" applyNumberFormat="1" applyFont="1" applyFill="1"/>
    <xf numFmtId="0" fontId="0" fillId="6" borderId="0" xfId="0" applyFont="1" applyFill="1"/>
    <xf numFmtId="1" fontId="7" fillId="6" borderId="0" xfId="0" applyNumberFormat="1" applyFont="1" applyFill="1"/>
    <xf numFmtId="0" fontId="2" fillId="0" borderId="1" xfId="0" applyNumberFormat="1" applyFont="1" applyBorder="1"/>
    <xf numFmtId="165" fontId="37" fillId="6" borderId="1" xfId="0" applyNumberFormat="1" applyFont="1" applyFill="1" applyBorder="1"/>
    <xf numFmtId="2" fontId="0" fillId="7" borderId="1" xfId="0" applyNumberFormat="1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0" fontId="38" fillId="7" borderId="1" xfId="0" applyFont="1" applyFill="1" applyBorder="1" applyAlignment="1">
      <alignment horizontal="center" vertical="center" wrapText="1"/>
    </xf>
    <xf numFmtId="0" fontId="38" fillId="7" borderId="1" xfId="0" applyFont="1" applyFill="1" applyBorder="1" applyAlignment="1">
      <alignment horizontal="center" vertical="center"/>
    </xf>
    <xf numFmtId="169" fontId="38" fillId="7" borderId="1" xfId="0" applyNumberFormat="1" applyFont="1" applyFill="1" applyBorder="1" applyAlignment="1">
      <alignment horizontal="center" vertical="center" wrapText="1"/>
    </xf>
    <xf numFmtId="2" fontId="38" fillId="7" borderId="1" xfId="0" applyNumberFormat="1" applyFont="1" applyFill="1" applyBorder="1" applyAlignment="1">
      <alignment horizontal="center" vertical="center" wrapText="1"/>
    </xf>
    <xf numFmtId="0" fontId="0" fillId="7" borderId="0" xfId="0" applyFont="1" applyFill="1" applyBorder="1"/>
    <xf numFmtId="0" fontId="0" fillId="7" borderId="0" xfId="0" applyFont="1" applyFill="1" applyBorder="1" applyAlignment="1">
      <alignment horizontal="center" vertical="center"/>
    </xf>
    <xf numFmtId="9" fontId="0" fillId="7" borderId="0" xfId="0" applyNumberFormat="1" applyFont="1" applyFill="1" applyBorder="1"/>
    <xf numFmtId="0" fontId="0" fillId="7" borderId="0" xfId="0" applyFont="1" applyFill="1" applyBorder="1" applyAlignment="1">
      <alignment horizontal="center"/>
    </xf>
    <xf numFmtId="165" fontId="0" fillId="7" borderId="0" xfId="0" applyNumberFormat="1" applyFont="1" applyFill="1" applyBorder="1" applyAlignment="1">
      <alignment horizontal="center"/>
    </xf>
    <xf numFmtId="0" fontId="0" fillId="7" borderId="0" xfId="0" applyFont="1" applyFill="1" applyAlignment="1">
      <alignment horizontal="left" vertical="center"/>
    </xf>
    <xf numFmtId="2" fontId="0" fillId="7" borderId="9" xfId="0" applyNumberFormat="1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left" vertical="center"/>
    </xf>
    <xf numFmtId="0" fontId="0" fillId="7" borderId="1" xfId="0" applyFont="1" applyFill="1" applyBorder="1" applyAlignment="1">
      <alignment wrapText="1"/>
    </xf>
    <xf numFmtId="0" fontId="0" fillId="7" borderId="1" xfId="0" applyFont="1" applyFill="1" applyBorder="1" applyAlignment="1">
      <alignment horizontal="center"/>
    </xf>
    <xf numFmtId="0" fontId="38" fillId="7" borderId="1" xfId="0" applyFont="1" applyFill="1" applyBorder="1" applyAlignment="1">
      <alignment horizontal="left" vertical="center"/>
    </xf>
    <xf numFmtId="0" fontId="38" fillId="7" borderId="1" xfId="0" applyFont="1" applyFill="1" applyBorder="1" applyAlignment="1">
      <alignment wrapText="1"/>
    </xf>
    <xf numFmtId="0" fontId="38" fillId="7" borderId="1" xfId="0" applyFont="1" applyFill="1" applyBorder="1"/>
    <xf numFmtId="0" fontId="38" fillId="7" borderId="1" xfId="0" applyFont="1" applyFill="1" applyBorder="1" applyAlignment="1">
      <alignment horizontal="center"/>
    </xf>
    <xf numFmtId="169" fontId="38" fillId="7" borderId="1" xfId="0" applyNumberFormat="1" applyFont="1" applyFill="1" applyBorder="1"/>
    <xf numFmtId="165" fontId="38" fillId="7" borderId="1" xfId="0" applyNumberFormat="1" applyFont="1" applyFill="1" applyBorder="1"/>
    <xf numFmtId="10" fontId="0" fillId="7" borderId="1" xfId="0" applyNumberFormat="1" applyFont="1" applyFill="1" applyBorder="1"/>
    <xf numFmtId="165" fontId="38" fillId="7" borderId="1" xfId="0" applyNumberFormat="1" applyFont="1" applyFill="1" applyBorder="1" applyAlignment="1">
      <alignment horizontal="center"/>
    </xf>
    <xf numFmtId="165" fontId="0" fillId="7" borderId="1" xfId="0" applyNumberFormat="1" applyFont="1" applyFill="1" applyBorder="1" applyAlignment="1">
      <alignment horizontal="center"/>
    </xf>
    <xf numFmtId="9" fontId="0" fillId="7" borderId="1" xfId="0" applyNumberFormat="1" applyFont="1" applyFill="1" applyBorder="1" applyAlignment="1">
      <alignment horizontal="center"/>
    </xf>
    <xf numFmtId="1" fontId="0" fillId="7" borderId="1" xfId="0" applyNumberFormat="1" applyFont="1" applyFill="1" applyBorder="1" applyAlignment="1">
      <alignment horizontal="center"/>
    </xf>
    <xf numFmtId="2" fontId="0" fillId="7" borderId="0" xfId="0" applyNumberFormat="1" applyFont="1" applyFill="1" applyBorder="1" applyAlignment="1">
      <alignment horizontal="left"/>
    </xf>
    <xf numFmtId="2" fontId="0" fillId="7" borderId="0" xfId="0" applyNumberFormat="1" applyFont="1" applyFill="1" applyBorder="1"/>
    <xf numFmtId="1" fontId="0" fillId="7" borderId="0" xfId="0" applyNumberFormat="1" applyFont="1" applyFill="1" applyBorder="1" applyAlignment="1">
      <alignment horizontal="center"/>
    </xf>
    <xf numFmtId="165" fontId="0" fillId="7" borderId="0" xfId="0" applyNumberFormat="1" applyFont="1" applyFill="1" applyBorder="1"/>
    <xf numFmtId="1" fontId="0" fillId="7" borderId="1" xfId="0" applyNumberFormat="1" applyFont="1" applyFill="1" applyBorder="1" applyAlignment="1">
      <alignment horizontal="left" vertical="center"/>
    </xf>
    <xf numFmtId="0" fontId="41" fillId="7" borderId="1" xfId="0" applyFont="1" applyFill="1" applyBorder="1" applyAlignment="1">
      <alignment horizontal="left" vertical="center"/>
    </xf>
    <xf numFmtId="0" fontId="41" fillId="7" borderId="1" xfId="0" applyFont="1" applyFill="1" applyBorder="1" applyAlignment="1">
      <alignment horizontal="center"/>
    </xf>
    <xf numFmtId="2" fontId="41" fillId="7" borderId="1" xfId="0" applyNumberFormat="1" applyFont="1" applyFill="1" applyBorder="1" applyAlignment="1">
      <alignment horizontal="center"/>
    </xf>
    <xf numFmtId="2" fontId="41" fillId="7" borderId="1" xfId="0" applyNumberFormat="1" applyFont="1" applyFill="1" applyBorder="1"/>
    <xf numFmtId="0" fontId="38" fillId="7" borderId="2" xfId="0" applyFont="1" applyFill="1" applyBorder="1" applyAlignment="1">
      <alignment horizontal="center"/>
    </xf>
    <xf numFmtId="0" fontId="38" fillId="7" borderId="3" xfId="0" applyFont="1" applyFill="1" applyBorder="1" applyAlignment="1">
      <alignment horizontal="center"/>
    </xf>
    <xf numFmtId="0" fontId="38" fillId="7" borderId="1" xfId="0" applyFont="1" applyFill="1" applyBorder="1" applyAlignment="1">
      <alignment horizontal="left" wrapText="1"/>
    </xf>
    <xf numFmtId="0" fontId="41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>
      <alignment horizontal="left"/>
    </xf>
    <xf numFmtId="1" fontId="0" fillId="7" borderId="1" xfId="0" applyNumberFormat="1" applyFont="1" applyFill="1" applyBorder="1" applyAlignment="1">
      <alignment horizontal="left" vertical="center" wrapText="1"/>
    </xf>
    <xf numFmtId="2" fontId="0" fillId="7" borderId="1" xfId="0" applyNumberFormat="1" applyFont="1" applyFill="1" applyBorder="1" applyAlignment="1">
      <alignment horizontal="center" vertical="center" wrapText="1"/>
    </xf>
    <xf numFmtId="0" fontId="38" fillId="7" borderId="4" xfId="0" applyFont="1" applyFill="1" applyBorder="1" applyAlignment="1">
      <alignment horizontal="center"/>
    </xf>
    <xf numFmtId="2" fontId="0" fillId="7" borderId="1" xfId="0" applyNumberFormat="1" applyFont="1" applyFill="1" applyBorder="1" applyAlignment="1">
      <alignment horizontal="center"/>
    </xf>
    <xf numFmtId="1" fontId="0" fillId="7" borderId="1" xfId="0" applyNumberFormat="1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horizontal="center" wrapText="1"/>
    </xf>
    <xf numFmtId="165" fontId="0" fillId="7" borderId="1" xfId="0" applyNumberFormat="1" applyFont="1" applyFill="1" applyBorder="1" applyAlignment="1">
      <alignment horizontal="center" vertical="center" wrapText="1"/>
    </xf>
    <xf numFmtId="165" fontId="0" fillId="7" borderId="0" xfId="0" applyNumberFormat="1" applyFont="1" applyFill="1" applyBorder="1" applyAlignment="1">
      <alignment horizontal="left"/>
    </xf>
    <xf numFmtId="0" fontId="41" fillId="7" borderId="1" xfId="0" applyFont="1" applyFill="1" applyBorder="1" applyAlignment="1">
      <alignment horizontal="center" wrapText="1"/>
    </xf>
    <xf numFmtId="2" fontId="0" fillId="7" borderId="1" xfId="0" applyNumberFormat="1" applyFont="1" applyFill="1" applyBorder="1" applyAlignment="1">
      <alignment horizontal="left" vertical="center" wrapText="1"/>
    </xf>
    <xf numFmtId="2" fontId="0" fillId="7" borderId="7" xfId="0" applyNumberFormat="1" applyFont="1" applyFill="1" applyBorder="1" applyAlignment="1">
      <alignment horizontal="center" vertical="center"/>
    </xf>
    <xf numFmtId="2" fontId="0" fillId="7" borderId="5" xfId="0" applyNumberFormat="1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2" fontId="0" fillId="7" borderId="2" xfId="0" applyNumberFormat="1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left" vertical="center"/>
    </xf>
    <xf numFmtId="1" fontId="38" fillId="7" borderId="1" xfId="0" applyNumberFormat="1" applyFont="1" applyFill="1" applyBorder="1"/>
    <xf numFmtId="2" fontId="0" fillId="7" borderId="5" xfId="0" applyNumberFormat="1" applyFont="1" applyFill="1" applyBorder="1" applyAlignment="1">
      <alignment horizontal="center" vertical="center" wrapText="1"/>
    </xf>
    <xf numFmtId="1" fontId="0" fillId="7" borderId="5" xfId="0" applyNumberFormat="1" applyFont="1" applyFill="1" applyBorder="1" applyAlignment="1">
      <alignment horizontal="center" vertical="center"/>
    </xf>
    <xf numFmtId="165" fontId="0" fillId="7" borderId="5" xfId="0" applyNumberFormat="1" applyFont="1" applyFill="1" applyBorder="1" applyAlignment="1">
      <alignment horizontal="center" vertical="center" wrapText="1"/>
    </xf>
    <xf numFmtId="0" fontId="41" fillId="7" borderId="4" xfId="0" applyFont="1" applyFill="1" applyBorder="1" applyAlignment="1">
      <alignment horizontal="left" vertical="center"/>
    </xf>
    <xf numFmtId="2" fontId="17" fillId="7" borderId="1" xfId="0" applyNumberFormat="1" applyFont="1" applyFill="1" applyBorder="1" applyAlignment="1">
      <alignment horizontal="left" vertical="center" wrapText="1"/>
    </xf>
    <xf numFmtId="0" fontId="0" fillId="7" borderId="5" xfId="0" applyFont="1" applyFill="1" applyBorder="1"/>
    <xf numFmtId="2" fontId="0" fillId="7" borderId="3" xfId="0" applyNumberFormat="1" applyFont="1" applyFill="1" applyBorder="1" applyAlignment="1">
      <alignment horizontal="center" vertical="center"/>
    </xf>
    <xf numFmtId="2" fontId="0" fillId="7" borderId="8" xfId="0" applyNumberFormat="1" applyFont="1" applyFill="1" applyBorder="1" applyAlignment="1">
      <alignment horizontal="center" vertical="center"/>
    </xf>
    <xf numFmtId="2" fontId="0" fillId="7" borderId="5" xfId="0" applyNumberFormat="1" applyFont="1" applyFill="1" applyBorder="1" applyAlignment="1">
      <alignment vertical="center"/>
    </xf>
    <xf numFmtId="2" fontId="0" fillId="7" borderId="1" xfId="0" applyNumberFormat="1" applyFont="1" applyFill="1" applyBorder="1" applyAlignment="1">
      <alignment vertical="center"/>
    </xf>
    <xf numFmtId="0" fontId="9" fillId="6" borderId="0" xfId="0" applyFont="1" applyFill="1" applyAlignment="1">
      <alignment horizontal="right"/>
    </xf>
    <xf numFmtId="0" fontId="54" fillId="6" borderId="0" xfId="0" applyFont="1" applyFill="1"/>
    <xf numFmtId="0" fontId="9" fillId="6" borderId="0" xfId="0" applyFont="1" applyFill="1" applyBorder="1" applyAlignment="1">
      <alignment horizontal="right"/>
    </xf>
    <xf numFmtId="0" fontId="52" fillId="6" borderId="0" xfId="0" applyFont="1" applyFill="1" applyBorder="1" applyAlignment="1">
      <alignment horizontal="center" vertical="center"/>
    </xf>
    <xf numFmtId="0" fontId="0" fillId="6" borderId="0" xfId="0" applyFont="1" applyFill="1" applyAlignment="1">
      <alignment horizontal="center"/>
    </xf>
    <xf numFmtId="0" fontId="34" fillId="6" borderId="8" xfId="0" applyFont="1" applyFill="1" applyBorder="1" applyAlignment="1">
      <alignment horizontal="center" vertical="center" wrapText="1"/>
    </xf>
    <xf numFmtId="0" fontId="54" fillId="6" borderId="0" xfId="0" applyFont="1" applyFill="1" applyAlignment="1">
      <alignment horizontal="center"/>
    </xf>
    <xf numFmtId="2" fontId="1" fillId="6" borderId="1" xfId="0" applyNumberFormat="1" applyFont="1" applyFill="1" applyBorder="1"/>
    <xf numFmtId="1" fontId="0" fillId="6" borderId="0" xfId="0" applyNumberFormat="1" applyFont="1" applyFill="1"/>
    <xf numFmtId="0" fontId="0" fillId="6" borderId="0" xfId="0" applyFont="1" applyFill="1" applyBorder="1"/>
    <xf numFmtId="0" fontId="1" fillId="6" borderId="1" xfId="0" applyFont="1" applyFill="1" applyBorder="1"/>
    <xf numFmtId="0" fontId="35" fillId="6" borderId="24" xfId="0" applyFont="1" applyFill="1" applyBorder="1" applyAlignment="1" applyProtection="1">
      <alignment horizontal="center" vertical="center"/>
    </xf>
    <xf numFmtId="0" fontId="35" fillId="6" borderId="1" xfId="0" applyFont="1" applyFill="1" applyBorder="1" applyAlignment="1">
      <alignment horizontal="center" vertical="center" wrapText="1"/>
    </xf>
    <xf numFmtId="1" fontId="0" fillId="6" borderId="1" xfId="0" applyNumberFormat="1" applyFont="1" applyFill="1" applyBorder="1"/>
    <xf numFmtId="0" fontId="35" fillId="6" borderId="1" xfId="0" applyFont="1" applyFill="1" applyBorder="1" applyAlignment="1">
      <alignment horizontal="left" vertical="center" wrapText="1"/>
    </xf>
    <xf numFmtId="0" fontId="35" fillId="6" borderId="23" xfId="0" applyFont="1" applyFill="1" applyBorder="1" applyAlignment="1" applyProtection="1">
      <alignment vertical="center" wrapText="1"/>
    </xf>
    <xf numFmtId="0" fontId="37" fillId="6" borderId="0" xfId="0" applyFont="1" applyFill="1"/>
    <xf numFmtId="2" fontId="37" fillId="6" borderId="7" xfId="0" applyNumberFormat="1" applyFont="1" applyFill="1" applyBorder="1"/>
    <xf numFmtId="1" fontId="0" fillId="6" borderId="7" xfId="0" applyNumberFormat="1" applyFill="1" applyBorder="1"/>
    <xf numFmtId="0" fontId="35" fillId="6" borderId="0" xfId="0" applyFont="1" applyFill="1" applyBorder="1" applyAlignment="1">
      <alignment horizontal="center" wrapText="1"/>
    </xf>
    <xf numFmtId="2" fontId="37" fillId="6" borderId="9" xfId="0" applyNumberFormat="1" applyFont="1" applyFill="1" applyBorder="1"/>
    <xf numFmtId="0" fontId="37" fillId="6" borderId="7" xfId="0" applyFont="1" applyFill="1" applyBorder="1"/>
    <xf numFmtId="0" fontId="57" fillId="6" borderId="5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horizontal="center" vertical="center" wrapText="1"/>
    </xf>
    <xf numFmtId="0" fontId="35" fillId="6" borderId="5" xfId="0" applyFont="1" applyFill="1" applyBorder="1" applyAlignment="1">
      <alignment vertical="center" wrapText="1"/>
    </xf>
    <xf numFmtId="2" fontId="0" fillId="6" borderId="0" xfId="0" applyNumberFormat="1" applyFont="1" applyFill="1"/>
    <xf numFmtId="1" fontId="37" fillId="6" borderId="7" xfId="0" applyNumberFormat="1" applyFont="1" applyFill="1" applyBorder="1"/>
    <xf numFmtId="0" fontId="7" fillId="6" borderId="0" xfId="0" applyFont="1" applyFill="1" applyBorder="1"/>
    <xf numFmtId="2" fontId="7" fillId="6" borderId="0" xfId="0" applyNumberFormat="1" applyFont="1" applyFill="1" applyBorder="1"/>
    <xf numFmtId="0" fontId="57" fillId="6" borderId="24" xfId="0" applyFont="1" applyFill="1" applyBorder="1" applyAlignment="1" applyProtection="1">
      <alignment horizontal="center" vertical="center"/>
    </xf>
    <xf numFmtId="0" fontId="50" fillId="6" borderId="0" xfId="0" applyFont="1" applyFill="1"/>
    <xf numFmtId="2" fontId="7" fillId="6" borderId="0" xfId="0" applyNumberFormat="1" applyFont="1" applyFill="1"/>
    <xf numFmtId="0" fontId="0" fillId="6" borderId="1" xfId="0" applyFont="1" applyFill="1" applyBorder="1"/>
    <xf numFmtId="2" fontId="7" fillId="6" borderId="7" xfId="0" applyNumberFormat="1" applyFont="1" applyFill="1" applyBorder="1"/>
    <xf numFmtId="2" fontId="37" fillId="6" borderId="2" xfId="0" applyNumberFormat="1" applyFont="1" applyFill="1" applyBorder="1"/>
    <xf numFmtId="0" fontId="7" fillId="6" borderId="2" xfId="0" applyFont="1" applyFill="1" applyBorder="1"/>
    <xf numFmtId="1" fontId="7" fillId="6" borderId="1" xfId="0" applyNumberFormat="1" applyFont="1" applyFill="1" applyBorder="1"/>
    <xf numFmtId="1" fontId="7" fillId="6" borderId="0" xfId="0" applyNumberFormat="1" applyFont="1" applyFill="1" applyBorder="1"/>
    <xf numFmtId="0" fontId="50" fillId="6" borderId="0" xfId="0" applyFont="1" applyFill="1" applyBorder="1" applyAlignment="1">
      <alignment horizontal="center" wrapText="1"/>
    </xf>
    <xf numFmtId="0" fontId="50" fillId="6" borderId="0" xfId="0" applyFont="1" applyFill="1" applyBorder="1" applyAlignment="1">
      <alignment wrapText="1"/>
    </xf>
    <xf numFmtId="0" fontId="50" fillId="6" borderId="0" xfId="0" applyFont="1" applyFill="1" applyBorder="1"/>
    <xf numFmtId="0" fontId="0" fillId="6" borderId="1" xfId="0" applyFill="1" applyBorder="1"/>
    <xf numFmtId="1" fontId="0" fillId="6" borderId="6" xfId="0" applyNumberFormat="1" applyFill="1" applyBorder="1"/>
    <xf numFmtId="1" fontId="0" fillId="6" borderId="1" xfId="0" applyNumberFormat="1" applyFont="1" applyFill="1" applyBorder="1" applyAlignment="1">
      <alignment wrapText="1"/>
    </xf>
    <xf numFmtId="0" fontId="0" fillId="6" borderId="13" xfId="0" applyFill="1" applyBorder="1" applyAlignment="1"/>
    <xf numFmtId="1" fontId="0" fillId="6" borderId="1" xfId="0" applyNumberFormat="1" applyFont="1" applyFill="1" applyBorder="1" applyAlignment="1"/>
    <xf numFmtId="0" fontId="35" fillId="6" borderId="0" xfId="0" applyFont="1" applyFill="1" applyBorder="1" applyAlignment="1">
      <alignment wrapText="1"/>
    </xf>
    <xf numFmtId="2" fontId="37" fillId="6" borderId="0" xfId="0" applyNumberFormat="1" applyFont="1" applyFill="1" applyBorder="1"/>
    <xf numFmtId="1" fontId="37" fillId="6" borderId="0" xfId="0" applyNumberFormat="1" applyFont="1" applyFill="1" applyBorder="1"/>
    <xf numFmtId="1" fontId="37" fillId="6" borderId="16" xfId="0" applyNumberFormat="1" applyFont="1" applyFill="1" applyBorder="1"/>
    <xf numFmtId="2" fontId="35" fillId="6" borderId="1" xfId="0" applyNumberFormat="1" applyFont="1" applyFill="1" applyBorder="1" applyAlignment="1">
      <alignment horizontal="center" wrapText="1"/>
    </xf>
    <xf numFmtId="0" fontId="35" fillId="6" borderId="1" xfId="0" applyFont="1" applyFill="1" applyBorder="1" applyAlignment="1">
      <alignment horizontal="left" wrapText="1"/>
    </xf>
    <xf numFmtId="2" fontId="2" fillId="0" borderId="2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28" fillId="0" borderId="13" xfId="0" applyFont="1" applyBorder="1" applyAlignment="1">
      <alignment wrapText="1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8" fillId="0" borderId="0" xfId="0" applyFont="1"/>
    <xf numFmtId="0" fontId="28" fillId="0" borderId="0" xfId="0" applyFont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textRotation="90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 textRotation="90" wrapText="1"/>
    </xf>
    <xf numFmtId="0" fontId="3" fillId="0" borderId="9" xfId="0" applyFont="1" applyFill="1" applyBorder="1" applyAlignment="1">
      <alignment horizontal="center" vertical="center" textRotation="90" wrapText="1"/>
    </xf>
    <xf numFmtId="0" fontId="3" fillId="0" borderId="7" xfId="0" applyFont="1" applyFill="1" applyBorder="1" applyAlignment="1">
      <alignment horizontal="center" vertical="center" textRotation="90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0" fillId="0" borderId="10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2" fontId="3" fillId="0" borderId="1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4" borderId="7" xfId="0" applyFont="1" applyFill="1" applyBorder="1" applyAlignment="1">
      <alignment horizontal="center" vertical="center" textRotation="90" wrapText="1"/>
    </xf>
    <xf numFmtId="2" fontId="37" fillId="0" borderId="1" xfId="0" applyNumberFormat="1" applyFont="1" applyFill="1" applyBorder="1" applyAlignment="1">
      <alignment horizontal="center" vertical="center"/>
    </xf>
    <xf numFmtId="2" fontId="37" fillId="0" borderId="2" xfId="0" applyNumberFormat="1" applyFont="1" applyFill="1" applyBorder="1" applyAlignment="1">
      <alignment horizontal="center" vertical="center"/>
    </xf>
    <xf numFmtId="2" fontId="37" fillId="0" borderId="9" xfId="0" applyNumberFormat="1" applyFont="1" applyFill="1" applyBorder="1" applyAlignment="1">
      <alignment horizontal="center" vertical="center"/>
    </xf>
    <xf numFmtId="2" fontId="37" fillId="0" borderId="7" xfId="0" applyNumberFormat="1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horizontal="center" vertical="center" textRotation="90" wrapText="1"/>
    </xf>
    <xf numFmtId="0" fontId="33" fillId="4" borderId="9" xfId="0" applyFont="1" applyFill="1" applyBorder="1" applyAlignment="1">
      <alignment horizontal="center" vertical="center" textRotation="90" wrapText="1"/>
    </xf>
    <xf numFmtId="0" fontId="33" fillId="4" borderId="7" xfId="0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 textRotation="90" wrapText="1"/>
    </xf>
    <xf numFmtId="0" fontId="33" fillId="4" borderId="1" xfId="0" applyFont="1" applyFill="1" applyBorder="1" applyAlignment="1">
      <alignment horizontal="center" vertical="center" textRotation="90" wrapText="1"/>
    </xf>
    <xf numFmtId="0" fontId="37" fillId="0" borderId="9" xfId="0" applyFont="1" applyBorder="1" applyAlignment="1">
      <alignment horizontal="center" vertical="center"/>
    </xf>
    <xf numFmtId="0" fontId="39" fillId="4" borderId="9" xfId="0" applyFont="1" applyFill="1" applyBorder="1" applyAlignment="1">
      <alignment horizontal="center" vertical="center" textRotation="90" wrapText="1"/>
    </xf>
    <xf numFmtId="0" fontId="39" fillId="4" borderId="7" xfId="0" applyFont="1" applyFill="1" applyBorder="1" applyAlignment="1">
      <alignment horizontal="center" vertical="center" textRotation="90" wrapText="1"/>
    </xf>
    <xf numFmtId="2" fontId="39" fillId="0" borderId="1" xfId="0" applyNumberFormat="1" applyFont="1" applyFill="1" applyBorder="1" applyAlignment="1">
      <alignment horizontal="center" vertical="center"/>
    </xf>
    <xf numFmtId="0" fontId="43" fillId="4" borderId="9" xfId="0" applyFont="1" applyFill="1" applyBorder="1" applyAlignment="1">
      <alignment horizontal="center" vertical="center" textRotation="90" wrapText="1"/>
    </xf>
    <xf numFmtId="2" fontId="44" fillId="0" borderId="1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left" vertical="center"/>
    </xf>
    <xf numFmtId="0" fontId="37" fillId="2" borderId="13" xfId="0" applyFont="1" applyFill="1" applyBorder="1" applyAlignment="1">
      <alignment horizontal="left" vertical="center"/>
    </xf>
    <xf numFmtId="0" fontId="37" fillId="0" borderId="13" xfId="0" applyFont="1" applyBorder="1" applyAlignment="1"/>
    <xf numFmtId="1" fontId="3" fillId="0" borderId="2" xfId="0" applyNumberFormat="1" applyFont="1" applyFill="1" applyBorder="1" applyAlignment="1">
      <alignment horizontal="center" vertic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11" fillId="0" borderId="5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5" fillId="0" borderId="0" xfId="0" applyFont="1" applyFill="1"/>
    <xf numFmtId="2" fontId="15" fillId="0" borderId="1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55" fillId="0" borderId="14" xfId="0" applyNumberFormat="1" applyFont="1" applyBorder="1" applyAlignment="1">
      <alignment horizontal="left" vertical="top" wrapText="1" indent="2"/>
    </xf>
    <xf numFmtId="2" fontId="2" fillId="0" borderId="17" xfId="0" applyNumberFormat="1" applyFont="1" applyFill="1" applyBorder="1" applyAlignment="1">
      <alignment horizontal="center" wrapText="1"/>
    </xf>
    <xf numFmtId="2" fontId="2" fillId="0" borderId="0" xfId="0" applyNumberFormat="1" applyFont="1" applyFill="1" applyAlignment="1">
      <alignment horizontal="center" wrapText="1"/>
    </xf>
    <xf numFmtId="0" fontId="2" fillId="0" borderId="18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wrapText="1"/>
    </xf>
    <xf numFmtId="0" fontId="55" fillId="0" borderId="19" xfId="0" applyNumberFormat="1" applyFont="1" applyBorder="1" applyAlignment="1">
      <alignment horizontal="left" vertical="top" wrapText="1"/>
    </xf>
    <xf numFmtId="0" fontId="55" fillId="0" borderId="20" xfId="0" applyNumberFormat="1" applyFont="1" applyBorder="1" applyAlignment="1">
      <alignment horizontal="left" vertical="top" wrapText="1"/>
    </xf>
    <xf numFmtId="0" fontId="55" fillId="0" borderId="21" xfId="0" applyNumberFormat="1" applyFont="1" applyBorder="1" applyAlignment="1">
      <alignment horizontal="left" vertical="top" wrapText="1"/>
    </xf>
    <xf numFmtId="0" fontId="55" fillId="0" borderId="22" xfId="0" applyNumberFormat="1" applyFont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wrapText="1"/>
    </xf>
    <xf numFmtId="0" fontId="0" fillId="0" borderId="0" xfId="0" applyAlignment="1"/>
    <xf numFmtId="0" fontId="11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2" fontId="45" fillId="0" borderId="0" xfId="0" applyNumberFormat="1" applyFont="1" applyFill="1" applyBorder="1" applyAlignment="1">
      <alignment horizontal="right"/>
    </xf>
    <xf numFmtId="0" fontId="0" fillId="0" borderId="0" xfId="0"/>
    <xf numFmtId="0" fontId="46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49" fontId="40" fillId="0" borderId="5" xfId="0" applyNumberFormat="1" applyFont="1" applyFill="1" applyBorder="1" applyAlignment="1">
      <alignment horizontal="center" wrapText="1"/>
    </xf>
    <xf numFmtId="49" fontId="40" fillId="0" borderId="6" xfId="0" applyNumberFormat="1" applyFont="1" applyFill="1" applyBorder="1" applyAlignment="1">
      <alignment horizontal="center" wrapText="1"/>
    </xf>
    <xf numFmtId="49" fontId="40" fillId="0" borderId="4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0" fillId="0" borderId="0" xfId="0" applyAlignment="1">
      <alignment horizontal="justify"/>
    </xf>
    <xf numFmtId="0" fontId="48" fillId="0" borderId="0" xfId="0" applyFont="1" applyFill="1" applyBorder="1" applyAlignment="1">
      <alignment horizontal="center"/>
    </xf>
    <xf numFmtId="2" fontId="3" fillId="0" borderId="5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center" vertical="center" textRotation="90" wrapText="1"/>
    </xf>
    <xf numFmtId="0" fontId="3" fillId="7" borderId="9" xfId="0" applyFont="1" applyFill="1" applyBorder="1" applyAlignment="1">
      <alignment horizontal="center" vertical="center" textRotation="90" wrapText="1"/>
    </xf>
    <xf numFmtId="0" fontId="3" fillId="7" borderId="7" xfId="0" applyFont="1" applyFill="1" applyBorder="1" applyAlignment="1">
      <alignment horizontal="center" vertical="center" textRotation="90" wrapText="1"/>
    </xf>
    <xf numFmtId="2" fontId="15" fillId="0" borderId="5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textRotation="90" wrapText="1"/>
    </xf>
    <xf numFmtId="2" fontId="2" fillId="7" borderId="2" xfId="0" applyNumberFormat="1" applyFont="1" applyFill="1" applyBorder="1" applyAlignment="1">
      <alignment horizontal="center" vertical="center"/>
    </xf>
    <xf numFmtId="2" fontId="2" fillId="7" borderId="9" xfId="0" applyNumberFormat="1" applyFont="1" applyFill="1" applyBorder="1" applyAlignment="1">
      <alignment horizontal="center" vertical="center"/>
    </xf>
    <xf numFmtId="2" fontId="2" fillId="7" borderId="7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textRotation="90" wrapText="1"/>
    </xf>
    <xf numFmtId="2" fontId="2" fillId="7" borderId="1" xfId="0" applyNumberFormat="1" applyFont="1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 textRotation="90" wrapText="1"/>
    </xf>
    <xf numFmtId="0" fontId="0" fillId="7" borderId="7" xfId="0" applyFill="1" applyBorder="1" applyAlignment="1">
      <alignment horizontal="center" vertical="center" textRotation="90" wrapText="1"/>
    </xf>
    <xf numFmtId="2" fontId="2" fillId="7" borderId="2" xfId="0" applyNumberFormat="1" applyFont="1" applyFill="1" applyBorder="1" applyAlignment="1">
      <alignment horizontal="left" vertical="center"/>
    </xf>
    <xf numFmtId="2" fontId="2" fillId="7" borderId="9" xfId="0" applyNumberFormat="1" applyFont="1" applyFill="1" applyBorder="1" applyAlignment="1">
      <alignment horizontal="left" vertical="center"/>
    </xf>
    <xf numFmtId="2" fontId="2" fillId="7" borderId="7" xfId="0" applyNumberFormat="1" applyFont="1" applyFill="1" applyBorder="1" applyAlignment="1">
      <alignment horizontal="left" vertical="center"/>
    </xf>
    <xf numFmtId="2" fontId="2" fillId="0" borderId="2" xfId="0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textRotation="90" wrapText="1"/>
    </xf>
    <xf numFmtId="0" fontId="3" fillId="2" borderId="2" xfId="0" applyFont="1" applyFill="1" applyBorder="1" applyAlignment="1">
      <alignment horizontal="center" vertical="center" textRotation="90" wrapText="1"/>
    </xf>
    <xf numFmtId="0" fontId="3" fillId="2" borderId="9" xfId="0" applyFont="1" applyFill="1" applyBorder="1" applyAlignment="1">
      <alignment horizontal="center" vertical="center" textRotation="90" wrapText="1"/>
    </xf>
    <xf numFmtId="0" fontId="3" fillId="2" borderId="7" xfId="0" applyFont="1" applyFill="1" applyBorder="1" applyAlignment="1">
      <alignment horizontal="center" vertical="center" textRotation="90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 textRotation="90" wrapText="1"/>
    </xf>
    <xf numFmtId="0" fontId="0" fillId="0" borderId="7" xfId="0" applyFont="1" applyFill="1" applyBorder="1" applyAlignment="1">
      <alignment horizontal="center" vertical="center" textRotation="90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textRotation="90" wrapText="1"/>
    </xf>
    <xf numFmtId="0" fontId="3" fillId="6" borderId="0" xfId="0" applyFont="1" applyFill="1" applyBorder="1" applyAlignment="1">
      <alignment horizontal="center" vertical="center" wrapText="1"/>
    </xf>
    <xf numFmtId="0" fontId="46" fillId="6" borderId="0" xfId="0" applyFont="1" applyFill="1" applyBorder="1" applyAlignment="1">
      <alignment horizontal="center"/>
    </xf>
    <xf numFmtId="0" fontId="48" fillId="6" borderId="0" xfId="0" applyFont="1" applyFill="1" applyBorder="1" applyAlignment="1">
      <alignment horizontal="center"/>
    </xf>
    <xf numFmtId="0" fontId="3" fillId="6" borderId="0" xfId="0" applyFont="1" applyFill="1" applyAlignment="1">
      <alignment wrapText="1"/>
    </xf>
    <xf numFmtId="0" fontId="0" fillId="6" borderId="0" xfId="0" applyFill="1" applyAlignment="1"/>
    <xf numFmtId="0" fontId="3" fillId="6" borderId="0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56" fillId="6" borderId="0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0" fontId="3" fillId="6" borderId="1" xfId="0" applyFont="1" applyFill="1" applyBorder="1" applyAlignment="1">
      <alignment horizontal="center" vertical="center" wrapText="1" shrinkToFit="1"/>
    </xf>
    <xf numFmtId="49" fontId="40" fillId="6" borderId="5" xfId="0" applyNumberFormat="1" applyFont="1" applyFill="1" applyBorder="1" applyAlignment="1">
      <alignment horizontal="center" wrapText="1"/>
    </xf>
    <xf numFmtId="49" fontId="40" fillId="6" borderId="6" xfId="0" applyNumberFormat="1" applyFont="1" applyFill="1" applyBorder="1" applyAlignment="1">
      <alignment horizontal="center" wrapText="1"/>
    </xf>
    <xf numFmtId="49" fontId="40" fillId="6" borderId="4" xfId="0" applyNumberFormat="1" applyFont="1" applyFill="1" applyBorder="1" applyAlignment="1">
      <alignment horizontal="center" wrapText="1"/>
    </xf>
    <xf numFmtId="0" fontId="34" fillId="6" borderId="6" xfId="0" applyFont="1" applyFill="1" applyBorder="1" applyAlignment="1">
      <alignment horizontal="center" wrapText="1"/>
    </xf>
    <xf numFmtId="0" fontId="3" fillId="6" borderId="6" xfId="0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 wrapText="1"/>
    </xf>
    <xf numFmtId="0" fontId="34" fillId="6" borderId="4" xfId="0" applyFont="1" applyFill="1" applyBorder="1" applyAlignment="1">
      <alignment horizontal="center" wrapText="1"/>
    </xf>
    <xf numFmtId="0" fontId="3" fillId="6" borderId="5" xfId="0" applyFont="1" applyFill="1" applyBorder="1" applyAlignment="1">
      <alignment horizontal="center" wrapText="1"/>
    </xf>
    <xf numFmtId="0" fontId="3" fillId="6" borderId="6" xfId="0" applyFont="1" applyFill="1" applyBorder="1" applyAlignment="1">
      <alignment horizontal="center" wrapText="1"/>
    </xf>
    <xf numFmtId="0" fontId="3" fillId="6" borderId="5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0" fontId="9" fillId="6" borderId="6" xfId="0" applyFont="1" applyFill="1" applyBorder="1" applyAlignment="1">
      <alignment horizontal="center"/>
    </xf>
    <xf numFmtId="0" fontId="9" fillId="6" borderId="13" xfId="0" applyFont="1" applyFill="1" applyBorder="1" applyAlignment="1">
      <alignment horizontal="center"/>
    </xf>
    <xf numFmtId="0" fontId="52" fillId="6" borderId="0" xfId="0" applyFont="1" applyFill="1" applyBorder="1" applyAlignment="1">
      <alignment horizontal="center" vertical="center"/>
    </xf>
    <xf numFmtId="49" fontId="40" fillId="6" borderId="10" xfId="0" applyNumberFormat="1" applyFont="1" applyFill="1" applyBorder="1" applyAlignment="1">
      <alignment horizontal="center" wrapText="1"/>
    </xf>
    <xf numFmtId="49" fontId="40" fillId="6" borderId="3" xfId="0" applyNumberFormat="1" applyFont="1" applyFill="1" applyBorder="1" applyAlignment="1">
      <alignment horizontal="center" wrapText="1"/>
    </xf>
    <xf numFmtId="49" fontId="40" fillId="6" borderId="15" xfId="0" applyNumberFormat="1" applyFont="1" applyFill="1" applyBorder="1" applyAlignment="1">
      <alignment horizontal="center" wrapText="1"/>
    </xf>
    <xf numFmtId="0" fontId="9" fillId="6" borderId="0" xfId="0" applyFont="1" applyFill="1" applyAlignment="1">
      <alignment horizontal="right"/>
    </xf>
    <xf numFmtId="0" fontId="9" fillId="6" borderId="0" xfId="0" applyFont="1" applyFill="1" applyBorder="1" applyAlignment="1">
      <alignment horizontal="right"/>
    </xf>
    <xf numFmtId="0" fontId="7" fillId="6" borderId="0" xfId="0" applyFont="1" applyFill="1" applyBorder="1"/>
    <xf numFmtId="0" fontId="35" fillId="0" borderId="0" xfId="0" applyFont="1" applyAlignment="1">
      <alignment horizont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sp macro="" textlink="">
      <xdr:nvSpPr>
        <xdr:cNvPr id="13313" name="Text Box 1"/>
        <xdr:cNvSpPr txBox="1">
          <a:spLocks noChangeArrowheads="1"/>
        </xdr:cNvSpPr>
      </xdr:nvSpPr>
      <xdr:spPr bwMode="auto">
        <a:xfrm>
          <a:off x="0" y="145732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Начальник Региональной дирекции </a:t>
          </a:r>
          <a:r>
            <a:rPr lang="ru-RU" sz="1000" b="0" i="0" u="none" strike="noStrike" baseline="0">
              <a:solidFill>
                <a:srgbClr val="000000"/>
              </a:solidFill>
              <a:latin typeface="Arial Narrow"/>
            </a:rPr>
            <a:t>медицинского обеспечения    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 Narrow"/>
            </a:rPr>
            <a:t> </a:t>
          </a: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C0C0C0"/>
              </a:solidFill>
              <a:latin typeface="Arial Narrow"/>
            </a:rPr>
            <a:t>_______________Е.А.Семенищева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C0C0C0"/>
            </a:solidFill>
            <a:latin typeface="Arial Narrow"/>
          </a:endParaRP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 Narrow"/>
          </a:endParaRPr>
        </a:p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 Narrow"/>
            </a:rPr>
            <a:t>«</a:t>
          </a:r>
          <a:r>
            <a:rPr lang="ru-RU" sz="1000" b="0" i="0" u="none" strike="noStrike" baseline="0">
              <a:solidFill>
                <a:srgbClr val="C0C0C0"/>
              </a:solidFill>
              <a:latin typeface="Arial Narrow"/>
            </a:rPr>
            <a:t>____</a:t>
          </a:r>
          <a:r>
            <a:rPr lang="ru-RU" sz="1000" b="0" i="0" u="none" strike="noStrike" baseline="0">
              <a:solidFill>
                <a:srgbClr val="000000"/>
              </a:solidFill>
              <a:latin typeface="Arial Narrow"/>
            </a:rPr>
            <a:t>» </a:t>
          </a:r>
          <a:r>
            <a:rPr lang="ru-RU" sz="1000" b="0" i="0" u="none" strike="noStrike" baseline="0">
              <a:solidFill>
                <a:srgbClr val="C0C0C0"/>
              </a:solidFill>
              <a:latin typeface="Arial Narrow"/>
            </a:rPr>
            <a:t>_______________</a:t>
          </a:r>
          <a:r>
            <a:rPr lang="ru-RU" sz="1000" b="0" i="0" u="none" strike="noStrike" baseline="0">
              <a:solidFill>
                <a:srgbClr val="000000"/>
              </a:solidFill>
              <a:latin typeface="Arial Narrow"/>
            </a:rPr>
            <a:t> 200</a:t>
          </a:r>
          <a:r>
            <a:rPr lang="ru-RU" sz="1000" b="0" i="0" u="none" strike="noStrike" baseline="0">
              <a:solidFill>
                <a:srgbClr val="C0C0C0"/>
              </a:solidFill>
              <a:latin typeface="Arial Narrow"/>
            </a:rPr>
            <a:t>_</a:t>
          </a:r>
          <a:r>
            <a:rPr lang="ru-RU" sz="1000" b="0" i="0" u="none" strike="noStrike" baseline="0">
              <a:solidFill>
                <a:srgbClr val="000000"/>
              </a:solidFill>
              <a:latin typeface="Arial Narrow"/>
            </a:rPr>
            <a:t> г.                 </a:t>
          </a:r>
        </a:p>
        <a:p>
          <a:pPr algn="l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18"/>
  <sheetViews>
    <sheetView view="pageBreakPreview" zoomScale="60" workbookViewId="0">
      <selection activeCell="F23" sqref="F23"/>
    </sheetView>
  </sheetViews>
  <sheetFormatPr defaultColWidth="9.109375" defaultRowHeight="13.2" x14ac:dyDescent="0.25"/>
  <cols>
    <col min="1" max="1" width="82.6640625" style="176" customWidth="1"/>
    <col min="2" max="16384" width="9.109375" style="176"/>
  </cols>
  <sheetData>
    <row r="4" spans="1:1" ht="66.75" customHeight="1" x14ac:dyDescent="0.25"/>
    <row r="5" spans="1:1" ht="33.75" customHeight="1" x14ac:dyDescent="0.25"/>
    <row r="6" spans="1:1" ht="20.399999999999999" x14ac:dyDescent="0.35">
      <c r="A6" s="180"/>
    </row>
    <row r="7" spans="1:1" ht="20.399999999999999" x14ac:dyDescent="0.35">
      <c r="A7" s="180"/>
    </row>
    <row r="8" spans="1:1" ht="20.399999999999999" x14ac:dyDescent="0.35">
      <c r="A8" s="180"/>
    </row>
    <row r="9" spans="1:1" ht="16.5" customHeight="1" x14ac:dyDescent="0.25">
      <c r="A9" s="181"/>
    </row>
    <row r="10" spans="1:1" ht="20.399999999999999" x14ac:dyDescent="0.35">
      <c r="A10" s="180"/>
    </row>
    <row r="11" spans="1:1" ht="149.25" customHeight="1" x14ac:dyDescent="0.25">
      <c r="A11" s="178" t="s">
        <v>1434</v>
      </c>
    </row>
    <row r="12" spans="1:1" ht="53.25" customHeight="1" x14ac:dyDescent="0.35">
      <c r="A12" s="179" t="s">
        <v>2086</v>
      </c>
    </row>
    <row r="13" spans="1:1" ht="16.5" customHeight="1" x14ac:dyDescent="0.25"/>
    <row r="14" spans="1:1" ht="16.5" customHeight="1" x14ac:dyDescent="0.25"/>
    <row r="15" spans="1:1" ht="16.5" customHeight="1" x14ac:dyDescent="0.25">
      <c r="A15" s="177"/>
    </row>
    <row r="17" spans="1:1" ht="78.75" customHeight="1" x14ac:dyDescent="0.25">
      <c r="A17" s="177"/>
    </row>
    <row r="18" spans="1:1" ht="15.75" customHeight="1" x14ac:dyDescent="0.25"/>
  </sheetData>
  <phoneticPr fontId="2" type="noConversion"/>
  <pageMargins left="0.75" right="0.75" top="0.56999999999999995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785"/>
  <sheetViews>
    <sheetView topLeftCell="A61" workbookViewId="0">
      <selection activeCell="C19" sqref="C19"/>
    </sheetView>
  </sheetViews>
  <sheetFormatPr defaultRowHeight="13.2" x14ac:dyDescent="0.25"/>
  <cols>
    <col min="2" max="2" width="51.6640625" customWidth="1"/>
    <col min="3" max="3" width="22.88671875" customWidth="1"/>
    <col min="4" max="4" width="12.33203125" customWidth="1"/>
  </cols>
  <sheetData>
    <row r="2" spans="1:4" ht="12.75" customHeight="1" x14ac:dyDescent="0.25">
      <c r="A2" s="1088" t="s">
        <v>97</v>
      </c>
      <c r="B2" s="1088"/>
      <c r="C2" s="1088"/>
      <c r="D2" s="1088"/>
    </row>
    <row r="3" spans="1:4" x14ac:dyDescent="0.25">
      <c r="A3" s="1089" t="s">
        <v>856</v>
      </c>
      <c r="B3" s="1089"/>
      <c r="C3" s="1089"/>
      <c r="D3" s="1089"/>
    </row>
    <row r="4" spans="1:4" x14ac:dyDescent="0.25">
      <c r="A4" s="1089" t="s">
        <v>857</v>
      </c>
      <c r="B4" s="1089"/>
      <c r="C4" s="1089"/>
      <c r="D4" s="1089"/>
    </row>
    <row r="5" spans="1:4" ht="13.8" x14ac:dyDescent="0.3">
      <c r="A5" s="1107" t="s">
        <v>858</v>
      </c>
      <c r="B5" s="1107"/>
      <c r="C5" s="1107"/>
      <c r="D5" s="397"/>
    </row>
    <row r="6" spans="1:4" x14ac:dyDescent="0.25">
      <c r="A6" s="1089" t="s">
        <v>859</v>
      </c>
      <c r="B6" s="1089"/>
      <c r="C6" s="1089"/>
      <c r="D6" s="1089"/>
    </row>
    <row r="7" spans="1:4" x14ac:dyDescent="0.25">
      <c r="B7" s="1092"/>
      <c r="C7" s="1093"/>
      <c r="D7" s="1093"/>
    </row>
    <row r="12" spans="1:4" ht="21.6" x14ac:dyDescent="0.4">
      <c r="A12" s="1094" t="s">
        <v>1041</v>
      </c>
      <c r="B12" s="1094"/>
      <c r="C12" s="1094"/>
    </row>
    <row r="13" spans="1:4" ht="13.8" x14ac:dyDescent="0.25">
      <c r="A13" s="1090" t="s">
        <v>194</v>
      </c>
      <c r="B13" s="1090"/>
      <c r="C13" s="1090"/>
    </row>
    <row r="14" spans="1:4" x14ac:dyDescent="0.25">
      <c r="A14" s="1091" t="s">
        <v>370</v>
      </c>
      <c r="B14" s="1091"/>
      <c r="C14" s="1091"/>
    </row>
    <row r="15" spans="1:4" x14ac:dyDescent="0.25">
      <c r="A15" s="1095" t="s">
        <v>847</v>
      </c>
      <c r="B15" s="1095"/>
      <c r="C15" s="1095"/>
    </row>
    <row r="16" spans="1:4" ht="12.75" customHeight="1" x14ac:dyDescent="0.25">
      <c r="A16" s="1097" t="s">
        <v>848</v>
      </c>
      <c r="B16" s="1098" t="s">
        <v>849</v>
      </c>
      <c r="C16" s="1098" t="s">
        <v>1042</v>
      </c>
      <c r="D16" s="1104"/>
    </row>
    <row r="17" spans="1:4" x14ac:dyDescent="0.25">
      <c r="A17" s="1097"/>
      <c r="B17" s="1099"/>
      <c r="C17" s="1099"/>
      <c r="D17" s="1104"/>
    </row>
    <row r="18" spans="1:4" ht="13.8" x14ac:dyDescent="0.3">
      <c r="A18" s="396" t="s">
        <v>600</v>
      </c>
      <c r="B18" s="248" t="s">
        <v>787</v>
      </c>
      <c r="C18" s="251" t="e">
        <f>'Сводный расчет стоимости'!#REF!</f>
        <v>#REF!</v>
      </c>
    </row>
    <row r="19" spans="1:4" ht="13.8" x14ac:dyDescent="0.3">
      <c r="A19" s="396" t="s">
        <v>601</v>
      </c>
      <c r="B19" s="248" t="s">
        <v>788</v>
      </c>
      <c r="C19" s="251" t="e">
        <f>'Сводный расчет стоимости'!#REF!</f>
        <v>#REF!</v>
      </c>
    </row>
    <row r="20" spans="1:4" ht="13.8" x14ac:dyDescent="0.3">
      <c r="A20" s="396" t="s">
        <v>602</v>
      </c>
      <c r="B20" s="248" t="s">
        <v>789</v>
      </c>
      <c r="C20" s="251" t="e">
        <f>'Сводный расчет стоимости'!#REF!</f>
        <v>#REF!</v>
      </c>
    </row>
    <row r="21" spans="1:4" ht="12" customHeight="1" x14ac:dyDescent="0.3">
      <c r="A21" s="396" t="s">
        <v>603</v>
      </c>
      <c r="B21" s="248" t="s">
        <v>790</v>
      </c>
      <c r="C21" s="251" t="e">
        <f>'Сводный расчет стоимости'!#REF!</f>
        <v>#REF!</v>
      </c>
    </row>
    <row r="22" spans="1:4" ht="13.8" x14ac:dyDescent="0.3">
      <c r="A22" s="396" t="s">
        <v>1043</v>
      </c>
      <c r="B22" s="248" t="s">
        <v>91</v>
      </c>
      <c r="C22" s="251" t="e">
        <f>'Сводный расчет стоимости'!#REF!</f>
        <v>#REF!</v>
      </c>
    </row>
    <row r="23" spans="1:4" ht="13.8" x14ac:dyDescent="0.3">
      <c r="A23" s="396" t="s">
        <v>1044</v>
      </c>
      <c r="B23" s="248" t="s">
        <v>92</v>
      </c>
      <c r="C23" s="251" t="e">
        <f>'Сводный расчет стоимости'!#REF!</f>
        <v>#REF!</v>
      </c>
    </row>
    <row r="24" spans="1:4" ht="12.75" customHeight="1" x14ac:dyDescent="0.3">
      <c r="A24" s="396" t="s">
        <v>1045</v>
      </c>
      <c r="B24" s="248" t="s">
        <v>93</v>
      </c>
      <c r="C24" s="251" t="e">
        <f>'Сводный расчет стоимости'!#REF!</f>
        <v>#REF!</v>
      </c>
    </row>
    <row r="25" spans="1:4" ht="14.25" customHeight="1" x14ac:dyDescent="0.3">
      <c r="A25" s="396"/>
      <c r="B25" s="248"/>
      <c r="C25" s="251"/>
    </row>
    <row r="26" spans="1:4" ht="13.8" x14ac:dyDescent="0.3">
      <c r="A26" s="396" t="s">
        <v>1046</v>
      </c>
      <c r="B26" s="248" t="s">
        <v>791</v>
      </c>
      <c r="C26" s="251" t="e">
        <f>'Сводный расчет стоимости'!#REF!</f>
        <v>#REF!</v>
      </c>
    </row>
    <row r="27" spans="1:4" ht="15" customHeight="1" x14ac:dyDescent="0.3">
      <c r="A27" s="396" t="s">
        <v>1047</v>
      </c>
      <c r="B27" s="248" t="s">
        <v>792</v>
      </c>
      <c r="C27" s="251" t="e">
        <f>'Сводный расчет стоимости'!#REF!</f>
        <v>#REF!</v>
      </c>
    </row>
    <row r="28" spans="1:4" ht="13.8" x14ac:dyDescent="0.3">
      <c r="A28" s="396" t="s">
        <v>1048</v>
      </c>
      <c r="B28" s="248" t="s">
        <v>793</v>
      </c>
      <c r="C28" s="251" t="e">
        <f>'Сводный расчет стоимости'!#REF!</f>
        <v>#REF!</v>
      </c>
    </row>
    <row r="29" spans="1:4" ht="13.5" customHeight="1" x14ac:dyDescent="0.3">
      <c r="A29" s="396" t="s">
        <v>604</v>
      </c>
      <c r="B29" s="248" t="s">
        <v>794</v>
      </c>
      <c r="C29" s="251" t="e">
        <f>'Сводный расчет стоимости'!#REF!</f>
        <v>#REF!</v>
      </c>
    </row>
    <row r="30" spans="1:4" ht="13.8" x14ac:dyDescent="0.3">
      <c r="A30" s="396" t="s">
        <v>1049</v>
      </c>
      <c r="B30" s="248" t="s">
        <v>94</v>
      </c>
      <c r="C30" s="251" t="e">
        <f>'Сводный расчет стоимости'!#REF!</f>
        <v>#REF!</v>
      </c>
    </row>
    <row r="31" spans="1:4" ht="13.8" x14ac:dyDescent="0.3">
      <c r="A31" s="396" t="s">
        <v>1050</v>
      </c>
      <c r="B31" s="248" t="s">
        <v>978</v>
      </c>
      <c r="C31" s="251" t="e">
        <f>'Сводный расчет стоимости'!#REF!</f>
        <v>#REF!</v>
      </c>
    </row>
    <row r="32" spans="1:4" ht="13.8" x14ac:dyDescent="0.3">
      <c r="A32" s="396" t="s">
        <v>1051</v>
      </c>
      <c r="B32" s="248" t="s">
        <v>979</v>
      </c>
      <c r="C32" s="251" t="e">
        <f>'Сводный расчет стоимости'!#REF!</f>
        <v>#REF!</v>
      </c>
    </row>
    <row r="33" spans="1:3" ht="14.25" customHeight="1" x14ac:dyDescent="0.3">
      <c r="A33" s="396"/>
      <c r="B33" s="248"/>
      <c r="C33" s="251"/>
    </row>
    <row r="34" spans="1:3" ht="13.8" x14ac:dyDescent="0.3">
      <c r="A34" s="396" t="s">
        <v>1052</v>
      </c>
      <c r="B34" s="248" t="s">
        <v>795</v>
      </c>
      <c r="C34" s="251" t="e">
        <f>'Сводный расчет стоимости'!#REF!</f>
        <v>#REF!</v>
      </c>
    </row>
    <row r="35" spans="1:3" ht="13.8" x14ac:dyDescent="0.3">
      <c r="A35" s="396" t="s">
        <v>1053</v>
      </c>
      <c r="B35" s="248" t="s">
        <v>816</v>
      </c>
      <c r="C35" s="251" t="e">
        <f>'Сводный расчет стоимости'!#REF!</f>
        <v>#REF!</v>
      </c>
    </row>
    <row r="36" spans="1:3" ht="13.8" x14ac:dyDescent="0.3">
      <c r="A36" s="396" t="s">
        <v>1054</v>
      </c>
      <c r="B36" s="248" t="s">
        <v>817</v>
      </c>
      <c r="C36" s="251" t="e">
        <f>'Сводный расчет стоимости'!#REF!</f>
        <v>#REF!</v>
      </c>
    </row>
    <row r="37" spans="1:3" ht="13.8" x14ac:dyDescent="0.3">
      <c r="A37" s="396" t="s">
        <v>1055</v>
      </c>
      <c r="B37" s="248" t="s">
        <v>818</v>
      </c>
      <c r="C37" s="251" t="e">
        <f>'Сводный расчет стоимости'!#REF!</f>
        <v>#REF!</v>
      </c>
    </row>
    <row r="38" spans="1:3" ht="13.8" x14ac:dyDescent="0.3">
      <c r="A38" s="396" t="s">
        <v>1056</v>
      </c>
      <c r="B38" s="248" t="s">
        <v>980</v>
      </c>
      <c r="C38" s="251" t="e">
        <f>'Сводный расчет стоимости'!#REF!</f>
        <v>#REF!</v>
      </c>
    </row>
    <row r="39" spans="1:3" ht="13.5" customHeight="1" x14ac:dyDescent="0.3">
      <c r="A39" s="396" t="s">
        <v>1057</v>
      </c>
      <c r="B39" s="248" t="s">
        <v>981</v>
      </c>
      <c r="C39" s="251" t="e">
        <f>'Сводный расчет стоимости'!#REF!</f>
        <v>#REF!</v>
      </c>
    </row>
    <row r="40" spans="1:3" ht="15" customHeight="1" x14ac:dyDescent="0.3">
      <c r="A40" s="396"/>
      <c r="B40" s="248"/>
      <c r="C40" s="251"/>
    </row>
    <row r="41" spans="1:3" ht="13.8" x14ac:dyDescent="0.3">
      <c r="A41" s="396" t="s">
        <v>1058</v>
      </c>
      <c r="B41" s="248" t="s">
        <v>819</v>
      </c>
      <c r="C41" s="251" t="e">
        <f>'Сводный расчет стоимости'!#REF!</f>
        <v>#REF!</v>
      </c>
    </row>
    <row r="42" spans="1:3" ht="14.25" customHeight="1" x14ac:dyDescent="0.3">
      <c r="A42" s="396" t="s">
        <v>1059</v>
      </c>
      <c r="B42" s="248" t="s">
        <v>820</v>
      </c>
      <c r="C42" s="251" t="e">
        <f>'Сводный расчет стоимости'!#REF!</f>
        <v>#REF!</v>
      </c>
    </row>
    <row r="43" spans="1:3" ht="13.8" x14ac:dyDescent="0.3">
      <c r="A43" s="396" t="s">
        <v>1060</v>
      </c>
      <c r="B43" s="248" t="s">
        <v>821</v>
      </c>
      <c r="C43" s="251" t="e">
        <f>'Сводный расчет стоимости'!#REF!</f>
        <v>#REF!</v>
      </c>
    </row>
    <row r="44" spans="1:3" ht="13.8" x14ac:dyDescent="0.3">
      <c r="A44" s="396" t="s">
        <v>1061</v>
      </c>
      <c r="B44" s="248" t="s">
        <v>822</v>
      </c>
      <c r="C44" s="251" t="e">
        <f>'Сводный расчет стоимости'!#REF!</f>
        <v>#REF!</v>
      </c>
    </row>
    <row r="45" spans="1:3" ht="13.8" x14ac:dyDescent="0.3">
      <c r="A45" s="396" t="s">
        <v>1062</v>
      </c>
      <c r="B45" s="248" t="s">
        <v>1244</v>
      </c>
      <c r="C45" s="251" t="e">
        <f>'Сводный расчет стоимости'!#REF!</f>
        <v>#REF!</v>
      </c>
    </row>
    <row r="46" spans="1:3" ht="15.75" customHeight="1" x14ac:dyDescent="0.25">
      <c r="A46" s="422"/>
      <c r="B46" s="247"/>
      <c r="C46" s="251"/>
    </row>
    <row r="47" spans="1:3" ht="13.8" x14ac:dyDescent="0.25">
      <c r="A47" s="584" t="s">
        <v>1446</v>
      </c>
      <c r="B47" s="583">
        <f>'Сводный расчет стоимости'!C36</f>
        <v>0</v>
      </c>
      <c r="C47" s="251" t="e">
        <f>'Сводный расчет стоимости'!#REF!</f>
        <v>#REF!</v>
      </c>
    </row>
    <row r="48" spans="1:3" ht="12" customHeight="1" x14ac:dyDescent="0.25">
      <c r="A48" s="584" t="s">
        <v>1497</v>
      </c>
      <c r="B48" s="583" t="str">
        <f>'Сводный расчет стоимости'!C37</f>
        <v>Предрейсовый (предсменный) медицинский осмотр с АСПО</v>
      </c>
      <c r="C48" s="251" t="e">
        <f>'Сводный расчет стоимости'!#REF!</f>
        <v>#REF!</v>
      </c>
    </row>
    <row r="49" spans="1:3" ht="13.8" x14ac:dyDescent="0.25">
      <c r="A49" s="584" t="s">
        <v>1498</v>
      </c>
      <c r="B49" s="583" t="e">
        <f>'Сводный расчет стоимости'!#REF!</f>
        <v>#REF!</v>
      </c>
      <c r="C49" s="251" t="e">
        <f>'Сводный расчет стоимости'!#REF!</f>
        <v>#REF!</v>
      </c>
    </row>
    <row r="50" spans="1:3" x14ac:dyDescent="0.25">
      <c r="A50" s="1105" t="s">
        <v>605</v>
      </c>
      <c r="B50" s="1105"/>
    </row>
    <row r="51" spans="1:3" ht="12.75" customHeight="1" x14ac:dyDescent="0.3">
      <c r="A51" s="396" t="s">
        <v>606</v>
      </c>
      <c r="B51" s="248" t="s">
        <v>607</v>
      </c>
      <c r="C51" s="251" t="e">
        <f>'Сводный расчет стоимости'!#REF!</f>
        <v>#REF!</v>
      </c>
    </row>
    <row r="52" spans="1:3" ht="12.75" customHeight="1" x14ac:dyDescent="0.25">
      <c r="A52" s="1106" t="s">
        <v>1025</v>
      </c>
      <c r="B52" s="1106"/>
      <c r="C52" s="426"/>
    </row>
    <row r="53" spans="1:3" ht="12.75" customHeight="1" x14ac:dyDescent="0.25">
      <c r="A53" s="423" t="s">
        <v>1064</v>
      </c>
      <c r="B53" s="252" t="s">
        <v>1033</v>
      </c>
      <c r="C53" s="251" t="e">
        <f>'Сводный расчет стоимости'!#REF!</f>
        <v>#REF!</v>
      </c>
    </row>
    <row r="54" spans="1:3" ht="12.75" customHeight="1" x14ac:dyDescent="0.25">
      <c r="A54" s="423" t="s">
        <v>1065</v>
      </c>
      <c r="B54" s="252" t="s">
        <v>1030</v>
      </c>
      <c r="C54" s="251" t="e">
        <f>'Сводный расчет стоимости'!#REF!</f>
        <v>#REF!</v>
      </c>
    </row>
    <row r="55" spans="1:3" ht="12.75" customHeight="1" x14ac:dyDescent="0.25">
      <c r="A55" s="423" t="s">
        <v>1066</v>
      </c>
      <c r="B55" s="252" t="s">
        <v>98</v>
      </c>
      <c r="C55" s="251" t="e">
        <f>'Сводный расчет стоимости'!#REF!</f>
        <v>#REF!</v>
      </c>
    </row>
    <row r="56" spans="1:3" ht="13.5" customHeight="1" x14ac:dyDescent="0.25">
      <c r="A56" s="423" t="s">
        <v>1067</v>
      </c>
      <c r="B56" s="252" t="s">
        <v>99</v>
      </c>
      <c r="C56" s="251" t="e">
        <f>'Сводный расчет стоимости'!#REF!</f>
        <v>#REF!</v>
      </c>
    </row>
    <row r="57" spans="1:3" ht="15.75" customHeight="1" x14ac:dyDescent="0.25">
      <c r="A57" s="423" t="s">
        <v>1068</v>
      </c>
      <c r="B57" s="252" t="s">
        <v>1031</v>
      </c>
      <c r="C57" s="251" t="e">
        <f>'Сводный расчет стоимости'!#REF!</f>
        <v>#REF!</v>
      </c>
    </row>
    <row r="58" spans="1:3" ht="12.75" customHeight="1" x14ac:dyDescent="0.25">
      <c r="A58" s="423" t="s">
        <v>1069</v>
      </c>
      <c r="B58" s="252" t="s">
        <v>1032</v>
      </c>
      <c r="C58" s="251" t="e">
        <f>'Сводный расчет стоимости'!#REF!</f>
        <v>#REF!</v>
      </c>
    </row>
    <row r="59" spans="1:3" ht="12.75" customHeight="1" x14ac:dyDescent="0.25">
      <c r="A59" s="1095" t="s">
        <v>240</v>
      </c>
      <c r="B59" s="1095"/>
    </row>
    <row r="60" spans="1:3" ht="14.25" customHeight="1" x14ac:dyDescent="0.3">
      <c r="A60" s="396" t="s">
        <v>1026</v>
      </c>
      <c r="B60" s="248" t="s">
        <v>982</v>
      </c>
      <c r="C60" s="251" t="e">
        <f>'Сводный расчет стоимости'!#REF!</f>
        <v>#REF!</v>
      </c>
    </row>
    <row r="61" spans="1:3" ht="12.75" customHeight="1" x14ac:dyDescent="0.3">
      <c r="A61" s="396" t="s">
        <v>612</v>
      </c>
      <c r="B61" s="248" t="s">
        <v>983</v>
      </c>
      <c r="C61" s="251" t="e">
        <f>'Сводный расчет стоимости'!#REF!</f>
        <v>#REF!</v>
      </c>
    </row>
    <row r="62" spans="1:3" ht="12.75" customHeight="1" x14ac:dyDescent="0.3">
      <c r="A62" s="396" t="s">
        <v>1027</v>
      </c>
      <c r="B62" s="248" t="s">
        <v>984</v>
      </c>
      <c r="C62" s="251" t="e">
        <f>'Сводный расчет стоимости'!#REF!</f>
        <v>#REF!</v>
      </c>
    </row>
    <row r="63" spans="1:3" ht="12.75" customHeight="1" x14ac:dyDescent="0.3">
      <c r="A63" s="396" t="s">
        <v>622</v>
      </c>
      <c r="B63" s="248" t="s">
        <v>1241</v>
      </c>
      <c r="C63" s="251" t="e">
        <f>'Сводный расчет стоимости'!#REF!</f>
        <v>#REF!</v>
      </c>
    </row>
    <row r="64" spans="1:3" ht="12.75" customHeight="1" x14ac:dyDescent="0.3">
      <c r="A64" s="396" t="s">
        <v>1028</v>
      </c>
      <c r="B64" s="248" t="s">
        <v>683</v>
      </c>
      <c r="C64" s="251" t="e">
        <f>'Сводный расчет стоимости'!#REF!</f>
        <v>#REF!</v>
      </c>
    </row>
    <row r="65" spans="1:3" ht="12.75" customHeight="1" x14ac:dyDescent="0.3">
      <c r="A65" s="396" t="s">
        <v>1029</v>
      </c>
      <c r="B65" s="248" t="s">
        <v>1255</v>
      </c>
      <c r="C65" s="251" t="e">
        <f>'Сводный расчет стоимости'!#REF!</f>
        <v>#REF!</v>
      </c>
    </row>
    <row r="66" spans="1:3" ht="12.75" customHeight="1" x14ac:dyDescent="0.3">
      <c r="A66" s="396" t="s">
        <v>1070</v>
      </c>
      <c r="B66" s="248" t="s">
        <v>1252</v>
      </c>
      <c r="C66" s="251" t="e">
        <f>'Сводный расчет стоимости'!#REF!</f>
        <v>#REF!</v>
      </c>
    </row>
    <row r="67" spans="1:3" ht="12.75" customHeight="1" x14ac:dyDescent="0.3">
      <c r="A67" s="396" t="s">
        <v>1071</v>
      </c>
      <c r="B67" s="248" t="s">
        <v>684</v>
      </c>
      <c r="C67" s="251" t="e">
        <f>'Сводный расчет стоимости'!#REF!</f>
        <v>#REF!</v>
      </c>
    </row>
    <row r="68" spans="1:3" ht="12.75" customHeight="1" x14ac:dyDescent="0.3">
      <c r="A68" s="396" t="s">
        <v>1072</v>
      </c>
      <c r="B68" s="248" t="s">
        <v>768</v>
      </c>
      <c r="C68" s="251" t="e">
        <f>'Сводный расчет стоимости'!#REF!</f>
        <v>#REF!</v>
      </c>
    </row>
    <row r="69" spans="1:3" ht="12.75" customHeight="1" x14ac:dyDescent="0.25">
      <c r="A69" s="1095" t="s">
        <v>692</v>
      </c>
      <c r="B69" s="1095"/>
      <c r="C69" s="427"/>
    </row>
    <row r="70" spans="1:3" ht="12.75" customHeight="1" x14ac:dyDescent="0.3">
      <c r="A70" s="396" t="s">
        <v>624</v>
      </c>
      <c r="B70" s="248" t="str">
        <f>'Сводный расчет стоимости'!C112</f>
        <v>Прием ( осмотр, консультация) врача-хирурга первичный</v>
      </c>
      <c r="C70" s="251" t="e">
        <f>'Сводный расчет стоимости'!#REF!</f>
        <v>#REF!</v>
      </c>
    </row>
    <row r="71" spans="1:3" ht="12.75" customHeight="1" x14ac:dyDescent="0.3">
      <c r="A71" s="396" t="s">
        <v>625</v>
      </c>
      <c r="B71" s="248" t="str">
        <f>'Сводный расчет стоимости'!C113</f>
        <v>Прием ( осмотр, консультация) врача-хирурга повторный</v>
      </c>
      <c r="C71" s="251" t="e">
        <f>'Сводный расчет стоимости'!#REF!</f>
        <v>#REF!</v>
      </c>
    </row>
    <row r="72" spans="1:3" ht="12.75" customHeight="1" x14ac:dyDescent="0.3">
      <c r="A72" s="396" t="s">
        <v>626</v>
      </c>
      <c r="B72" s="248" t="str">
        <f>'Сводный расчет стоимости'!C114</f>
        <v>Профилактический прием (осмотр, консультация) врача-хирурга</v>
      </c>
      <c r="C72" s="251" t="e">
        <f>'Сводный расчет стоимости'!#REF!</f>
        <v>#REF!</v>
      </c>
    </row>
    <row r="73" spans="1:3" ht="12.75" customHeight="1" x14ac:dyDescent="0.3">
      <c r="A73" s="396" t="s">
        <v>627</v>
      </c>
      <c r="B73" s="248" t="str">
        <f>'Сводный расчет стоимости'!C115</f>
        <v>Вскрытие панариция</v>
      </c>
      <c r="C73" s="251" t="e">
        <f>'Сводный расчет стоимости'!#REF!</f>
        <v>#REF!</v>
      </c>
    </row>
    <row r="74" spans="1:3" ht="12.75" customHeight="1" x14ac:dyDescent="0.3">
      <c r="A74" s="396" t="s">
        <v>628</v>
      </c>
      <c r="B74" s="248" t="str">
        <f>'Сводный расчет стоимости'!C116</f>
        <v>Вскрытие фурункула (карбункула)</v>
      </c>
      <c r="C74" s="251" t="e">
        <f>'Сводный расчет стоимости'!#REF!</f>
        <v>#REF!</v>
      </c>
    </row>
    <row r="75" spans="1:3" ht="15" customHeight="1" x14ac:dyDescent="0.3">
      <c r="A75" s="396" t="s">
        <v>629</v>
      </c>
      <c r="B75" s="248" t="e">
        <f>'Сводный расчет стоимости'!#REF!</f>
        <v>#REF!</v>
      </c>
      <c r="C75" s="251" t="e">
        <f>'Сводный расчет стоимости'!#REF!</f>
        <v>#REF!</v>
      </c>
    </row>
    <row r="76" spans="1:3" ht="12.75" customHeight="1" x14ac:dyDescent="0.3">
      <c r="A76" s="396" t="s">
        <v>630</v>
      </c>
      <c r="B76" s="248" t="str">
        <f>'Сводный расчет стоимости'!C117</f>
        <v>Наложение повязки при переломах костей</v>
      </c>
      <c r="C76" s="251" t="e">
        <f>'Сводный расчет стоимости'!#REF!</f>
        <v>#REF!</v>
      </c>
    </row>
    <row r="77" spans="1:3" ht="12.75" customHeight="1" x14ac:dyDescent="0.3">
      <c r="A77" s="396" t="s">
        <v>631</v>
      </c>
      <c r="B77" s="248" t="str">
        <f>'Сводный расчет стоимости'!C118</f>
        <v>Наложение повязки при гнойных заболеваниях кожи и подкожной клетчатки</v>
      </c>
      <c r="C77" s="251" t="e">
        <f>'Сводный расчет стоимости'!#REF!</f>
        <v>#REF!</v>
      </c>
    </row>
    <row r="78" spans="1:3" ht="12.75" customHeight="1" x14ac:dyDescent="0.3">
      <c r="A78" s="396" t="s">
        <v>1501</v>
      </c>
      <c r="B78" s="248" t="str">
        <f>'Сводный расчет стоимости'!C119</f>
        <v>Внутрисуставное введение лекарственных препаратов</v>
      </c>
      <c r="C78" s="251" t="e">
        <f>'Сводный расчет стоимости'!#REF!</f>
        <v>#REF!</v>
      </c>
    </row>
    <row r="79" spans="1:3" ht="12.75" customHeight="1" x14ac:dyDescent="0.3">
      <c r="A79" s="396" t="s">
        <v>1502</v>
      </c>
      <c r="B79" s="248" t="str">
        <f>'Сводный расчет стоимости'!C120</f>
        <v>Хирургическая обработка раны или инфицированной ткани</v>
      </c>
      <c r="C79" s="251" t="e">
        <f>'Сводный расчет стоимости'!#REF!</f>
        <v>#REF!</v>
      </c>
    </row>
    <row r="80" spans="1:3" ht="12.75" customHeight="1" x14ac:dyDescent="0.25">
      <c r="A80" s="1096" t="s">
        <v>623</v>
      </c>
      <c r="B80" s="1096"/>
      <c r="C80" s="251"/>
    </row>
    <row r="81" spans="1:3" ht="12.75" customHeight="1" x14ac:dyDescent="0.25">
      <c r="A81" s="1096" t="s">
        <v>1561</v>
      </c>
      <c r="B81" s="1096"/>
      <c r="C81" s="251"/>
    </row>
    <row r="82" spans="1:3" ht="15" customHeight="1" x14ac:dyDescent="0.3">
      <c r="A82" s="396" t="s">
        <v>241</v>
      </c>
      <c r="B82" s="248" t="s">
        <v>1526</v>
      </c>
      <c r="C82" s="251" t="e">
        <f>'Сводный расчет стоимости'!#REF!</f>
        <v>#REF!</v>
      </c>
    </row>
    <row r="83" spans="1:3" ht="13.5" customHeight="1" x14ac:dyDescent="0.3">
      <c r="A83" s="396" t="s">
        <v>1073</v>
      </c>
      <c r="B83" s="248" t="s">
        <v>1527</v>
      </c>
      <c r="C83" s="251" t="e">
        <f>'Сводный расчет стоимости'!#REF!</f>
        <v>#REF!</v>
      </c>
    </row>
    <row r="84" spans="1:3" ht="12.75" customHeight="1" x14ac:dyDescent="0.3">
      <c r="A84" s="396" t="s">
        <v>1074</v>
      </c>
      <c r="B84" s="248" t="s">
        <v>1275</v>
      </c>
      <c r="C84" s="251" t="e">
        <f>'Сводный расчет стоимости'!#REF!</f>
        <v>#REF!</v>
      </c>
    </row>
    <row r="85" spans="1:3" ht="12.75" customHeight="1" x14ac:dyDescent="0.3">
      <c r="A85" s="396" t="s">
        <v>1075</v>
      </c>
      <c r="B85" s="248" t="s">
        <v>1276</v>
      </c>
      <c r="C85" s="251" t="e">
        <f>'Сводный расчет стоимости'!#REF!</f>
        <v>#REF!</v>
      </c>
    </row>
    <row r="86" spans="1:3" ht="12.75" customHeight="1" x14ac:dyDescent="0.3">
      <c r="A86" s="396" t="s">
        <v>1076</v>
      </c>
      <c r="B86" s="248" t="s">
        <v>1565</v>
      </c>
      <c r="C86" s="251" t="e">
        <f>'Сводный расчет стоимости'!#REF!</f>
        <v>#REF!</v>
      </c>
    </row>
    <row r="87" spans="1:3" ht="12.75" customHeight="1" x14ac:dyDescent="0.3">
      <c r="A87" s="396" t="s">
        <v>1525</v>
      </c>
      <c r="B87" s="248" t="s">
        <v>1573</v>
      </c>
      <c r="C87" s="251" t="e">
        <f>'Сводный расчет стоимости'!#REF!</f>
        <v>#REF!</v>
      </c>
    </row>
    <row r="88" spans="1:3" ht="12.75" customHeight="1" x14ac:dyDescent="0.3">
      <c r="A88" s="396" t="s">
        <v>1077</v>
      </c>
      <c r="B88" s="248" t="s">
        <v>1277</v>
      </c>
      <c r="C88" s="251" t="e">
        <f>'Сводный расчет стоимости'!#REF!</f>
        <v>#REF!</v>
      </c>
    </row>
    <row r="89" spans="1:3" ht="12.75" customHeight="1" x14ac:dyDescent="0.3">
      <c r="A89" s="396" t="s">
        <v>1078</v>
      </c>
      <c r="B89" s="248" t="s">
        <v>1282</v>
      </c>
      <c r="C89" s="251" t="e">
        <f>'Сводный расчет стоимости'!#REF!</f>
        <v>#REF!</v>
      </c>
    </row>
    <row r="90" spans="1:3" ht="12.75" customHeight="1" x14ac:dyDescent="0.3">
      <c r="A90" s="396" t="s">
        <v>1079</v>
      </c>
      <c r="B90" s="248" t="s">
        <v>1579</v>
      </c>
      <c r="C90" s="251" t="e">
        <f>'Сводный расчет стоимости'!#REF!</f>
        <v>#REF!</v>
      </c>
    </row>
    <row r="91" spans="1:3" ht="12.75" customHeight="1" x14ac:dyDescent="0.3">
      <c r="A91" s="396" t="s">
        <v>1080</v>
      </c>
      <c r="B91" s="248" t="s">
        <v>1566</v>
      </c>
      <c r="C91" s="251" t="e">
        <f>'Сводный расчет стоимости'!#REF!</f>
        <v>#REF!</v>
      </c>
    </row>
    <row r="92" spans="1:3" ht="12.75" customHeight="1" x14ac:dyDescent="0.3">
      <c r="A92" s="396" t="s">
        <v>1081</v>
      </c>
      <c r="B92" s="248" t="s">
        <v>1563</v>
      </c>
      <c r="C92" s="251" t="e">
        <f>'Сводный расчет стоимости'!#REF!</f>
        <v>#REF!</v>
      </c>
    </row>
    <row r="93" spans="1:3" ht="25.5" customHeight="1" x14ac:dyDescent="0.3">
      <c r="A93" s="396" t="s">
        <v>1082</v>
      </c>
      <c r="B93" s="248" t="s">
        <v>1008</v>
      </c>
      <c r="C93" s="251" t="e">
        <f>'Сводный расчет стоимости'!#REF!</f>
        <v>#REF!</v>
      </c>
    </row>
    <row r="94" spans="1:3" ht="12.75" customHeight="1" x14ac:dyDescent="0.3">
      <c r="A94" s="396" t="s">
        <v>1083</v>
      </c>
      <c r="B94" s="248" t="s">
        <v>1571</v>
      </c>
      <c r="C94" s="251" t="e">
        <f>'Сводный расчет стоимости'!#REF!</f>
        <v>#REF!</v>
      </c>
    </row>
    <row r="95" spans="1:3" ht="24" customHeight="1" x14ac:dyDescent="0.3">
      <c r="A95" s="396" t="s">
        <v>1084</v>
      </c>
      <c r="B95" s="248" t="s">
        <v>1572</v>
      </c>
      <c r="C95" s="251" t="e">
        <f>'Сводный расчет стоимости'!#REF!</f>
        <v>#REF!</v>
      </c>
    </row>
    <row r="96" spans="1:3" ht="24" customHeight="1" x14ac:dyDescent="0.3">
      <c r="A96" s="396" t="s">
        <v>1085</v>
      </c>
      <c r="B96" s="248" t="s">
        <v>1562</v>
      </c>
      <c r="C96" s="251" t="e">
        <f>'Сводный расчет стоимости'!#REF!</f>
        <v>#REF!</v>
      </c>
    </row>
    <row r="97" spans="1:20" ht="13.8" x14ac:dyDescent="0.3">
      <c r="A97" s="396" t="s">
        <v>1086</v>
      </c>
      <c r="B97" s="248" t="s">
        <v>1564</v>
      </c>
      <c r="C97" s="251" t="e">
        <f>'Сводный расчет стоимости'!#REF!</f>
        <v>#REF!</v>
      </c>
    </row>
    <row r="98" spans="1:20" ht="27.6" x14ac:dyDescent="0.3">
      <c r="A98" s="396" t="s">
        <v>1087</v>
      </c>
      <c r="B98" s="248" t="s">
        <v>100</v>
      </c>
      <c r="C98" s="251" t="e">
        <f>'Сводный расчет стоимости'!#REF!</f>
        <v>#REF!</v>
      </c>
    </row>
    <row r="99" spans="1:20" ht="27.6" x14ac:dyDescent="0.3">
      <c r="A99" s="396" t="s">
        <v>1088</v>
      </c>
      <c r="B99" s="248" t="s">
        <v>100</v>
      </c>
      <c r="C99" s="251" t="e">
        <f>'Сводный расчет стоимости'!#REF!</f>
        <v>#REF!</v>
      </c>
    </row>
    <row r="100" spans="1:20" ht="13.8" x14ac:dyDescent="0.3">
      <c r="A100" s="396" t="s">
        <v>1089</v>
      </c>
      <c r="B100" s="248" t="s">
        <v>1570</v>
      </c>
      <c r="C100" s="251" t="e">
        <f>'Сводный расчет стоимости'!#REF!</f>
        <v>#REF!</v>
      </c>
    </row>
    <row r="101" spans="1:20" ht="13.8" x14ac:dyDescent="0.3">
      <c r="A101" s="396" t="s">
        <v>1090</v>
      </c>
      <c r="B101" s="248" t="s">
        <v>1518</v>
      </c>
      <c r="C101" s="251" t="e">
        <f>'Сводный расчет стоимости'!#REF!</f>
        <v>#REF!</v>
      </c>
    </row>
    <row r="102" spans="1:20" ht="13.8" x14ac:dyDescent="0.3">
      <c r="A102" s="396" t="s">
        <v>1091</v>
      </c>
      <c r="B102" s="248" t="s">
        <v>1519</v>
      </c>
      <c r="C102" s="251" t="e">
        <f>'Сводный расчет стоимости'!#REF!</f>
        <v>#REF!</v>
      </c>
    </row>
    <row r="103" spans="1:20" ht="13.8" x14ac:dyDescent="0.3">
      <c r="A103" s="396" t="s">
        <v>1092</v>
      </c>
      <c r="B103" s="248" t="s">
        <v>1575</v>
      </c>
      <c r="C103" s="251" t="e">
        <f>'Сводный расчет стоимости'!#REF!</f>
        <v>#REF!</v>
      </c>
    </row>
    <row r="104" spans="1:20" ht="13.8" x14ac:dyDescent="0.3">
      <c r="A104" s="396" t="s">
        <v>1093</v>
      </c>
      <c r="B104" s="248" t="s">
        <v>1574</v>
      </c>
      <c r="C104" s="251" t="e">
        <f>'Сводный расчет стоимости'!#REF!</f>
        <v>#REF!</v>
      </c>
      <c r="D104" s="246"/>
      <c r="E104" s="246"/>
      <c r="F104" s="246"/>
      <c r="G104" s="246"/>
      <c r="H104" s="246"/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</row>
    <row r="105" spans="1:20" x14ac:dyDescent="0.25">
      <c r="A105" s="246"/>
      <c r="B105" s="430" t="s">
        <v>1576</v>
      </c>
      <c r="C105" s="431"/>
      <c r="D105" s="430"/>
      <c r="E105" s="430"/>
      <c r="F105" s="430"/>
      <c r="G105" s="430"/>
      <c r="H105" s="430"/>
      <c r="I105" s="430"/>
      <c r="J105" s="430"/>
      <c r="K105" s="430"/>
      <c r="L105" s="430"/>
      <c r="M105" s="430"/>
      <c r="N105" s="246"/>
      <c r="O105" s="246"/>
      <c r="P105" s="246"/>
      <c r="Q105" s="246"/>
      <c r="R105" s="246"/>
      <c r="S105" s="246"/>
      <c r="T105" s="246"/>
    </row>
    <row r="106" spans="1:20" ht="13.8" x14ac:dyDescent="0.3">
      <c r="A106" s="428" t="s">
        <v>150</v>
      </c>
      <c r="B106" s="428" t="s">
        <v>1552</v>
      </c>
      <c r="C106" s="251" t="e">
        <f>'Сводный расчет стоимости'!#REF!</f>
        <v>#REF!</v>
      </c>
    </row>
    <row r="107" spans="1:20" ht="13.8" x14ac:dyDescent="0.3">
      <c r="A107" s="428" t="s">
        <v>1094</v>
      </c>
      <c r="B107" s="428" t="s">
        <v>1551</v>
      </c>
      <c r="C107" s="251" t="e">
        <f>'Сводный расчет стоимости'!#REF!</f>
        <v>#REF!</v>
      </c>
    </row>
    <row r="108" spans="1:20" ht="13.8" x14ac:dyDescent="0.3">
      <c r="A108" s="428" t="s">
        <v>1095</v>
      </c>
      <c r="B108" s="248" t="s">
        <v>149</v>
      </c>
      <c r="C108" s="251" t="e">
        <f>'Сводный расчет стоимости'!#REF!</f>
        <v>#REF!</v>
      </c>
    </row>
    <row r="109" spans="1:20" ht="13.8" x14ac:dyDescent="0.3">
      <c r="A109" s="428" t="s">
        <v>1096</v>
      </c>
      <c r="B109" s="248" t="s">
        <v>143</v>
      </c>
      <c r="C109" s="251" t="e">
        <f>'Сводный расчет стоимости'!#REF!</f>
        <v>#REF!</v>
      </c>
    </row>
    <row r="110" spans="1:20" ht="13.5" customHeight="1" x14ac:dyDescent="0.3">
      <c r="A110" s="428" t="s">
        <v>1097</v>
      </c>
      <c r="B110" s="248" t="s">
        <v>132</v>
      </c>
      <c r="C110" s="251" t="e">
        <f>'Сводный расчет стоимости'!#REF!</f>
        <v>#REF!</v>
      </c>
    </row>
    <row r="111" spans="1:20" ht="15.75" customHeight="1" x14ac:dyDescent="0.3">
      <c r="A111" s="428" t="s">
        <v>1098</v>
      </c>
      <c r="B111" s="248" t="s">
        <v>131</v>
      </c>
      <c r="C111" s="251" t="e">
        <f>'Сводный расчет стоимости'!#REF!</f>
        <v>#REF!</v>
      </c>
    </row>
    <row r="112" spans="1:20" ht="24" customHeight="1" x14ac:dyDescent="0.3">
      <c r="A112" s="428" t="s">
        <v>1099</v>
      </c>
      <c r="B112" s="248" t="s">
        <v>140</v>
      </c>
      <c r="C112" s="251" t="e">
        <f>'Сводный расчет стоимости'!#REF!</f>
        <v>#REF!</v>
      </c>
    </row>
    <row r="113" spans="1:3" ht="13.8" x14ac:dyDescent="0.3">
      <c r="A113" s="428" t="s">
        <v>1100</v>
      </c>
      <c r="B113" s="248" t="s">
        <v>1554</v>
      </c>
      <c r="C113" s="251" t="e">
        <f>'Сводный расчет стоимости'!#REF!</f>
        <v>#REF!</v>
      </c>
    </row>
    <row r="114" spans="1:3" ht="27.6" x14ac:dyDescent="0.3">
      <c r="A114" s="428" t="s">
        <v>1101</v>
      </c>
      <c r="B114" s="248" t="s">
        <v>1590</v>
      </c>
      <c r="C114" s="251" t="e">
        <f>'Сводный расчет стоимости'!#REF!</f>
        <v>#REF!</v>
      </c>
    </row>
    <row r="115" spans="1:3" ht="27.6" x14ac:dyDescent="0.3">
      <c r="A115" s="428" t="s">
        <v>1102</v>
      </c>
      <c r="B115" s="248" t="s">
        <v>881</v>
      </c>
      <c r="C115" s="251" t="e">
        <f>'Сводный расчет стоимости'!#REF!</f>
        <v>#REF!</v>
      </c>
    </row>
    <row r="116" spans="1:3" ht="27.6" x14ac:dyDescent="0.3">
      <c r="A116" s="428" t="s">
        <v>1103</v>
      </c>
      <c r="B116" s="248" t="s">
        <v>884</v>
      </c>
      <c r="C116" s="251" t="e">
        <f>'Сводный расчет стоимости'!#REF!</f>
        <v>#REF!</v>
      </c>
    </row>
    <row r="117" spans="1:3" ht="27.6" x14ac:dyDescent="0.3">
      <c r="A117" s="428" t="s">
        <v>1104</v>
      </c>
      <c r="B117" s="248" t="s">
        <v>882</v>
      </c>
      <c r="C117" s="251" t="e">
        <f>'Сводный расчет стоимости'!#REF!</f>
        <v>#REF!</v>
      </c>
    </row>
    <row r="118" spans="1:3" ht="27.6" x14ac:dyDescent="0.3">
      <c r="A118" s="428" t="s">
        <v>1105</v>
      </c>
      <c r="B118" s="248" t="s">
        <v>885</v>
      </c>
      <c r="C118" s="251" t="e">
        <f>'Сводный расчет стоимости'!#REF!</f>
        <v>#REF!</v>
      </c>
    </row>
    <row r="119" spans="1:3" ht="27.6" x14ac:dyDescent="0.3">
      <c r="A119" s="428" t="s">
        <v>1106</v>
      </c>
      <c r="B119" s="248" t="s">
        <v>883</v>
      </c>
      <c r="C119" s="251" t="e">
        <f>'Сводный расчет стоимости'!#REF!</f>
        <v>#REF!</v>
      </c>
    </row>
    <row r="120" spans="1:3" ht="27.6" x14ac:dyDescent="0.3">
      <c r="A120" s="428" t="s">
        <v>1107</v>
      </c>
      <c r="B120" s="248" t="s">
        <v>886</v>
      </c>
      <c r="C120" s="251" t="e">
        <f>'Сводный расчет стоимости'!#REF!</f>
        <v>#REF!</v>
      </c>
    </row>
    <row r="121" spans="1:3" ht="12" customHeight="1" x14ac:dyDescent="0.3">
      <c r="A121" s="428" t="s">
        <v>1108</v>
      </c>
      <c r="B121" s="248" t="s">
        <v>1591</v>
      </c>
      <c r="C121" s="251" t="e">
        <f>'Сводный расчет стоимости'!#REF!</f>
        <v>#REF!</v>
      </c>
    </row>
    <row r="122" spans="1:3" ht="12" customHeight="1" x14ac:dyDescent="0.3">
      <c r="A122" s="428" t="s">
        <v>1109</v>
      </c>
      <c r="B122" s="428" t="s">
        <v>616</v>
      </c>
      <c r="C122" s="251" t="e">
        <f>'Сводный расчет стоимости'!#REF!</f>
        <v>#REF!</v>
      </c>
    </row>
    <row r="123" spans="1:3" ht="29.25" customHeight="1" x14ac:dyDescent="0.3">
      <c r="A123" s="428" t="s">
        <v>1110</v>
      </c>
      <c r="B123" s="248" t="s">
        <v>1135</v>
      </c>
      <c r="C123" s="251" t="e">
        <f>'Сводный расчет стоимости'!#REF!</f>
        <v>#REF!</v>
      </c>
    </row>
    <row r="124" spans="1:3" ht="38.25" customHeight="1" x14ac:dyDescent="0.3">
      <c r="A124" s="428" t="s">
        <v>1111</v>
      </c>
      <c r="B124" s="248" t="s">
        <v>1136</v>
      </c>
      <c r="C124" s="251" t="e">
        <f>'Сводный расчет стоимости'!#REF!</f>
        <v>#REF!</v>
      </c>
    </row>
    <row r="125" spans="1:3" ht="29.25" customHeight="1" x14ac:dyDescent="0.3">
      <c r="A125" s="428" t="s">
        <v>1112</v>
      </c>
      <c r="B125" s="248" t="s">
        <v>1137</v>
      </c>
      <c r="C125" s="251" t="e">
        <f>'Сводный расчет стоимости'!#REF!</f>
        <v>#REF!</v>
      </c>
    </row>
    <row r="126" spans="1:3" ht="26.25" customHeight="1" x14ac:dyDescent="0.3">
      <c r="A126" s="428" t="s">
        <v>1113</v>
      </c>
      <c r="B126" s="248" t="s">
        <v>1138</v>
      </c>
      <c r="C126" s="251" t="e">
        <f>'Сводный расчет стоимости'!#REF!</f>
        <v>#REF!</v>
      </c>
    </row>
    <row r="127" spans="1:3" ht="13.8" x14ac:dyDescent="0.3">
      <c r="A127" s="428" t="s">
        <v>1114</v>
      </c>
      <c r="B127" s="248" t="s">
        <v>550</v>
      </c>
      <c r="C127" s="251" t="e">
        <f>'Сводный расчет стоимости'!#REF!</f>
        <v>#REF!</v>
      </c>
    </row>
    <row r="128" spans="1:3" ht="27.6" x14ac:dyDescent="0.3">
      <c r="A128" s="428" t="s">
        <v>1115</v>
      </c>
      <c r="B128" s="248" t="s">
        <v>101</v>
      </c>
      <c r="C128" s="251" t="e">
        <f>'Сводный расчет стоимости'!#REF!</f>
        <v>#REF!</v>
      </c>
    </row>
    <row r="129" spans="1:3" ht="27.6" x14ac:dyDescent="0.3">
      <c r="A129" s="428" t="s">
        <v>1116</v>
      </c>
      <c r="B129" s="248" t="s">
        <v>1139</v>
      </c>
      <c r="C129" s="251" t="e">
        <f>'Сводный расчет стоимости'!#REF!</f>
        <v>#REF!</v>
      </c>
    </row>
    <row r="130" spans="1:3" ht="27.6" x14ac:dyDescent="0.3">
      <c r="A130" s="428" t="s">
        <v>1117</v>
      </c>
      <c r="B130" s="248" t="s">
        <v>102</v>
      </c>
      <c r="C130" s="251" t="e">
        <f>'Сводный расчет стоимости'!#REF!</f>
        <v>#REF!</v>
      </c>
    </row>
    <row r="131" spans="1:3" ht="27.6" x14ac:dyDescent="0.3">
      <c r="A131" s="428" t="s">
        <v>1118</v>
      </c>
      <c r="B131" s="248" t="s">
        <v>1140</v>
      </c>
      <c r="C131" s="251" t="e">
        <f>'Сводный расчет стоимости'!#REF!</f>
        <v>#REF!</v>
      </c>
    </row>
    <row r="132" spans="1:3" ht="27.6" x14ac:dyDescent="0.3">
      <c r="A132" s="428" t="s">
        <v>1119</v>
      </c>
      <c r="B132" s="248" t="s">
        <v>103</v>
      </c>
      <c r="C132" s="251" t="e">
        <f>'Сводный расчет стоимости'!#REF!</f>
        <v>#REF!</v>
      </c>
    </row>
    <row r="133" spans="1:3" ht="27.6" x14ac:dyDescent="0.3">
      <c r="A133" s="428" t="s">
        <v>151</v>
      </c>
      <c r="B133" s="248" t="s">
        <v>1141</v>
      </c>
      <c r="C133" s="251" t="e">
        <f>'Сводный расчет стоимости'!#REF!</f>
        <v>#REF!</v>
      </c>
    </row>
    <row r="134" spans="1:3" ht="12" customHeight="1" x14ac:dyDescent="0.3">
      <c r="A134" s="428" t="s">
        <v>152</v>
      </c>
      <c r="B134" s="248" t="s">
        <v>147</v>
      </c>
      <c r="C134" s="251" t="e">
        <f>'Сводный расчет стоимости'!#REF!</f>
        <v>#REF!</v>
      </c>
    </row>
    <row r="135" spans="1:3" ht="12" customHeight="1" x14ac:dyDescent="0.3">
      <c r="A135" s="428" t="s">
        <v>154</v>
      </c>
      <c r="B135" s="248" t="s">
        <v>148</v>
      </c>
      <c r="C135" s="251" t="e">
        <f>'Сводный расчет стоимости'!#REF!</f>
        <v>#REF!</v>
      </c>
    </row>
    <row r="136" spans="1:3" ht="12" customHeight="1" x14ac:dyDescent="0.3">
      <c r="A136" s="428" t="s">
        <v>155</v>
      </c>
      <c r="B136" s="248" t="s">
        <v>146</v>
      </c>
      <c r="C136" s="251" t="e">
        <f>'Сводный расчет стоимости'!#REF!</f>
        <v>#REF!</v>
      </c>
    </row>
    <row r="137" spans="1:3" ht="12" customHeight="1" x14ac:dyDescent="0.3">
      <c r="A137" s="428" t="s">
        <v>156</v>
      </c>
      <c r="B137" s="248" t="s">
        <v>145</v>
      </c>
      <c r="C137" s="251" t="e">
        <f>'Сводный расчет стоимости'!#REF!</f>
        <v>#REF!</v>
      </c>
    </row>
    <row r="138" spans="1:3" ht="13.8" x14ac:dyDescent="0.3">
      <c r="A138" s="428" t="s">
        <v>157</v>
      </c>
      <c r="B138" s="248" t="s">
        <v>142</v>
      </c>
      <c r="C138" s="251" t="e">
        <f>'Сводный расчет стоимости'!#REF!</f>
        <v>#REF!</v>
      </c>
    </row>
    <row r="139" spans="1:3" ht="24" customHeight="1" x14ac:dyDescent="0.3">
      <c r="A139" s="428" t="s">
        <v>158</v>
      </c>
      <c r="B139" s="248" t="s">
        <v>1197</v>
      </c>
      <c r="C139" s="251" t="e">
        <f>'Сводный расчет стоимости'!#REF!</f>
        <v>#REF!</v>
      </c>
    </row>
    <row r="140" spans="1:3" ht="27.75" customHeight="1" x14ac:dyDescent="0.3">
      <c r="A140" s="428" t="s">
        <v>159</v>
      </c>
      <c r="B140" s="248" t="s">
        <v>376</v>
      </c>
      <c r="C140" s="251" t="e">
        <f>'Сводный расчет стоимости'!#REF!</f>
        <v>#REF!</v>
      </c>
    </row>
    <row r="141" spans="1:3" ht="29.25" customHeight="1" x14ac:dyDescent="0.3">
      <c r="A141" s="428" t="s">
        <v>160</v>
      </c>
      <c r="B141" s="248" t="s">
        <v>377</v>
      </c>
      <c r="C141" s="251" t="e">
        <f>'Сводный расчет стоимости'!#REF!</f>
        <v>#REF!</v>
      </c>
    </row>
    <row r="142" spans="1:3" ht="27.6" x14ac:dyDescent="0.3">
      <c r="A142" s="428" t="s">
        <v>161</v>
      </c>
      <c r="B142" s="248" t="s">
        <v>878</v>
      </c>
      <c r="C142" s="251" t="e">
        <f>'Сводный расчет стоимости'!#REF!</f>
        <v>#REF!</v>
      </c>
    </row>
    <row r="143" spans="1:3" ht="27.6" x14ac:dyDescent="0.3">
      <c r="A143" s="428" t="s">
        <v>162</v>
      </c>
      <c r="B143" s="248" t="s">
        <v>879</v>
      </c>
      <c r="C143" s="251" t="e">
        <f>'Сводный расчет стоимости'!#REF!</f>
        <v>#REF!</v>
      </c>
    </row>
    <row r="144" spans="1:3" ht="27.6" x14ac:dyDescent="0.3">
      <c r="A144" s="428" t="s">
        <v>163</v>
      </c>
      <c r="B144" s="248" t="s">
        <v>880</v>
      </c>
      <c r="C144" s="251" t="e">
        <f>'Сводный расчет стоимости'!#REF!</f>
        <v>#REF!</v>
      </c>
    </row>
    <row r="145" spans="1:3" ht="27.6" x14ac:dyDescent="0.3">
      <c r="A145" s="428" t="s">
        <v>164</v>
      </c>
      <c r="B145" s="593" t="s">
        <v>1693</v>
      </c>
      <c r="C145" s="251" t="e">
        <f>'Сводный расчет стоимости'!#REF!</f>
        <v>#REF!</v>
      </c>
    </row>
    <row r="146" spans="1:3" ht="27.6" x14ac:dyDescent="0.3">
      <c r="A146" s="428" t="s">
        <v>165</v>
      </c>
      <c r="B146" s="593" t="s">
        <v>1694</v>
      </c>
      <c r="C146" s="251" t="e">
        <f>'Сводный расчет стоимости'!#REF!</f>
        <v>#REF!</v>
      </c>
    </row>
    <row r="147" spans="1:3" ht="27.6" x14ac:dyDescent="0.3">
      <c r="A147" s="428" t="s">
        <v>166</v>
      </c>
      <c r="B147" s="593" t="s">
        <v>1695</v>
      </c>
      <c r="C147" s="251" t="e">
        <f>'Сводный расчет стоимости'!#REF!</f>
        <v>#REF!</v>
      </c>
    </row>
    <row r="148" spans="1:3" ht="13.8" x14ac:dyDescent="0.3">
      <c r="A148" s="428" t="s">
        <v>167</v>
      </c>
      <c r="B148" s="248" t="s">
        <v>1556</v>
      </c>
      <c r="C148" s="251" t="e">
        <f>'Сводный расчет стоимости'!#REF!</f>
        <v>#REF!</v>
      </c>
    </row>
    <row r="149" spans="1:3" ht="13.8" x14ac:dyDescent="0.3">
      <c r="A149" s="428" t="s">
        <v>168</v>
      </c>
      <c r="B149" s="248" t="s">
        <v>560</v>
      </c>
      <c r="C149" s="251" t="e">
        <f>'Сводный расчет стоимости'!#REF!</f>
        <v>#REF!</v>
      </c>
    </row>
    <row r="150" spans="1:3" ht="13.8" x14ac:dyDescent="0.3">
      <c r="A150" s="428" t="s">
        <v>169</v>
      </c>
      <c r="B150" s="428" t="s">
        <v>615</v>
      </c>
      <c r="C150" s="251" t="e">
        <f>'Сводный расчет стоимости'!#REF!</f>
        <v>#REF!</v>
      </c>
    </row>
    <row r="151" spans="1:3" ht="13.8" x14ac:dyDescent="0.3">
      <c r="A151" s="428" t="s">
        <v>172</v>
      </c>
      <c r="B151" s="428" t="s">
        <v>1548</v>
      </c>
      <c r="C151" s="251" t="e">
        <f>'Сводный расчет стоимости'!#REF!</f>
        <v>#REF!</v>
      </c>
    </row>
    <row r="152" spans="1:3" ht="27.6" x14ac:dyDescent="0.3">
      <c r="A152" s="428" t="s">
        <v>173</v>
      </c>
      <c r="B152" s="248" t="s">
        <v>133</v>
      </c>
      <c r="C152" s="251" t="e">
        <f>'Сводный расчет стоимости'!#REF!</f>
        <v>#REF!</v>
      </c>
    </row>
    <row r="153" spans="1:3" ht="27.6" x14ac:dyDescent="0.3">
      <c r="A153" s="428" t="s">
        <v>174</v>
      </c>
      <c r="B153" s="248" t="s">
        <v>104</v>
      </c>
      <c r="C153" s="251" t="e">
        <f>'Сводный расчет стоимости'!#REF!</f>
        <v>#REF!</v>
      </c>
    </row>
    <row r="154" spans="1:3" ht="13.8" x14ac:dyDescent="0.3">
      <c r="A154" s="428" t="s">
        <v>175</v>
      </c>
      <c r="B154" s="248" t="s">
        <v>1555</v>
      </c>
      <c r="C154" s="251" t="e">
        <f>'Сводный расчет стоимости'!#REF!</f>
        <v>#REF!</v>
      </c>
    </row>
    <row r="155" spans="1:3" ht="13.8" x14ac:dyDescent="0.3">
      <c r="A155" s="428" t="s">
        <v>176</v>
      </c>
      <c r="B155" s="248" t="s">
        <v>139</v>
      </c>
      <c r="C155" s="251" t="e">
        <f>'Сводный расчет стоимости'!#REF!</f>
        <v>#REF!</v>
      </c>
    </row>
    <row r="156" spans="1:3" ht="27.6" x14ac:dyDescent="0.3">
      <c r="A156" s="428" t="s">
        <v>177</v>
      </c>
      <c r="B156" s="248" t="s">
        <v>141</v>
      </c>
      <c r="C156" s="251" t="e">
        <f>'Сводный расчет стоимости'!#REF!</f>
        <v>#REF!</v>
      </c>
    </row>
    <row r="157" spans="1:3" ht="13.8" x14ac:dyDescent="0.3">
      <c r="A157" s="428" t="s">
        <v>178</v>
      </c>
      <c r="B157" s="248" t="s">
        <v>1588</v>
      </c>
      <c r="C157" s="251" t="e">
        <f>'Сводный расчет стоимости'!#REF!</f>
        <v>#REF!</v>
      </c>
    </row>
    <row r="158" spans="1:3" ht="27.6" x14ac:dyDescent="0.3">
      <c r="A158" s="428" t="s">
        <v>179</v>
      </c>
      <c r="B158" s="248" t="s">
        <v>545</v>
      </c>
      <c r="C158" s="251" t="e">
        <f>'Сводный расчет стоимости'!#REF!</f>
        <v>#REF!</v>
      </c>
    </row>
    <row r="159" spans="1:3" ht="12" customHeight="1" x14ac:dyDescent="0.3">
      <c r="A159" s="428" t="s">
        <v>180</v>
      </c>
      <c r="B159" s="428" t="s">
        <v>1553</v>
      </c>
      <c r="C159" s="251" t="e">
        <f>'Сводный расчет стоимости'!#REF!</f>
        <v>#REF!</v>
      </c>
    </row>
    <row r="160" spans="1:3" ht="12" customHeight="1" x14ac:dyDescent="0.3">
      <c r="A160" s="428" t="s">
        <v>181</v>
      </c>
      <c r="B160" s="428" t="s">
        <v>1583</v>
      </c>
      <c r="C160" s="251" t="e">
        <f>'Сводный расчет стоимости'!#REF!</f>
        <v>#REF!</v>
      </c>
    </row>
    <row r="161" spans="1:15" ht="26.25" customHeight="1" x14ac:dyDescent="0.3">
      <c r="A161" s="428" t="s">
        <v>182</v>
      </c>
      <c r="B161" s="428" t="s">
        <v>618</v>
      </c>
      <c r="C161" s="251" t="e">
        <f>'Сводный расчет стоимости'!#REF!</f>
        <v>#REF!</v>
      </c>
    </row>
    <row r="162" spans="1:15" ht="12" customHeight="1" x14ac:dyDescent="0.3">
      <c r="A162" s="428" t="s">
        <v>183</v>
      </c>
      <c r="B162" s="595" t="s">
        <v>1582</v>
      </c>
      <c r="C162" s="251" t="e">
        <f>'Сводный расчет стоимости'!#REF!</f>
        <v>#REF!</v>
      </c>
    </row>
    <row r="163" spans="1:15" ht="12" customHeight="1" x14ac:dyDescent="0.3">
      <c r="A163" s="428" t="s">
        <v>184</v>
      </c>
      <c r="B163" s="596" t="s">
        <v>1557</v>
      </c>
      <c r="C163" s="251" t="e">
        <f>'Сводный расчет стоимости'!#REF!</f>
        <v>#REF!</v>
      </c>
    </row>
    <row r="164" spans="1:15" ht="12" customHeight="1" x14ac:dyDescent="0.3">
      <c r="A164" s="428" t="s">
        <v>505</v>
      </c>
      <c r="B164" s="596" t="s">
        <v>144</v>
      </c>
      <c r="C164" s="251" t="e">
        <f>'Сводный расчет стоимости'!#REF!</f>
        <v>#REF!</v>
      </c>
    </row>
    <row r="165" spans="1:15" ht="12" customHeight="1" x14ac:dyDescent="0.3">
      <c r="A165" s="428" t="s">
        <v>771</v>
      </c>
      <c r="B165" s="595" t="s">
        <v>620</v>
      </c>
      <c r="C165" s="251" t="e">
        <f>'Сводный расчет стоимости'!#REF!</f>
        <v>#REF!</v>
      </c>
    </row>
    <row r="166" spans="1:15" ht="26.25" customHeight="1" x14ac:dyDescent="0.3">
      <c r="A166" s="428" t="s">
        <v>1690</v>
      </c>
      <c r="B166" s="428" t="s">
        <v>621</v>
      </c>
      <c r="C166" s="251" t="e">
        <f>'Сводный расчет стоимости'!#REF!</f>
        <v>#REF!</v>
      </c>
    </row>
    <row r="167" spans="1:15" ht="12" customHeight="1" x14ac:dyDescent="0.3">
      <c r="A167" s="428" t="s">
        <v>1691</v>
      </c>
      <c r="B167" s="428" t="s">
        <v>619</v>
      </c>
      <c r="C167" s="251" t="e">
        <f>'Сводный расчет стоимости'!#REF!</f>
        <v>#REF!</v>
      </c>
    </row>
    <row r="168" spans="1:15" ht="12" customHeight="1" x14ac:dyDescent="0.3">
      <c r="A168" s="428" t="s">
        <v>1692</v>
      </c>
      <c r="B168" s="428" t="s">
        <v>617</v>
      </c>
      <c r="C168" s="251" t="e">
        <f>'Сводный расчет стоимости'!#REF!</f>
        <v>#REF!</v>
      </c>
    </row>
    <row r="169" spans="1:15" x14ac:dyDescent="0.25">
      <c r="A169" s="1095" t="s">
        <v>242</v>
      </c>
      <c r="B169" s="1095"/>
      <c r="C169" s="429"/>
    </row>
    <row r="170" spans="1:15" ht="13.8" x14ac:dyDescent="0.3">
      <c r="A170" s="424" t="s">
        <v>243</v>
      </c>
      <c r="B170" s="253" t="str">
        <f>'Сводный расчет стоимости'!C230</f>
        <v>Прием (осмотр, консультация) врача-рентгенолога первичный</v>
      </c>
      <c r="C170" s="251" t="e">
        <f>'Сводный расчет стоимости'!#REF!</f>
        <v>#REF!</v>
      </c>
      <c r="E170" s="246"/>
      <c r="F170" s="1108"/>
      <c r="G170" s="1108"/>
      <c r="H170" s="1108"/>
      <c r="I170" s="1108"/>
      <c r="J170" s="1108"/>
      <c r="K170" s="1108"/>
      <c r="L170" s="1108"/>
      <c r="M170" s="1108"/>
      <c r="N170" s="1108"/>
      <c r="O170" s="1108"/>
    </row>
    <row r="171" spans="1:15" ht="13.8" x14ac:dyDescent="0.3">
      <c r="A171" s="424" t="s">
        <v>245</v>
      </c>
      <c r="B171" s="253" t="str">
        <f>'Сводный расчет стоимости'!C232</f>
        <v>Рентгенография  бедренной кости</v>
      </c>
      <c r="C171" s="251" t="e">
        <f>'Сводный расчет стоимости'!#REF!</f>
        <v>#REF!</v>
      </c>
      <c r="E171" s="246"/>
      <c r="F171" s="598"/>
      <c r="G171" s="598"/>
      <c r="H171" s="598"/>
      <c r="I171" s="598"/>
      <c r="J171" s="598"/>
      <c r="K171" s="598"/>
      <c r="L171" s="598"/>
      <c r="M171" s="246"/>
      <c r="N171" s="246"/>
      <c r="O171" s="246"/>
    </row>
    <row r="172" spans="1:15" ht="13.8" x14ac:dyDescent="0.3">
      <c r="A172" s="424" t="s">
        <v>1120</v>
      </c>
      <c r="B172" s="253" t="str">
        <f>'Сводный расчет стоимости'!C233</f>
        <v>Рентгенография  большой берцовой  и малой берцовой костей</v>
      </c>
      <c r="C172" s="251" t="e">
        <f>'Сводный расчет стоимости'!#REF!</f>
        <v>#REF!</v>
      </c>
      <c r="E172" s="246"/>
      <c r="F172" s="598"/>
      <c r="G172" s="598"/>
      <c r="H172" s="598"/>
      <c r="I172" s="598"/>
      <c r="J172" s="598"/>
      <c r="K172" s="598"/>
      <c r="L172" s="598"/>
      <c r="M172" s="246"/>
      <c r="N172" s="246"/>
      <c r="O172" s="246"/>
    </row>
    <row r="173" spans="1:15" ht="13.8" x14ac:dyDescent="0.3">
      <c r="A173" s="424" t="s">
        <v>1121</v>
      </c>
      <c r="B173" s="253" t="e">
        <f>'Сводный расчет стоимости'!#REF!</f>
        <v>#REF!</v>
      </c>
      <c r="C173" s="251" t="e">
        <f>'Сводный расчет стоимости'!#REF!</f>
        <v>#REF!</v>
      </c>
      <c r="E173" s="246"/>
      <c r="F173" s="598"/>
      <c r="G173" s="598"/>
      <c r="H173" s="598"/>
      <c r="I173" s="598"/>
      <c r="J173" s="598"/>
      <c r="K173" s="598"/>
      <c r="L173" s="598"/>
      <c r="M173" s="246"/>
      <c r="N173" s="246"/>
      <c r="O173" s="246"/>
    </row>
    <row r="174" spans="1:15" ht="13.8" x14ac:dyDescent="0.3">
      <c r="A174" s="424" t="s">
        <v>246</v>
      </c>
      <c r="B174" s="253" t="str">
        <f>'Сводный расчет стоимости'!C234</f>
        <v>Рентгенография  всего таза</v>
      </c>
      <c r="C174" s="251" t="e">
        <f>'Сводный расчет стоимости'!#REF!</f>
        <v>#REF!</v>
      </c>
      <c r="E174" s="246"/>
      <c r="F174" s="598"/>
      <c r="G174" s="598"/>
      <c r="H174" s="598"/>
      <c r="I174" s="598"/>
      <c r="J174" s="598"/>
      <c r="K174" s="598"/>
      <c r="L174" s="598"/>
      <c r="M174" s="246"/>
      <c r="N174" s="246"/>
      <c r="O174" s="246"/>
    </row>
    <row r="175" spans="1:15" ht="13.8" x14ac:dyDescent="0.3">
      <c r="A175" s="424" t="s">
        <v>247</v>
      </c>
      <c r="B175" s="253" t="str">
        <f>'Сводный расчет стоимости'!C235</f>
        <v>Рентгенография  всего черепа,в одной и более проекциях</v>
      </c>
      <c r="C175" s="251" t="e">
        <f>'Сводный расчет стоимости'!#REF!</f>
        <v>#REF!</v>
      </c>
      <c r="E175" s="246"/>
      <c r="F175" s="598"/>
      <c r="G175" s="598"/>
      <c r="H175" s="598"/>
      <c r="I175" s="598"/>
      <c r="J175" s="598"/>
      <c r="K175" s="598"/>
      <c r="L175" s="598"/>
      <c r="M175" s="246"/>
      <c r="N175" s="246"/>
      <c r="O175" s="246"/>
    </row>
    <row r="176" spans="1:15" ht="13.8" x14ac:dyDescent="0.3">
      <c r="A176" s="424" t="s">
        <v>249</v>
      </c>
      <c r="B176" s="253" t="str">
        <f>'Сводный расчет стоимости'!C236</f>
        <v>Рентгенография  гайморовой пазухи</v>
      </c>
      <c r="C176" s="251" t="e">
        <f>'Сводный расчет стоимости'!#REF!</f>
        <v>#REF!</v>
      </c>
      <c r="E176" s="246"/>
      <c r="F176" s="598"/>
      <c r="G176" s="598"/>
      <c r="H176" s="598"/>
      <c r="I176" s="598"/>
      <c r="J176" s="598"/>
      <c r="K176" s="598"/>
      <c r="L176" s="598"/>
      <c r="M176" s="246"/>
      <c r="N176" s="246"/>
      <c r="O176" s="246"/>
    </row>
    <row r="177" spans="1:15" ht="13.8" x14ac:dyDescent="0.3">
      <c r="A177" s="424" t="s">
        <v>250</v>
      </c>
      <c r="B177" s="253" t="str">
        <f>'Сводный расчет стоимости'!C237</f>
        <v xml:space="preserve">Рентгенография  голеностопного сустава </v>
      </c>
      <c r="C177" s="251" t="e">
        <f>'Сводный расчет стоимости'!#REF!</f>
        <v>#REF!</v>
      </c>
      <c r="E177" s="246"/>
      <c r="F177" s="598"/>
      <c r="G177" s="598"/>
      <c r="H177" s="598"/>
      <c r="I177" s="598"/>
      <c r="J177" s="598"/>
      <c r="K177" s="598"/>
      <c r="L177" s="598"/>
      <c r="M177" s="246"/>
      <c r="N177" s="246"/>
      <c r="O177" s="246"/>
    </row>
    <row r="178" spans="1:15" ht="13.8" x14ac:dyDescent="0.3">
      <c r="A178" s="424" t="s">
        <v>251</v>
      </c>
      <c r="B178" s="253" t="e">
        <f>'Сводный расчет стоимости'!#REF!</f>
        <v>#REF!</v>
      </c>
      <c r="C178" s="251" t="e">
        <f>'Сводный расчет стоимости'!#REF!</f>
        <v>#REF!</v>
      </c>
      <c r="E178" s="246"/>
      <c r="F178" s="598"/>
      <c r="G178" s="598"/>
      <c r="H178" s="598"/>
      <c r="I178" s="598"/>
      <c r="J178" s="598"/>
      <c r="K178" s="598"/>
      <c r="L178" s="598"/>
      <c r="M178" s="246"/>
      <c r="N178" s="246"/>
      <c r="O178" s="246"/>
    </row>
    <row r="179" spans="1:15" ht="13.8" x14ac:dyDescent="0.3">
      <c r="A179" s="424" t="s">
        <v>252</v>
      </c>
      <c r="B179" s="253" t="e">
        <f>'Сводный расчет стоимости'!#REF!</f>
        <v>#REF!</v>
      </c>
      <c r="C179" s="251" t="e">
        <f>'Сводный расчет стоимости'!#REF!</f>
        <v>#REF!</v>
      </c>
      <c r="E179" s="246"/>
      <c r="F179" s="598"/>
      <c r="G179" s="598"/>
      <c r="H179" s="598"/>
      <c r="I179" s="598"/>
      <c r="J179" s="598"/>
      <c r="K179" s="598"/>
      <c r="L179" s="598"/>
      <c r="M179" s="246"/>
      <c r="N179" s="246"/>
      <c r="O179" s="246"/>
    </row>
    <row r="180" spans="1:15" ht="13.8" x14ac:dyDescent="0.3">
      <c r="A180" s="424" t="s">
        <v>253</v>
      </c>
      <c r="B180" s="253" t="e">
        <f>'Сводный расчет стоимости'!#REF!</f>
        <v>#REF!</v>
      </c>
      <c r="C180" s="251" t="e">
        <f>'Сводный расчет стоимости'!#REF!</f>
        <v>#REF!</v>
      </c>
      <c r="E180" s="246"/>
      <c r="F180" s="598"/>
      <c r="G180" s="598"/>
      <c r="H180" s="598"/>
      <c r="I180" s="598"/>
      <c r="J180" s="598"/>
      <c r="K180" s="598"/>
      <c r="L180" s="598"/>
      <c r="M180" s="246"/>
      <c r="N180" s="246"/>
      <c r="O180" s="246"/>
    </row>
    <row r="181" spans="1:15" ht="13.8" x14ac:dyDescent="0.3">
      <c r="A181" s="424" t="s">
        <v>254</v>
      </c>
      <c r="B181" s="253" t="str">
        <f>'Сводный расчет стоимости'!C238</f>
        <v>Рентгенография  крестца и копчика</v>
      </c>
      <c r="C181" s="251" t="e">
        <f>'Сводный расчет стоимости'!#REF!</f>
        <v>#REF!</v>
      </c>
      <c r="E181" s="246"/>
      <c r="F181" s="598"/>
      <c r="G181" s="598"/>
      <c r="H181" s="598"/>
      <c r="I181" s="598"/>
      <c r="J181" s="598"/>
      <c r="K181" s="598"/>
      <c r="L181" s="598"/>
      <c r="M181" s="246"/>
      <c r="N181" s="246"/>
      <c r="O181" s="246"/>
    </row>
    <row r="182" spans="1:15" ht="13.8" x14ac:dyDescent="0.3">
      <c r="A182" s="424" t="s">
        <v>255</v>
      </c>
      <c r="B182" s="253" t="str">
        <f>'Сводный расчет стоимости'!C239</f>
        <v>Рентгенография  лодыжки</v>
      </c>
      <c r="C182" s="251" t="e">
        <f>'Сводный расчет стоимости'!#REF!</f>
        <v>#REF!</v>
      </c>
      <c r="E182" s="246"/>
      <c r="F182" s="598"/>
      <c r="G182" s="598"/>
      <c r="H182" s="598"/>
      <c r="I182" s="598"/>
      <c r="J182" s="598"/>
      <c r="K182" s="598"/>
      <c r="L182" s="598"/>
      <c r="M182" s="246"/>
      <c r="N182" s="246"/>
      <c r="O182" s="246"/>
    </row>
    <row r="183" spans="1:15" ht="13.8" x14ac:dyDescent="0.3">
      <c r="A183" s="424" t="s">
        <v>256</v>
      </c>
      <c r="B183" s="253" t="e">
        <f>'Сводный расчет стоимости'!#REF!</f>
        <v>#REF!</v>
      </c>
      <c r="C183" s="251" t="e">
        <f>'Сводный расчет стоимости'!#REF!</f>
        <v>#REF!</v>
      </c>
      <c r="E183" s="246"/>
      <c r="F183" s="598"/>
      <c r="G183" s="598"/>
      <c r="H183" s="598"/>
      <c r="I183" s="598"/>
      <c r="J183" s="598"/>
      <c r="K183" s="598"/>
      <c r="L183" s="598"/>
      <c r="M183" s="246"/>
      <c r="N183" s="246"/>
      <c r="O183" s="246"/>
    </row>
    <row r="184" spans="1:15" ht="13.8" x14ac:dyDescent="0.3">
      <c r="A184" s="424" t="s">
        <v>257</v>
      </c>
      <c r="B184" s="253" t="e">
        <f>'Сводный расчет стоимости'!#REF!</f>
        <v>#REF!</v>
      </c>
      <c r="C184" s="251" t="e">
        <f>'Сводный расчет стоимости'!#REF!</f>
        <v>#REF!</v>
      </c>
      <c r="E184" s="246"/>
      <c r="F184" s="598"/>
      <c r="G184" s="598"/>
      <c r="H184" s="598"/>
      <c r="I184" s="598"/>
      <c r="J184" s="598"/>
      <c r="K184" s="598"/>
      <c r="L184" s="598"/>
      <c r="M184" s="246"/>
      <c r="N184" s="246"/>
      <c r="O184" s="246"/>
    </row>
    <row r="185" spans="1:15" ht="13.8" x14ac:dyDescent="0.3">
      <c r="A185" s="424" t="s">
        <v>258</v>
      </c>
      <c r="B185" s="253" t="e">
        <f>'Сводный расчет стоимости'!#REF!</f>
        <v>#REF!</v>
      </c>
      <c r="C185" s="251" t="e">
        <f>'Сводный расчет стоимости'!#REF!</f>
        <v>#REF!</v>
      </c>
      <c r="E185" s="246"/>
      <c r="F185" s="598"/>
      <c r="G185" s="598"/>
      <c r="H185" s="598"/>
      <c r="I185" s="598"/>
      <c r="J185" s="598"/>
      <c r="K185" s="598"/>
      <c r="L185" s="598"/>
      <c r="M185" s="246"/>
      <c r="N185" s="246"/>
      <c r="O185" s="246"/>
    </row>
    <row r="186" spans="1:15" ht="13.8" x14ac:dyDescent="0.3">
      <c r="A186" s="424" t="s">
        <v>259</v>
      </c>
      <c r="B186" s="253" t="str">
        <f>'Сводный расчет стоимости'!C240</f>
        <v>Рентгенография верхней челюсти в косой проекции</v>
      </c>
      <c r="C186" s="251" t="e">
        <f>'Сводный расчет стоимости'!#REF!</f>
        <v>#REF!</v>
      </c>
      <c r="E186" s="246"/>
      <c r="F186" s="598"/>
      <c r="G186" s="598"/>
      <c r="H186" s="598"/>
      <c r="I186" s="598"/>
      <c r="J186" s="598"/>
      <c r="K186" s="598"/>
      <c r="L186" s="598"/>
      <c r="M186" s="246"/>
      <c r="N186" s="246"/>
      <c r="O186" s="246"/>
    </row>
    <row r="187" spans="1:15" ht="13.8" x14ac:dyDescent="0.3">
      <c r="A187" s="424" t="s">
        <v>260</v>
      </c>
      <c r="B187" s="253" t="e">
        <f>'Сводный расчет стоимости'!#REF!</f>
        <v>#REF!</v>
      </c>
      <c r="C187" s="251" t="e">
        <f>'Сводный расчет стоимости'!#REF!</f>
        <v>#REF!</v>
      </c>
      <c r="E187" s="246"/>
      <c r="F187" s="598"/>
      <c r="G187" s="598"/>
      <c r="H187" s="598"/>
      <c r="I187" s="598"/>
      <c r="J187" s="598"/>
      <c r="K187" s="598"/>
      <c r="L187" s="598"/>
      <c r="M187" s="246"/>
      <c r="N187" s="246"/>
      <c r="O187" s="246"/>
    </row>
    <row r="188" spans="1:15" ht="13.8" x14ac:dyDescent="0.3">
      <c r="A188" s="424" t="s">
        <v>262</v>
      </c>
      <c r="B188" s="253" t="e">
        <f>'Сводный расчет стоимости'!#REF!</f>
        <v>#REF!</v>
      </c>
      <c r="C188" s="251" t="e">
        <f>'Сводный расчет стоимости'!#REF!</f>
        <v>#REF!</v>
      </c>
      <c r="E188" s="246"/>
      <c r="F188" s="598"/>
      <c r="G188" s="598"/>
      <c r="H188" s="598"/>
      <c r="I188" s="598"/>
      <c r="J188" s="598"/>
      <c r="K188" s="598"/>
      <c r="L188" s="598"/>
      <c r="M188" s="246"/>
      <c r="N188" s="246"/>
      <c r="O188" s="246"/>
    </row>
    <row r="189" spans="1:15" ht="13.8" x14ac:dyDescent="0.3">
      <c r="A189" s="424" t="s">
        <v>263</v>
      </c>
      <c r="B189" s="253" t="e">
        <f>'Сводный расчет стоимости'!#REF!</f>
        <v>#REF!</v>
      </c>
      <c r="C189" s="251" t="e">
        <f>'Сводный расчет стоимости'!#REF!</f>
        <v>#REF!</v>
      </c>
      <c r="E189" s="246"/>
      <c r="F189" s="598"/>
      <c r="G189" s="598"/>
      <c r="H189" s="598"/>
      <c r="I189" s="598"/>
      <c r="J189" s="598"/>
      <c r="K189" s="598"/>
      <c r="L189" s="598"/>
      <c r="M189" s="246"/>
      <c r="N189" s="246"/>
      <c r="O189" s="246"/>
    </row>
    <row r="190" spans="1:15" ht="13.8" x14ac:dyDescent="0.3">
      <c r="A190" s="424" t="s">
        <v>1122</v>
      </c>
      <c r="B190" s="253" t="str">
        <f>'Сводный расчет стоимости'!C241</f>
        <v>Рентгенография  плечевой кости</v>
      </c>
      <c r="C190" s="251" t="e">
        <f>'Сводный расчет стоимости'!#REF!</f>
        <v>#REF!</v>
      </c>
      <c r="E190" s="246"/>
      <c r="F190" s="598"/>
      <c r="G190" s="598"/>
      <c r="H190" s="598"/>
      <c r="I190" s="598"/>
      <c r="J190" s="598"/>
      <c r="K190" s="598"/>
      <c r="L190" s="598"/>
      <c r="M190" s="246"/>
      <c r="N190" s="246"/>
      <c r="O190" s="246"/>
    </row>
    <row r="191" spans="1:15" ht="13.8" x14ac:dyDescent="0.3">
      <c r="A191" s="424" t="s">
        <v>264</v>
      </c>
      <c r="B191" s="253" t="e">
        <f>'Сводный расчет стоимости'!#REF!</f>
        <v>#REF!</v>
      </c>
      <c r="C191" s="251" t="e">
        <f>'Сводный расчет стоимости'!#REF!</f>
        <v>#REF!</v>
      </c>
      <c r="E191" s="246"/>
      <c r="F191" s="598"/>
      <c r="G191" s="598"/>
      <c r="H191" s="598"/>
      <c r="I191" s="598"/>
      <c r="J191" s="598"/>
      <c r="K191" s="598"/>
      <c r="L191" s="598"/>
      <c r="M191" s="246"/>
      <c r="N191" s="246"/>
      <c r="O191" s="246"/>
    </row>
    <row r="192" spans="1:15" ht="13.8" x14ac:dyDescent="0.3">
      <c r="A192" s="424" t="s">
        <v>265</v>
      </c>
      <c r="B192" s="253" t="str">
        <f>'Сводный расчет стоимости'!C242</f>
        <v>Рентгенография грудины</v>
      </c>
      <c r="C192" s="251" t="e">
        <f>'Сводный расчет стоимости'!#REF!</f>
        <v>#REF!</v>
      </c>
      <c r="E192" s="246"/>
      <c r="F192" s="598"/>
      <c r="G192" s="598"/>
      <c r="H192" s="598"/>
      <c r="I192" s="598"/>
      <c r="J192" s="598"/>
      <c r="K192" s="598"/>
      <c r="L192" s="598"/>
      <c r="M192" s="246"/>
      <c r="N192" s="246"/>
      <c r="O192" s="246"/>
    </row>
    <row r="193" spans="1:15" ht="13.8" x14ac:dyDescent="0.3">
      <c r="A193" s="424" t="s">
        <v>266</v>
      </c>
      <c r="B193" s="253" t="e">
        <f>'Сводный расчет стоимости'!#REF!</f>
        <v>#REF!</v>
      </c>
      <c r="C193" s="251" t="e">
        <f>'Сводный расчет стоимости'!#REF!</f>
        <v>#REF!</v>
      </c>
      <c r="E193" s="246"/>
      <c r="F193" s="598"/>
      <c r="G193" s="598"/>
      <c r="H193" s="598"/>
      <c r="I193" s="598"/>
      <c r="J193" s="598"/>
      <c r="K193" s="598"/>
      <c r="L193" s="598"/>
      <c r="M193" s="246"/>
      <c r="N193" s="246"/>
      <c r="O193" s="246"/>
    </row>
    <row r="194" spans="1:15" ht="13.8" x14ac:dyDescent="0.3">
      <c r="A194" s="424" t="s">
        <v>267</v>
      </c>
      <c r="B194" s="253" t="str">
        <f>'Сводный расчет стоимости'!C243</f>
        <v>Рентгенография  шейного отдела позвоночника</v>
      </c>
      <c r="C194" s="251" t="e">
        <f>'Сводный расчет стоимости'!#REF!</f>
        <v>#REF!</v>
      </c>
      <c r="E194" s="246"/>
      <c r="F194" s="598"/>
      <c r="G194" s="598"/>
      <c r="H194" s="598"/>
      <c r="I194" s="598"/>
      <c r="J194" s="598"/>
      <c r="K194" s="598"/>
      <c r="L194" s="598"/>
      <c r="M194" s="246"/>
      <c r="N194" s="246"/>
      <c r="O194" s="246"/>
    </row>
    <row r="195" spans="1:15" ht="13.8" x14ac:dyDescent="0.3">
      <c r="A195" s="424" t="s">
        <v>268</v>
      </c>
      <c r="B195" s="253" t="e">
        <f>'Сводный расчет стоимости'!#REF!</f>
        <v>#REF!</v>
      </c>
      <c r="C195" s="251" t="e">
        <f>'Сводный расчет стоимости'!#REF!</f>
        <v>#REF!</v>
      </c>
      <c r="E195" s="246"/>
      <c r="F195" s="598"/>
      <c r="G195" s="598"/>
      <c r="H195" s="598"/>
      <c r="I195" s="598"/>
      <c r="J195" s="598"/>
      <c r="K195" s="598"/>
      <c r="L195" s="598"/>
      <c r="M195" s="246"/>
      <c r="N195" s="246"/>
      <c r="O195" s="246"/>
    </row>
    <row r="196" spans="1:15" ht="13.8" x14ac:dyDescent="0.3">
      <c r="A196" s="424" t="s">
        <v>269</v>
      </c>
      <c r="B196" s="253" t="str">
        <f>'Сводный расчет стоимости'!C244</f>
        <v>Рентгенография кисти</v>
      </c>
      <c r="C196" s="251" t="e">
        <f>'Сводный расчет стоимости'!#REF!</f>
        <v>#REF!</v>
      </c>
      <c r="E196" s="246"/>
      <c r="F196" s="598"/>
      <c r="G196" s="598"/>
      <c r="H196" s="598"/>
      <c r="I196" s="598"/>
      <c r="J196" s="598"/>
      <c r="K196" s="598"/>
      <c r="L196" s="598"/>
      <c r="M196" s="246"/>
      <c r="N196" s="246"/>
      <c r="O196" s="246"/>
    </row>
    <row r="197" spans="1:15" ht="13.8" x14ac:dyDescent="0.3">
      <c r="A197" s="424" t="s">
        <v>270</v>
      </c>
      <c r="B197" s="253" t="str">
        <f>'Сводный расчет стоимости'!C245</f>
        <v>Рентгенография ключицы</v>
      </c>
      <c r="C197" s="251" t="e">
        <f>'Сводный расчет стоимости'!#REF!</f>
        <v>#REF!</v>
      </c>
      <c r="E197" s="246"/>
      <c r="F197" s="598"/>
      <c r="G197" s="598"/>
      <c r="H197" s="598"/>
      <c r="I197" s="598"/>
      <c r="J197" s="598"/>
      <c r="K197" s="598"/>
      <c r="L197" s="598"/>
      <c r="M197" s="246"/>
      <c r="N197" s="246"/>
      <c r="O197" s="246"/>
    </row>
    <row r="198" spans="1:15" ht="13.8" x14ac:dyDescent="0.3">
      <c r="A198" s="424" t="s">
        <v>271</v>
      </c>
      <c r="B198" s="253" t="str">
        <f>'Сводный расчет стоимости'!C246</f>
        <v xml:space="preserve">Рентгенография коленного сустава </v>
      </c>
      <c r="C198" s="251" t="e">
        <f>'Сводный расчет стоимости'!#REF!</f>
        <v>#REF!</v>
      </c>
      <c r="E198" s="246"/>
      <c r="F198" s="598"/>
      <c r="G198" s="598"/>
      <c r="H198" s="598"/>
      <c r="I198" s="598"/>
      <c r="J198" s="598"/>
      <c r="K198" s="598"/>
      <c r="L198" s="598"/>
      <c r="M198" s="246"/>
      <c r="N198" s="246"/>
      <c r="O198" s="246"/>
    </row>
    <row r="199" spans="1:15" ht="13.8" x14ac:dyDescent="0.3">
      <c r="A199" s="424" t="s">
        <v>272</v>
      </c>
      <c r="B199" s="253" t="e">
        <f>'Сводный расчет стоимости'!#REF!</f>
        <v>#REF!</v>
      </c>
      <c r="C199" s="251" t="e">
        <f>'Сводный расчет стоимости'!#REF!</f>
        <v>#REF!</v>
      </c>
      <c r="E199" s="246"/>
      <c r="F199" s="598"/>
      <c r="G199" s="598"/>
      <c r="H199" s="598"/>
      <c r="I199" s="598"/>
      <c r="J199" s="598"/>
      <c r="K199" s="598"/>
      <c r="L199" s="598"/>
      <c r="M199" s="246"/>
      <c r="N199" s="246"/>
      <c r="O199" s="246"/>
    </row>
    <row r="200" spans="1:15" ht="13.8" x14ac:dyDescent="0.3">
      <c r="A200" s="424" t="s">
        <v>273</v>
      </c>
      <c r="B200" s="253" t="e">
        <f>'Сводный расчет стоимости'!#REF!</f>
        <v>#REF!</v>
      </c>
      <c r="C200" s="251" t="e">
        <f>'Сводный расчет стоимости'!#REF!</f>
        <v>#REF!</v>
      </c>
      <c r="E200" s="246"/>
      <c r="F200" s="598"/>
      <c r="G200" s="598"/>
      <c r="H200" s="598"/>
      <c r="I200" s="598"/>
      <c r="J200" s="598"/>
      <c r="K200" s="598"/>
      <c r="L200" s="598"/>
      <c r="M200" s="246"/>
      <c r="N200" s="246"/>
      <c r="O200" s="246"/>
    </row>
    <row r="201" spans="1:15" ht="13.8" x14ac:dyDescent="0.3">
      <c r="A201" s="424" t="s">
        <v>275</v>
      </c>
      <c r="B201" s="253" t="str">
        <f>'Сводный расчет стоимости'!C247</f>
        <v>Рентгенография легких</v>
      </c>
      <c r="C201" s="251" t="e">
        <f>'Сводный расчет стоимости'!#REF!</f>
        <v>#REF!</v>
      </c>
      <c r="E201" s="246"/>
      <c r="F201" s="598"/>
      <c r="G201" s="598"/>
      <c r="H201" s="598"/>
      <c r="I201" s="598"/>
      <c r="J201" s="598"/>
      <c r="K201" s="598"/>
      <c r="L201" s="598"/>
      <c r="M201" s="246"/>
      <c r="N201" s="246"/>
      <c r="O201" s="246"/>
    </row>
    <row r="202" spans="1:15" ht="13.8" x14ac:dyDescent="0.3">
      <c r="A202" s="424" t="s">
        <v>276</v>
      </c>
      <c r="B202" s="253" t="str">
        <f>'Сводный расчет стоимости'!C248</f>
        <v>Рентгенография локтевого сустава</v>
      </c>
      <c r="C202" s="251" t="e">
        <f>'Сводный расчет стоимости'!#REF!</f>
        <v>#REF!</v>
      </c>
      <c r="E202" s="246"/>
      <c r="F202" s="598"/>
      <c r="G202" s="598"/>
      <c r="H202" s="598"/>
      <c r="I202" s="598"/>
      <c r="J202" s="598"/>
      <c r="K202" s="598"/>
      <c r="L202" s="598"/>
      <c r="M202" s="246"/>
      <c r="N202" s="246"/>
      <c r="O202" s="246"/>
    </row>
    <row r="203" spans="1:15" ht="13.8" x14ac:dyDescent="0.3">
      <c r="A203" s="424" t="s">
        <v>278</v>
      </c>
      <c r="B203" s="253" t="e">
        <f>'Сводный расчет стоимости'!#REF!</f>
        <v>#REF!</v>
      </c>
      <c r="C203" s="251" t="e">
        <f>'Сводный расчет стоимости'!#REF!</f>
        <v>#REF!</v>
      </c>
      <c r="E203" s="246"/>
      <c r="F203" s="598"/>
      <c r="G203" s="598"/>
      <c r="H203" s="598"/>
      <c r="I203" s="598"/>
      <c r="J203" s="598"/>
      <c r="K203" s="598"/>
      <c r="L203" s="598"/>
      <c r="M203" s="246"/>
      <c r="N203" s="246"/>
      <c r="O203" s="246"/>
    </row>
    <row r="204" spans="1:15" ht="13.8" x14ac:dyDescent="0.3">
      <c r="A204" s="424" t="s">
        <v>639</v>
      </c>
      <c r="B204" s="253" t="str">
        <f>'Сводный расчет стоимости'!C249</f>
        <v>Рентгенография лопатки</v>
      </c>
      <c r="C204" s="251" t="e">
        <f>'Сводный расчет стоимости'!#REF!</f>
        <v>#REF!</v>
      </c>
      <c r="E204" s="246"/>
      <c r="F204" s="598"/>
      <c r="G204" s="598"/>
      <c r="H204" s="598"/>
      <c r="I204" s="598"/>
      <c r="J204" s="598"/>
      <c r="K204" s="598"/>
      <c r="L204" s="598"/>
      <c r="M204" s="246"/>
      <c r="N204" s="246"/>
      <c r="O204" s="246"/>
    </row>
    <row r="205" spans="1:15" ht="13.8" x14ac:dyDescent="0.3">
      <c r="A205" s="424" t="s">
        <v>640</v>
      </c>
      <c r="B205" s="253" t="str">
        <f>'Сводный расчет стоимости'!C250</f>
        <v>Рентгенография лучезапястного сустава</v>
      </c>
      <c r="C205" s="251" t="e">
        <f>'Сводный расчет стоимости'!#REF!</f>
        <v>#REF!</v>
      </c>
      <c r="E205" s="246"/>
      <c r="F205" s="598"/>
      <c r="G205" s="598"/>
      <c r="H205" s="598"/>
      <c r="I205" s="598"/>
      <c r="J205" s="598"/>
      <c r="K205" s="598"/>
      <c r="L205" s="598"/>
      <c r="M205" s="246"/>
      <c r="N205" s="246"/>
      <c r="O205" s="246"/>
    </row>
    <row r="206" spans="1:15" ht="13.8" x14ac:dyDescent="0.3">
      <c r="A206" s="424" t="s">
        <v>641</v>
      </c>
      <c r="B206" s="253" t="e">
        <f>'Сводный расчет стоимости'!#REF!</f>
        <v>#REF!</v>
      </c>
      <c r="C206" s="251" t="e">
        <f>'Сводный расчет стоимости'!#REF!</f>
        <v>#REF!</v>
      </c>
      <c r="E206" s="246"/>
      <c r="F206" s="598"/>
      <c r="G206" s="598"/>
      <c r="H206" s="598"/>
      <c r="I206" s="598"/>
      <c r="J206" s="598"/>
      <c r="K206" s="598"/>
      <c r="L206" s="598"/>
      <c r="M206" s="246"/>
      <c r="N206" s="246"/>
      <c r="O206" s="246"/>
    </row>
    <row r="207" spans="1:15" ht="13.8" x14ac:dyDescent="0.3">
      <c r="A207" s="424" t="s">
        <v>642</v>
      </c>
      <c r="B207" s="253" t="e">
        <f>'Сводный расчет стоимости'!#REF!</f>
        <v>#REF!</v>
      </c>
      <c r="C207" s="251" t="e">
        <f>'Сводный расчет стоимости'!#REF!</f>
        <v>#REF!</v>
      </c>
      <c r="E207" s="246"/>
      <c r="F207" s="598"/>
      <c r="G207" s="598"/>
      <c r="H207" s="598"/>
      <c r="I207" s="598"/>
      <c r="J207" s="598"/>
      <c r="K207" s="598"/>
      <c r="L207" s="598"/>
      <c r="M207" s="246"/>
      <c r="N207" s="246"/>
      <c r="O207" s="246"/>
    </row>
    <row r="208" spans="1:15" ht="13.8" x14ac:dyDescent="0.3">
      <c r="A208" s="424" t="s">
        <v>643</v>
      </c>
      <c r="B208" s="253" t="e">
        <f>'Сводный расчет стоимости'!#REF!</f>
        <v>#REF!</v>
      </c>
      <c r="C208" s="251" t="e">
        <f>'Сводный расчет стоимости'!#REF!</f>
        <v>#REF!</v>
      </c>
      <c r="E208" s="246"/>
      <c r="F208" s="598"/>
      <c r="G208" s="598"/>
      <c r="H208" s="598"/>
      <c r="I208" s="598"/>
      <c r="J208" s="598"/>
      <c r="K208" s="598"/>
      <c r="L208" s="598"/>
      <c r="M208" s="246"/>
      <c r="N208" s="246"/>
      <c r="O208" s="246"/>
    </row>
    <row r="209" spans="1:15" ht="13.8" x14ac:dyDescent="0.3">
      <c r="A209" s="424" t="s">
        <v>645</v>
      </c>
      <c r="B209" s="253" t="e">
        <f>'Сводный расчет стоимости'!#REF!</f>
        <v>#REF!</v>
      </c>
      <c r="C209" s="251" t="e">
        <f>'Сводный расчет стоимости'!#REF!</f>
        <v>#REF!</v>
      </c>
      <c r="E209" s="246"/>
      <c r="F209" s="598"/>
      <c r="G209" s="598"/>
      <c r="H209" s="598"/>
      <c r="I209" s="598"/>
      <c r="J209" s="598"/>
      <c r="K209" s="598"/>
      <c r="L209" s="598"/>
      <c r="M209" s="246"/>
      <c r="N209" s="246"/>
      <c r="O209" s="246"/>
    </row>
    <row r="210" spans="1:15" ht="13.8" x14ac:dyDescent="0.3">
      <c r="A210" s="424" t="s">
        <v>646</v>
      </c>
      <c r="B210" s="253" t="e">
        <f>'Сводный расчет стоимости'!#REF!</f>
        <v>#REF!</v>
      </c>
      <c r="C210" s="251" t="e">
        <f>'Сводный расчет стоимости'!#REF!</f>
        <v>#REF!</v>
      </c>
      <c r="E210" s="246"/>
      <c r="F210" s="598"/>
      <c r="G210" s="598"/>
      <c r="H210" s="598"/>
      <c r="I210" s="598"/>
      <c r="J210" s="598"/>
      <c r="K210" s="598"/>
      <c r="L210" s="598"/>
      <c r="M210" s="246"/>
      <c r="N210" s="246"/>
      <c r="O210" s="246"/>
    </row>
    <row r="211" spans="1:15" ht="13.8" x14ac:dyDescent="0.3">
      <c r="A211" s="424" t="s">
        <v>647</v>
      </c>
      <c r="B211" s="253" t="e">
        <f>'Сводный расчет стоимости'!#REF!</f>
        <v>#REF!</v>
      </c>
      <c r="C211" s="251" t="e">
        <f>'Сводный расчет стоимости'!#REF!</f>
        <v>#REF!</v>
      </c>
      <c r="E211" s="246"/>
      <c r="F211" s="598"/>
      <c r="G211" s="598"/>
      <c r="H211" s="598"/>
      <c r="I211" s="598"/>
      <c r="J211" s="598"/>
      <c r="K211" s="598"/>
      <c r="L211" s="598"/>
      <c r="M211" s="246"/>
      <c r="N211" s="246"/>
      <c r="O211" s="246"/>
    </row>
    <row r="212" spans="1:15" ht="13.8" x14ac:dyDescent="0.3">
      <c r="A212" s="424" t="s">
        <v>648</v>
      </c>
      <c r="B212" s="253" t="e">
        <f>'Сводный расчет стоимости'!#REF!</f>
        <v>#REF!</v>
      </c>
      <c r="C212" s="251" t="e">
        <f>'Сводный расчет стоимости'!#REF!</f>
        <v>#REF!</v>
      </c>
      <c r="E212" s="246"/>
      <c r="F212" s="598"/>
      <c r="G212" s="598"/>
      <c r="H212" s="598"/>
      <c r="I212" s="598"/>
      <c r="J212" s="598"/>
      <c r="K212" s="598"/>
      <c r="L212" s="598"/>
      <c r="M212" s="246"/>
      <c r="N212" s="246"/>
      <c r="O212" s="246"/>
    </row>
    <row r="213" spans="1:15" ht="13.8" x14ac:dyDescent="0.3">
      <c r="A213" s="424" t="s">
        <v>649</v>
      </c>
      <c r="B213" s="253" t="e">
        <f>'Сводный расчет стоимости'!#REF!</f>
        <v>#REF!</v>
      </c>
      <c r="C213" s="251" t="e">
        <f>'Сводный расчет стоимости'!#REF!</f>
        <v>#REF!</v>
      </c>
      <c r="E213" s="246"/>
      <c r="F213" s="598"/>
      <c r="G213" s="598"/>
      <c r="H213" s="598"/>
      <c r="I213" s="598"/>
      <c r="J213" s="598"/>
      <c r="K213" s="598"/>
      <c r="L213" s="598"/>
      <c r="M213" s="246"/>
      <c r="N213" s="246"/>
      <c r="O213" s="246"/>
    </row>
    <row r="214" spans="1:15" ht="13.8" x14ac:dyDescent="0.3">
      <c r="A214" s="424" t="s">
        <v>650</v>
      </c>
      <c r="B214" s="253" t="e">
        <f>'Сводный расчет стоимости'!#REF!</f>
        <v>#REF!</v>
      </c>
      <c r="C214" s="251" t="e">
        <f>'Сводный расчет стоимости'!#REF!</f>
        <v>#REF!</v>
      </c>
      <c r="E214" s="246"/>
      <c r="F214" s="598"/>
      <c r="G214" s="598"/>
      <c r="H214" s="598"/>
      <c r="I214" s="598"/>
      <c r="J214" s="598"/>
      <c r="K214" s="598"/>
      <c r="L214" s="598"/>
      <c r="M214" s="246"/>
      <c r="N214" s="246"/>
      <c r="O214" s="246"/>
    </row>
    <row r="215" spans="1:15" ht="13.8" x14ac:dyDescent="0.3">
      <c r="A215" s="424" t="s">
        <v>651</v>
      </c>
      <c r="B215" s="253" t="str">
        <f>'Сводный расчет стоимости'!C251</f>
        <v>Рентгенография плечевого сустава</v>
      </c>
      <c r="C215" s="251" t="e">
        <f>'Сводный расчет стоимости'!#REF!</f>
        <v>#REF!</v>
      </c>
      <c r="E215" s="246"/>
      <c r="F215" s="598"/>
      <c r="G215" s="598"/>
      <c r="H215" s="598"/>
      <c r="I215" s="598"/>
      <c r="J215" s="598"/>
      <c r="K215" s="598"/>
      <c r="L215" s="598"/>
      <c r="M215" s="246"/>
      <c r="N215" s="246"/>
      <c r="O215" s="246"/>
    </row>
    <row r="216" spans="1:15" ht="13.8" x14ac:dyDescent="0.3">
      <c r="A216" s="424" t="s">
        <v>652</v>
      </c>
      <c r="B216" s="253" t="e">
        <f>'Сводный расчет стоимости'!#REF!</f>
        <v>#REF!</v>
      </c>
      <c r="C216" s="251" t="e">
        <f>'Сводный расчет стоимости'!#REF!</f>
        <v>#REF!</v>
      </c>
      <c r="E216" s="246"/>
      <c r="F216" s="598"/>
      <c r="G216" s="598"/>
      <c r="H216" s="598"/>
      <c r="I216" s="598"/>
      <c r="J216" s="598"/>
      <c r="K216" s="598"/>
      <c r="L216" s="598"/>
      <c r="M216" s="246"/>
      <c r="N216" s="246"/>
      <c r="O216" s="246"/>
    </row>
    <row r="217" spans="1:15" ht="13.8" x14ac:dyDescent="0.3">
      <c r="A217" s="424" t="s">
        <v>653</v>
      </c>
      <c r="B217" s="253" t="e">
        <f>'Сводный расчет стоимости'!#REF!</f>
        <v>#REF!</v>
      </c>
      <c r="C217" s="251" t="e">
        <f>'Сводный расчет стоимости'!#REF!</f>
        <v>#REF!</v>
      </c>
      <c r="E217" s="246"/>
      <c r="F217" s="598"/>
      <c r="G217" s="598"/>
      <c r="H217" s="598"/>
      <c r="I217" s="598"/>
      <c r="J217" s="598"/>
      <c r="K217" s="598"/>
      <c r="L217" s="598"/>
      <c r="M217" s="246"/>
      <c r="N217" s="246"/>
      <c r="O217" s="246"/>
    </row>
    <row r="218" spans="1:15" ht="13.8" x14ac:dyDescent="0.3">
      <c r="A218" s="424" t="s">
        <v>654</v>
      </c>
      <c r="B218" s="253" t="str">
        <f>'Сводный расчет стоимости'!C252</f>
        <v>Рентгенография позвоночника,вертикальная</v>
      </c>
      <c r="C218" s="251" t="e">
        <f>'Сводный расчет стоимости'!#REF!</f>
        <v>#REF!</v>
      </c>
      <c r="E218" s="246"/>
      <c r="F218" s="598"/>
      <c r="G218" s="598"/>
      <c r="H218" s="598"/>
      <c r="I218" s="598"/>
      <c r="J218" s="598"/>
      <c r="K218" s="598"/>
      <c r="L218" s="598"/>
      <c r="M218" s="246"/>
      <c r="N218" s="246"/>
      <c r="O218" s="246"/>
    </row>
    <row r="219" spans="1:15" ht="13.8" x14ac:dyDescent="0.3">
      <c r="A219" s="424" t="s">
        <v>655</v>
      </c>
      <c r="B219" s="253" t="str">
        <f>'Сводный расчет стоимости'!C253</f>
        <v>Рентгенография поясничного и крестцового отдела позвоночника</v>
      </c>
      <c r="C219" s="251" t="e">
        <f>'Сводный расчет стоимости'!#REF!</f>
        <v>#REF!</v>
      </c>
      <c r="E219" s="246"/>
      <c r="F219" s="598"/>
      <c r="G219" s="598"/>
      <c r="H219" s="598"/>
      <c r="I219" s="598"/>
      <c r="J219" s="598"/>
      <c r="K219" s="598"/>
      <c r="L219" s="598"/>
      <c r="M219" s="246"/>
      <c r="N219" s="246"/>
      <c r="O219" s="246"/>
    </row>
    <row r="220" spans="1:15" ht="13.8" x14ac:dyDescent="0.3">
      <c r="A220" s="424" t="s">
        <v>675</v>
      </c>
      <c r="B220" s="253" t="str">
        <f>'Сводный расчет стоимости'!C254</f>
        <v>Рентгенография поясничного отдела позвоночника</v>
      </c>
      <c r="C220" s="251" t="e">
        <f>'Сводный расчет стоимости'!#REF!</f>
        <v>#REF!</v>
      </c>
      <c r="E220" s="246"/>
      <c r="F220" s="598"/>
      <c r="G220" s="598"/>
      <c r="H220" s="598"/>
      <c r="I220" s="598"/>
      <c r="J220" s="598"/>
      <c r="K220" s="598"/>
      <c r="L220" s="598"/>
      <c r="M220" s="246"/>
      <c r="N220" s="246"/>
      <c r="O220" s="246"/>
    </row>
    <row r="221" spans="1:15" ht="13.8" x14ac:dyDescent="0.3">
      <c r="A221" s="424" t="s">
        <v>676</v>
      </c>
      <c r="B221" s="253" t="e">
        <f>'Сводный расчет стоимости'!#REF!</f>
        <v>#REF!</v>
      </c>
      <c r="C221" s="251" t="e">
        <f>'Сводный расчет стоимости'!#REF!</f>
        <v>#REF!</v>
      </c>
      <c r="E221" s="246"/>
      <c r="F221" s="598"/>
      <c r="G221" s="598"/>
      <c r="H221" s="598"/>
      <c r="I221" s="598"/>
      <c r="J221" s="598"/>
      <c r="K221" s="598"/>
      <c r="L221" s="598"/>
      <c r="M221" s="246"/>
      <c r="N221" s="246"/>
      <c r="O221" s="246"/>
    </row>
    <row r="222" spans="1:15" ht="13.8" x14ac:dyDescent="0.3">
      <c r="A222" s="424" t="s">
        <v>677</v>
      </c>
      <c r="B222" s="253" t="e">
        <f>'Сводный расчет стоимости'!#REF!</f>
        <v>#REF!</v>
      </c>
      <c r="C222" s="251" t="e">
        <f>'Сводный расчет стоимости'!#REF!</f>
        <v>#REF!</v>
      </c>
      <c r="E222" s="246"/>
      <c r="F222" s="598"/>
      <c r="G222" s="598"/>
      <c r="H222" s="598"/>
      <c r="I222" s="598"/>
      <c r="J222" s="598"/>
      <c r="K222" s="598"/>
      <c r="L222" s="598"/>
      <c r="M222" s="246"/>
      <c r="N222" s="246"/>
      <c r="O222" s="246"/>
    </row>
    <row r="223" spans="1:15" ht="13.8" x14ac:dyDescent="0.3">
      <c r="A223" s="424" t="s">
        <v>678</v>
      </c>
      <c r="B223" s="253" t="str">
        <f>'Сводный расчет стоимости'!C255</f>
        <v>Рентгенография ребра (ер)</v>
      </c>
      <c r="C223" s="251" t="e">
        <f>'Сводный расчет стоимости'!#REF!</f>
        <v>#REF!</v>
      </c>
      <c r="E223" s="246"/>
      <c r="F223" s="598"/>
      <c r="G223" s="598"/>
      <c r="H223" s="598"/>
      <c r="I223" s="598"/>
      <c r="J223" s="598"/>
      <c r="K223" s="598"/>
      <c r="L223" s="598"/>
      <c r="M223" s="246"/>
      <c r="N223" s="246"/>
      <c r="O223" s="246"/>
    </row>
    <row r="224" spans="1:15" ht="13.8" x14ac:dyDescent="0.3">
      <c r="A224" s="424" t="s">
        <v>679</v>
      </c>
      <c r="B224" s="253" t="str">
        <f>'Сводный расчет стоимости'!C256</f>
        <v>Рентгенография седалищной кости</v>
      </c>
      <c r="C224" s="251" t="e">
        <f>'Сводный расчет стоимости'!#REF!</f>
        <v>#REF!</v>
      </c>
      <c r="E224" s="246"/>
      <c r="F224" s="598"/>
      <c r="G224" s="598"/>
      <c r="H224" s="598"/>
      <c r="I224" s="598"/>
      <c r="J224" s="598"/>
      <c r="K224" s="598"/>
      <c r="L224" s="598"/>
      <c r="M224" s="246"/>
      <c r="N224" s="246"/>
      <c r="O224" s="246"/>
    </row>
    <row r="225" spans="1:15" ht="24" customHeight="1" x14ac:dyDescent="0.3">
      <c r="A225" s="424" t="s">
        <v>680</v>
      </c>
      <c r="B225" s="597" t="e">
        <f>'Сводный расчет стоимости'!#REF!</f>
        <v>#REF!</v>
      </c>
      <c r="C225" s="251" t="e">
        <f>'Сводный расчет стоимости'!#REF!</f>
        <v>#REF!</v>
      </c>
      <c r="E225" s="246"/>
      <c r="F225" s="598"/>
      <c r="G225" s="598"/>
      <c r="H225" s="598"/>
      <c r="I225" s="598"/>
      <c r="J225" s="598"/>
      <c r="K225" s="598"/>
      <c r="L225" s="598"/>
      <c r="M225" s="246"/>
      <c r="N225" s="246"/>
      <c r="O225" s="246"/>
    </row>
    <row r="226" spans="1:15" ht="13.8" x14ac:dyDescent="0.3">
      <c r="A226" s="424" t="s">
        <v>681</v>
      </c>
      <c r="B226" s="253" t="str">
        <f>'Сводный расчет стоимости'!C257</f>
        <v>Рентгенография стопы в одной проекции</v>
      </c>
      <c r="C226" s="251" t="e">
        <f>'Сводный расчет стоимости'!#REF!</f>
        <v>#REF!</v>
      </c>
      <c r="E226" s="246"/>
      <c r="F226" s="598"/>
      <c r="G226" s="598"/>
      <c r="H226" s="598"/>
      <c r="I226" s="598"/>
      <c r="J226" s="598"/>
      <c r="K226" s="598"/>
      <c r="L226" s="598"/>
      <c r="M226" s="246"/>
      <c r="N226" s="246"/>
      <c r="O226" s="246"/>
    </row>
    <row r="227" spans="1:15" ht="13.8" x14ac:dyDescent="0.3">
      <c r="A227" s="424" t="s">
        <v>682</v>
      </c>
      <c r="B227" s="253" t="str">
        <f>'Сводный расчет стоимости'!C258</f>
        <v>Флюорография легких цифровая</v>
      </c>
      <c r="C227" s="251" t="e">
        <f>'Сводный расчет стоимости'!#REF!</f>
        <v>#REF!</v>
      </c>
      <c r="E227" s="246"/>
      <c r="F227" s="598"/>
      <c r="G227" s="598"/>
      <c r="H227" s="598"/>
      <c r="I227" s="598"/>
      <c r="J227" s="598"/>
      <c r="K227" s="598"/>
      <c r="L227" s="598"/>
      <c r="M227" s="246"/>
      <c r="N227" s="246"/>
      <c r="O227" s="246"/>
    </row>
    <row r="228" spans="1:15" x14ac:dyDescent="0.25">
      <c r="A228" s="1095" t="s">
        <v>280</v>
      </c>
      <c r="B228" s="1095"/>
      <c r="E228" s="246"/>
      <c r="F228" s="246"/>
      <c r="G228" s="246"/>
      <c r="H228" s="246"/>
      <c r="I228" s="246"/>
      <c r="J228" s="246"/>
      <c r="K228" s="246"/>
      <c r="L228" s="246"/>
      <c r="M228" s="246"/>
      <c r="N228" s="246"/>
      <c r="O228" s="246"/>
    </row>
    <row r="229" spans="1:15" ht="13.8" x14ac:dyDescent="0.3">
      <c r="A229" s="396" t="s">
        <v>281</v>
      </c>
      <c r="B229" s="248" t="s">
        <v>282</v>
      </c>
      <c r="C229" s="251" t="e">
        <f>'Сводный расчет стоимости'!#REF!</f>
        <v>#REF!</v>
      </c>
      <c r="E229" s="246"/>
      <c r="F229" s="246"/>
      <c r="G229" s="246"/>
      <c r="H229" s="246"/>
      <c r="I229" s="246"/>
      <c r="J229" s="246"/>
      <c r="K229" s="246"/>
      <c r="L229" s="246"/>
      <c r="M229" s="246"/>
      <c r="N229" s="246"/>
      <c r="O229" s="246"/>
    </row>
    <row r="230" spans="1:15" ht="13.8" x14ac:dyDescent="0.3">
      <c r="A230" s="396" t="s">
        <v>283</v>
      </c>
      <c r="B230" s="248" t="s">
        <v>105</v>
      </c>
      <c r="C230" s="251" t="e">
        <f>'Сводный расчет стоимости'!#REF!</f>
        <v>#REF!</v>
      </c>
      <c r="E230" s="246"/>
      <c r="F230" s="246"/>
      <c r="G230" s="246"/>
      <c r="H230" s="246"/>
      <c r="I230" s="246"/>
      <c r="J230" s="246"/>
      <c r="K230" s="246"/>
      <c r="L230" s="246"/>
      <c r="M230" s="246"/>
      <c r="N230" s="246"/>
      <c r="O230" s="246"/>
    </row>
    <row r="231" spans="1:15" ht="13.8" x14ac:dyDescent="0.3">
      <c r="A231" s="396" t="s">
        <v>285</v>
      </c>
      <c r="B231" s="248" t="s">
        <v>107</v>
      </c>
      <c r="C231" s="251" t="e">
        <f>'Сводный расчет стоимости'!#REF!</f>
        <v>#REF!</v>
      </c>
      <c r="E231" s="246"/>
      <c r="F231" s="246"/>
      <c r="G231" s="246"/>
      <c r="H231" s="246"/>
      <c r="I231" s="246"/>
      <c r="J231" s="246"/>
      <c r="K231" s="246"/>
      <c r="L231" s="246"/>
      <c r="M231" s="246"/>
      <c r="N231" s="246"/>
      <c r="O231" s="246"/>
    </row>
    <row r="232" spans="1:15" ht="13.8" x14ac:dyDescent="0.3">
      <c r="A232" s="396" t="s">
        <v>286</v>
      </c>
      <c r="B232" s="248" t="s">
        <v>108</v>
      </c>
      <c r="C232" s="251" t="e">
        <f>'Сводный расчет стоимости'!#REF!</f>
        <v>#REF!</v>
      </c>
      <c r="E232" s="246"/>
      <c r="F232" s="246"/>
      <c r="G232" s="246"/>
      <c r="H232" s="246"/>
      <c r="I232" s="246"/>
      <c r="J232" s="246"/>
      <c r="K232" s="246"/>
      <c r="L232" s="246"/>
      <c r="M232" s="246"/>
      <c r="N232" s="246"/>
      <c r="O232" s="246"/>
    </row>
    <row r="233" spans="1:15" ht="13.8" x14ac:dyDescent="0.3">
      <c r="A233" s="396" t="s">
        <v>287</v>
      </c>
      <c r="B233" s="248" t="s">
        <v>115</v>
      </c>
      <c r="C233" s="251" t="e">
        <f>'Сводный расчет стоимости'!#REF!</f>
        <v>#REF!</v>
      </c>
    </row>
    <row r="234" spans="1:15" ht="27.6" x14ac:dyDescent="0.3">
      <c r="A234" s="396" t="s">
        <v>288</v>
      </c>
      <c r="B234" s="248" t="s">
        <v>284</v>
      </c>
      <c r="C234" s="251" t="e">
        <f>'Сводный расчет стоимости'!#REF!</f>
        <v>#REF!</v>
      </c>
    </row>
    <row r="235" spans="1:15" ht="13.8" x14ac:dyDescent="0.3">
      <c r="A235" s="396" t="s">
        <v>289</v>
      </c>
      <c r="B235" s="248" t="s">
        <v>291</v>
      </c>
      <c r="C235" s="251" t="e">
        <f>'Сводный расчет стоимости'!#REF!</f>
        <v>#REF!</v>
      </c>
    </row>
    <row r="236" spans="1:15" ht="13.8" x14ac:dyDescent="0.3">
      <c r="A236" s="396" t="s">
        <v>290</v>
      </c>
      <c r="B236" s="248" t="s">
        <v>111</v>
      </c>
      <c r="C236" s="251" t="e">
        <f>'Сводный расчет стоимости'!#REF!</f>
        <v>#REF!</v>
      </c>
    </row>
    <row r="237" spans="1:15" ht="13.8" x14ac:dyDescent="0.3">
      <c r="A237" s="396" t="s">
        <v>292</v>
      </c>
      <c r="B237" s="248" t="s">
        <v>1242</v>
      </c>
      <c r="C237" s="251" t="e">
        <f>'Сводный расчет стоимости'!#REF!</f>
        <v>#REF!</v>
      </c>
    </row>
    <row r="238" spans="1:15" ht="13.8" x14ac:dyDescent="0.3">
      <c r="A238" s="396" t="s">
        <v>293</v>
      </c>
      <c r="B238" s="248" t="s">
        <v>106</v>
      </c>
      <c r="C238" s="251" t="e">
        <f>'Сводный расчет стоимости'!#REF!</f>
        <v>#REF!</v>
      </c>
    </row>
    <row r="239" spans="1:15" ht="13.8" x14ac:dyDescent="0.3">
      <c r="A239" s="396" t="s">
        <v>294</v>
      </c>
      <c r="B239" s="248" t="s">
        <v>109</v>
      </c>
      <c r="C239" s="251" t="e">
        <f>'Сводный расчет стоимости'!#REF!</f>
        <v>#REF!</v>
      </c>
    </row>
    <row r="240" spans="1:15" ht="13.8" x14ac:dyDescent="0.3">
      <c r="A240" s="396" t="s">
        <v>295</v>
      </c>
      <c r="B240" s="248" t="s">
        <v>113</v>
      </c>
      <c r="C240" s="251" t="e">
        <f>'Сводный расчет стоимости'!#REF!</f>
        <v>#REF!</v>
      </c>
    </row>
    <row r="241" spans="1:3" ht="13.8" x14ac:dyDescent="0.3">
      <c r="A241" s="396" t="s">
        <v>297</v>
      </c>
      <c r="B241" s="248" t="s">
        <v>112</v>
      </c>
      <c r="C241" s="251" t="e">
        <f>'Сводный расчет стоимости'!#REF!</f>
        <v>#REF!</v>
      </c>
    </row>
    <row r="242" spans="1:3" ht="13.8" x14ac:dyDescent="0.3">
      <c r="A242" s="396" t="s">
        <v>516</v>
      </c>
      <c r="B242" s="248" t="s">
        <v>296</v>
      </c>
      <c r="C242" s="251" t="e">
        <f>'Сводный расчет стоимости'!#REF!</f>
        <v>#REF!</v>
      </c>
    </row>
    <row r="243" spans="1:3" x14ac:dyDescent="0.25">
      <c r="A243" s="1095" t="s">
        <v>1123</v>
      </c>
      <c r="B243" s="1095"/>
    </row>
    <row r="244" spans="1:3" ht="13.8" x14ac:dyDescent="0.3">
      <c r="A244" s="396" t="s">
        <v>298</v>
      </c>
      <c r="B244" s="248" t="s">
        <v>697</v>
      </c>
      <c r="C244" s="251" t="e">
        <f>'Сводный расчет стоимости'!#REF!</f>
        <v>#REF!</v>
      </c>
    </row>
    <row r="245" spans="1:3" ht="13.8" x14ac:dyDescent="0.3">
      <c r="A245" s="396" t="s">
        <v>300</v>
      </c>
      <c r="B245" s="248" t="s">
        <v>301</v>
      </c>
      <c r="C245" s="251" t="e">
        <f>'Сводный расчет стоимости'!#REF!</f>
        <v>#REF!</v>
      </c>
    </row>
    <row r="246" spans="1:3" ht="13.8" x14ac:dyDescent="0.3">
      <c r="A246" s="396" t="s">
        <v>302</v>
      </c>
      <c r="B246" s="248" t="s">
        <v>698</v>
      </c>
      <c r="C246" s="251" t="e">
        <f>'Сводный расчет стоимости'!#REF!</f>
        <v>#REF!</v>
      </c>
    </row>
    <row r="247" spans="1:3" ht="13.8" x14ac:dyDescent="0.3">
      <c r="A247" s="396" t="s">
        <v>303</v>
      </c>
      <c r="B247" s="248" t="s">
        <v>686</v>
      </c>
      <c r="C247" s="251" t="e">
        <f>'Сводный расчет стоимости'!#REF!</f>
        <v>#REF!</v>
      </c>
    </row>
    <row r="248" spans="1:3" ht="13.8" x14ac:dyDescent="0.3">
      <c r="A248" s="396" t="s">
        <v>304</v>
      </c>
      <c r="B248" s="248" t="s">
        <v>299</v>
      </c>
      <c r="C248" s="251" t="e">
        <f>'Сводный расчет стоимости'!#REF!</f>
        <v>#REF!</v>
      </c>
    </row>
    <row r="249" spans="1:3" ht="13.8" x14ac:dyDescent="0.3">
      <c r="A249" s="396" t="s">
        <v>305</v>
      </c>
      <c r="B249" s="248" t="s">
        <v>690</v>
      </c>
      <c r="C249" s="251" t="e">
        <f>'Сводный расчет стоимости'!#REF!</f>
        <v>#REF!</v>
      </c>
    </row>
    <row r="250" spans="1:3" ht="27.6" x14ac:dyDescent="0.3">
      <c r="A250" s="396" t="s">
        <v>306</v>
      </c>
      <c r="B250" s="248" t="s">
        <v>685</v>
      </c>
      <c r="C250" s="251" t="e">
        <f>'Сводный расчет стоимости'!#REF!</f>
        <v>#REF!</v>
      </c>
    </row>
    <row r="251" spans="1:3" ht="13.8" x14ac:dyDescent="0.3">
      <c r="A251" s="396" t="s">
        <v>307</v>
      </c>
      <c r="B251" s="248" t="s">
        <v>696</v>
      </c>
      <c r="C251" s="251" t="e">
        <f>'Сводный расчет стоимости'!#REF!</f>
        <v>#REF!</v>
      </c>
    </row>
    <row r="252" spans="1:3" ht="13.8" x14ac:dyDescent="0.3">
      <c r="A252" s="396" t="s">
        <v>308</v>
      </c>
      <c r="B252" s="248" t="s">
        <v>688</v>
      </c>
      <c r="C252" s="251" t="e">
        <f>'Сводный расчет стоимости'!#REF!</f>
        <v>#REF!</v>
      </c>
    </row>
    <row r="253" spans="1:3" ht="13.8" x14ac:dyDescent="0.3">
      <c r="A253" s="396" t="s">
        <v>309</v>
      </c>
      <c r="B253" s="248" t="s">
        <v>694</v>
      </c>
      <c r="C253" s="251" t="e">
        <f>'Сводный расчет стоимости'!#REF!</f>
        <v>#REF!</v>
      </c>
    </row>
    <row r="254" spans="1:3" ht="13.8" x14ac:dyDescent="0.3">
      <c r="A254" s="396" t="s">
        <v>310</v>
      </c>
      <c r="B254" s="248" t="s">
        <v>695</v>
      </c>
      <c r="C254" s="251" t="e">
        <f>'Сводный расчет стоимости'!#REF!</f>
        <v>#REF!</v>
      </c>
    </row>
    <row r="255" spans="1:3" ht="13.8" x14ac:dyDescent="0.3">
      <c r="A255" s="396" t="s">
        <v>311</v>
      </c>
      <c r="B255" s="248" t="s">
        <v>693</v>
      </c>
      <c r="C255" s="251" t="e">
        <f>'Сводный расчет стоимости'!#REF!</f>
        <v>#REF!</v>
      </c>
    </row>
    <row r="256" spans="1:3" ht="13.8" x14ac:dyDescent="0.3">
      <c r="A256" s="396" t="s">
        <v>312</v>
      </c>
      <c r="B256" s="248" t="s">
        <v>687</v>
      </c>
      <c r="C256" s="251" t="e">
        <f>'Сводный расчет стоимости'!#REF!</f>
        <v>#REF!</v>
      </c>
    </row>
    <row r="257" spans="1:3" ht="13.8" x14ac:dyDescent="0.3">
      <c r="A257" s="396" t="s">
        <v>1124</v>
      </c>
      <c r="B257" s="248" t="s">
        <v>689</v>
      </c>
      <c r="C257" s="251" t="e">
        <f>'Сводный расчет стоимости'!#REF!</f>
        <v>#REF!</v>
      </c>
    </row>
    <row r="258" spans="1:3" ht="13.8" x14ac:dyDescent="0.3">
      <c r="A258" s="396" t="s">
        <v>313</v>
      </c>
      <c r="B258" s="248" t="s">
        <v>1686</v>
      </c>
      <c r="C258" s="251" t="e">
        <f>'Сводный расчет стоимости'!#REF!</f>
        <v>#REF!</v>
      </c>
    </row>
    <row r="259" spans="1:3" ht="13.8" x14ac:dyDescent="0.3">
      <c r="A259" s="396" t="s">
        <v>314</v>
      </c>
      <c r="B259" s="248" t="s">
        <v>691</v>
      </c>
      <c r="C259" s="251" t="e">
        <f>'Сводный расчет стоимости'!#REF!</f>
        <v>#REF!</v>
      </c>
    </row>
    <row r="260" spans="1:3" ht="13.8" x14ac:dyDescent="0.3">
      <c r="A260" s="594"/>
      <c r="B260" s="256"/>
      <c r="C260" s="255"/>
    </row>
    <row r="261" spans="1:3" x14ac:dyDescent="0.25">
      <c r="A261" s="1095" t="s">
        <v>315</v>
      </c>
      <c r="B261" s="1095"/>
    </row>
    <row r="262" spans="1:3" ht="13.8" x14ac:dyDescent="0.3">
      <c r="A262" s="425" t="s">
        <v>316</v>
      </c>
      <c r="B262" s="248" t="s">
        <v>577</v>
      </c>
      <c r="C262" s="251" t="e">
        <f>'Сводный расчет стоимости'!#REF!</f>
        <v>#REF!</v>
      </c>
    </row>
    <row r="263" spans="1:3" ht="13.8" x14ac:dyDescent="0.3">
      <c r="A263" s="425" t="s">
        <v>317</v>
      </c>
      <c r="B263" s="248" t="s">
        <v>530</v>
      </c>
      <c r="C263" s="251" t="e">
        <f>'Сводный расчет стоимости'!#REF!</f>
        <v>#REF!</v>
      </c>
    </row>
    <row r="264" spans="1:3" ht="13.8" x14ac:dyDescent="0.3">
      <c r="A264" s="425" t="s">
        <v>319</v>
      </c>
      <c r="B264" s="248" t="s">
        <v>527</v>
      </c>
      <c r="C264" s="251" t="e">
        <f>'Сводный расчет стоимости'!#REF!</f>
        <v>#REF!</v>
      </c>
    </row>
    <row r="265" spans="1:3" ht="13.8" x14ac:dyDescent="0.3">
      <c r="A265" s="425" t="s">
        <v>320</v>
      </c>
      <c r="B265" s="248" t="s">
        <v>318</v>
      </c>
      <c r="C265" s="251" t="e">
        <f>'Сводный расчет стоимости'!#REF!</f>
        <v>#REF!</v>
      </c>
    </row>
    <row r="266" spans="1:3" ht="13.8" x14ac:dyDescent="0.3">
      <c r="A266" s="425" t="s">
        <v>321</v>
      </c>
      <c r="B266" s="248" t="s">
        <v>1023</v>
      </c>
      <c r="C266" s="251" t="e">
        <f>'Сводный расчет стоимости'!#REF!</f>
        <v>#REF!</v>
      </c>
    </row>
    <row r="267" spans="1:3" ht="13.8" x14ac:dyDescent="0.3">
      <c r="A267" s="425" t="s">
        <v>322</v>
      </c>
      <c r="B267" s="248" t="s">
        <v>589</v>
      </c>
      <c r="C267" s="251" t="e">
        <f>'Сводный расчет стоимости'!#REF!</f>
        <v>#REF!</v>
      </c>
    </row>
    <row r="268" spans="1:3" ht="13.8" x14ac:dyDescent="0.3">
      <c r="A268" s="425" t="s">
        <v>323</v>
      </c>
      <c r="B268" s="248" t="s">
        <v>590</v>
      </c>
      <c r="C268" s="251" t="e">
        <f>'Сводный расчет стоимости'!#REF!</f>
        <v>#REF!</v>
      </c>
    </row>
    <row r="269" spans="1:3" ht="13.8" x14ac:dyDescent="0.3">
      <c r="A269" s="425" t="s">
        <v>324</v>
      </c>
      <c r="B269" s="248" t="s">
        <v>517</v>
      </c>
      <c r="C269" s="251" t="e">
        <f>'Сводный расчет стоимости'!#REF!</f>
        <v>#REF!</v>
      </c>
    </row>
    <row r="270" spans="1:3" ht="13.8" x14ac:dyDescent="0.3">
      <c r="A270" s="425" t="s">
        <v>325</v>
      </c>
      <c r="B270" s="248" t="s">
        <v>333</v>
      </c>
      <c r="C270" s="251" t="e">
        <f>'Сводный расчет стоимости'!#REF!</f>
        <v>#REF!</v>
      </c>
    </row>
    <row r="271" spans="1:3" ht="13.5" customHeight="1" x14ac:dyDescent="0.3">
      <c r="A271" s="425" t="s">
        <v>327</v>
      </c>
      <c r="B271" s="248" t="s">
        <v>334</v>
      </c>
      <c r="C271" s="251" t="e">
        <f>'Сводный расчет стоимости'!#REF!</f>
        <v>#REF!</v>
      </c>
    </row>
    <row r="272" spans="1:3" ht="13.5" customHeight="1" x14ac:dyDescent="0.3">
      <c r="A272" s="425" t="s">
        <v>519</v>
      </c>
      <c r="B272" s="248" t="s">
        <v>326</v>
      </c>
      <c r="C272" s="251" t="e">
        <f>'Сводный расчет стоимости'!#REF!</f>
        <v>#REF!</v>
      </c>
    </row>
    <row r="273" spans="1:3" ht="13.8" x14ac:dyDescent="0.3">
      <c r="A273" s="425" t="s">
        <v>328</v>
      </c>
      <c r="B273" s="248" t="s">
        <v>1024</v>
      </c>
      <c r="C273" s="251" t="e">
        <f>'Сводный расчет стоимости'!#REF!</f>
        <v>#REF!</v>
      </c>
    </row>
    <row r="274" spans="1:3" ht="13.8" x14ac:dyDescent="0.3">
      <c r="A274" s="425" t="s">
        <v>520</v>
      </c>
      <c r="B274" s="248" t="s">
        <v>591</v>
      </c>
      <c r="C274" s="251" t="e">
        <f>'Сводный расчет стоимости'!#REF!</f>
        <v>#REF!</v>
      </c>
    </row>
    <row r="275" spans="1:3" ht="13.8" x14ac:dyDescent="0.3">
      <c r="A275" s="425" t="s">
        <v>329</v>
      </c>
      <c r="B275" s="248" t="s">
        <v>526</v>
      </c>
      <c r="C275" s="251" t="e">
        <f>'Сводный расчет стоимости'!#REF!</f>
        <v>#REF!</v>
      </c>
    </row>
    <row r="276" spans="1:3" ht="13.8" x14ac:dyDescent="0.3">
      <c r="A276" s="425" t="s">
        <v>521</v>
      </c>
      <c r="B276" s="248" t="s">
        <v>578</v>
      </c>
      <c r="C276" s="251" t="e">
        <f>'Сводный расчет стоимости'!#REF!</f>
        <v>#REF!</v>
      </c>
    </row>
    <row r="277" spans="1:3" ht="13.8" x14ac:dyDescent="0.3">
      <c r="A277" s="425" t="s">
        <v>522</v>
      </c>
      <c r="B277" s="248" t="s">
        <v>587</v>
      </c>
      <c r="C277" s="251" t="e">
        <f>'Сводный расчет стоимости'!#REF!</f>
        <v>#REF!</v>
      </c>
    </row>
    <row r="278" spans="1:3" ht="13.8" x14ac:dyDescent="0.3">
      <c r="A278" s="425" t="s">
        <v>523</v>
      </c>
      <c r="B278" s="248" t="s">
        <v>518</v>
      </c>
      <c r="C278" s="251" t="e">
        <f>'Сводный расчет стоимости'!#REF!</f>
        <v>#REF!</v>
      </c>
    </row>
    <row r="279" spans="1:3" ht="13.8" x14ac:dyDescent="0.3">
      <c r="A279" s="425" t="s">
        <v>524</v>
      </c>
      <c r="B279" s="248" t="s">
        <v>127</v>
      </c>
      <c r="C279" s="251" t="e">
        <f>'Сводный расчет стоимости'!#REF!</f>
        <v>#REF!</v>
      </c>
    </row>
    <row r="280" spans="1:3" ht="13.8" x14ac:dyDescent="0.3">
      <c r="A280" s="425" t="s">
        <v>525</v>
      </c>
      <c r="B280" s="248" t="s">
        <v>335</v>
      </c>
      <c r="C280" s="251" t="e">
        <f>'Сводный расчет стоимости'!#REF!</f>
        <v>#REF!</v>
      </c>
    </row>
    <row r="281" spans="1:3" ht="13.8" x14ac:dyDescent="0.3">
      <c r="A281" s="425" t="s">
        <v>330</v>
      </c>
      <c r="B281" s="248" t="s">
        <v>529</v>
      </c>
      <c r="C281" s="251" t="e">
        <f>'Сводный расчет стоимости'!#REF!</f>
        <v>#REF!</v>
      </c>
    </row>
    <row r="282" spans="1:3" ht="13.8" x14ac:dyDescent="0.3">
      <c r="A282" s="425" t="s">
        <v>331</v>
      </c>
      <c r="B282" s="248" t="s">
        <v>336</v>
      </c>
      <c r="C282" s="251" t="e">
        <f>'Сводный расчет стоимости'!#REF!</f>
        <v>#REF!</v>
      </c>
    </row>
    <row r="283" spans="1:3" ht="13.8" x14ac:dyDescent="0.3">
      <c r="A283" s="425" t="s">
        <v>332</v>
      </c>
      <c r="B283" s="248" t="s">
        <v>528</v>
      </c>
      <c r="C283" s="251" t="e">
        <f>'Сводный расчет стоимости'!#REF!</f>
        <v>#REF!</v>
      </c>
    </row>
    <row r="284" spans="1:3" x14ac:dyDescent="0.25">
      <c r="A284" s="1095" t="s">
        <v>337</v>
      </c>
      <c r="B284" s="1095"/>
    </row>
    <row r="285" spans="1:3" ht="13.8" x14ac:dyDescent="0.3">
      <c r="A285" s="425" t="s">
        <v>1284</v>
      </c>
      <c r="B285" s="248" t="s">
        <v>171</v>
      </c>
      <c r="C285" s="251" t="e">
        <f>'Сводный расчет стоимости'!#REF!</f>
        <v>#REF!</v>
      </c>
    </row>
    <row r="286" spans="1:3" ht="12.75" customHeight="1" x14ac:dyDescent="0.25"/>
    <row r="287" spans="1:3" ht="12.75" customHeight="1" x14ac:dyDescent="0.25"/>
    <row r="288" spans="1:3" ht="12.75" customHeight="1" x14ac:dyDescent="0.3">
      <c r="B288" s="257" t="s">
        <v>96</v>
      </c>
    </row>
    <row r="289" spans="2:2" ht="12.75" customHeight="1" x14ac:dyDescent="0.25"/>
    <row r="290" spans="2:2" ht="12.75" customHeight="1" x14ac:dyDescent="0.3">
      <c r="B290" s="254" t="s">
        <v>95</v>
      </c>
    </row>
    <row r="291" spans="2:2" ht="12.75" customHeight="1" x14ac:dyDescent="0.25"/>
    <row r="292" spans="2:2" ht="12.75" customHeight="1" x14ac:dyDescent="0.25"/>
    <row r="293" spans="2:2" ht="12.75" customHeight="1" x14ac:dyDescent="0.25"/>
    <row r="294" spans="2:2" ht="12.75" customHeight="1" x14ac:dyDescent="0.25"/>
    <row r="295" spans="2:2" ht="12.75" customHeight="1" x14ac:dyDescent="0.25"/>
    <row r="296" spans="2:2" ht="12.75" customHeight="1" x14ac:dyDescent="0.25"/>
    <row r="297" spans="2:2" ht="12.75" customHeight="1" x14ac:dyDescent="0.25"/>
    <row r="298" spans="2:2" ht="12.75" customHeight="1" x14ac:dyDescent="0.25"/>
    <row r="299" spans="2:2" ht="12.75" customHeight="1" x14ac:dyDescent="0.25"/>
    <row r="300" spans="2:2" ht="12.75" customHeight="1" x14ac:dyDescent="0.25"/>
    <row r="301" spans="2:2" ht="12.75" customHeight="1" x14ac:dyDescent="0.25"/>
    <row r="302" spans="2:2" ht="12.75" customHeight="1" x14ac:dyDescent="0.25"/>
    <row r="303" spans="2:2" ht="12.75" customHeight="1" x14ac:dyDescent="0.25"/>
    <row r="304" spans="2:2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1" ht="12.75" customHeight="1" x14ac:dyDescent="0.25"/>
    <row r="342" ht="12.75" customHeight="1" x14ac:dyDescent="0.25"/>
    <row r="343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5.75" customHeight="1" x14ac:dyDescent="0.25"/>
    <row r="471" ht="12.75" customHeight="1" x14ac:dyDescent="0.25"/>
    <row r="472" ht="25.5" customHeight="1" x14ac:dyDescent="0.25"/>
    <row r="473" ht="24" customHeight="1" x14ac:dyDescent="0.25"/>
    <row r="474" ht="24.75" customHeight="1" x14ac:dyDescent="0.25"/>
    <row r="475" ht="26.2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8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8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29.2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4.2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7" ht="12.75" customHeight="1" x14ac:dyDescent="0.25"/>
    <row r="728" ht="12.75" customHeight="1" x14ac:dyDescent="0.25"/>
    <row r="729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29.25" customHeight="1" x14ac:dyDescent="0.25"/>
    <row r="766" ht="12.75" customHeight="1" x14ac:dyDescent="0.25"/>
    <row r="768" ht="30" customHeight="1" x14ac:dyDescent="0.25"/>
    <row r="774" ht="19.5" customHeight="1" x14ac:dyDescent="0.25"/>
    <row r="776" ht="12.75" customHeight="1" x14ac:dyDescent="0.25"/>
    <row r="778" ht="12.75" customHeight="1" x14ac:dyDescent="0.25"/>
    <row r="779" ht="12.75" customHeight="1" x14ac:dyDescent="0.25"/>
    <row r="780" ht="24" customHeight="1" x14ac:dyDescent="0.25"/>
    <row r="781" ht="27.75" customHeight="1" x14ac:dyDescent="0.25"/>
    <row r="782" ht="12.75" customHeight="1" x14ac:dyDescent="0.25"/>
    <row r="783" ht="12.75" customHeight="1" x14ac:dyDescent="0.25"/>
    <row r="785" ht="24.75" customHeight="1" x14ac:dyDescent="0.25"/>
  </sheetData>
  <mergeCells count="26">
    <mergeCell ref="A284:B284"/>
    <mergeCell ref="A69:B69"/>
    <mergeCell ref="A80:B80"/>
    <mergeCell ref="A81:B81"/>
    <mergeCell ref="A169:B169"/>
    <mergeCell ref="F170:O170"/>
    <mergeCell ref="A228:B228"/>
    <mergeCell ref="A243:B243"/>
    <mergeCell ref="A261:B261"/>
    <mergeCell ref="A59:B59"/>
    <mergeCell ref="A2:D2"/>
    <mergeCell ref="A3:D3"/>
    <mergeCell ref="A4:D4"/>
    <mergeCell ref="A6:D6"/>
    <mergeCell ref="A5:C5"/>
    <mergeCell ref="A50:B50"/>
    <mergeCell ref="A52:B52"/>
    <mergeCell ref="B7:D7"/>
    <mergeCell ref="A12:C12"/>
    <mergeCell ref="D16:D17"/>
    <mergeCell ref="A13:C13"/>
    <mergeCell ref="A14:C14"/>
    <mergeCell ref="A15:C15"/>
    <mergeCell ref="A16:A17"/>
    <mergeCell ref="B16:B17"/>
    <mergeCell ref="C16:C17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A300"/>
  <sheetViews>
    <sheetView topLeftCell="I175" workbookViewId="0">
      <selection activeCell="N172" sqref="N172"/>
    </sheetView>
  </sheetViews>
  <sheetFormatPr defaultColWidth="9.6640625" defaultRowHeight="13.2" x14ac:dyDescent="0.25"/>
  <cols>
    <col min="1" max="1" width="9.6640625" style="371" customWidth="1"/>
    <col min="2" max="2" width="16.44140625" style="381" customWidth="1"/>
    <col min="3" max="3" width="9.6640625" style="382" customWidth="1"/>
    <col min="4" max="4" width="9.6640625" style="371" customWidth="1"/>
    <col min="5" max="5" width="9.6640625" style="381" customWidth="1"/>
    <col min="6" max="6" width="9.6640625" style="383" customWidth="1"/>
    <col min="7" max="8" width="9.6640625" style="384" customWidth="1"/>
    <col min="9" max="9" width="9.6640625" style="371" customWidth="1"/>
    <col min="10" max="10" width="9.6640625" style="334" customWidth="1"/>
    <col min="11" max="11" width="9.6640625" style="341" customWidth="1"/>
    <col min="12" max="16" width="9.6640625" style="260" customWidth="1"/>
    <col min="17" max="17" width="9.6640625" style="379" customWidth="1"/>
    <col min="18" max="22" width="9.6640625" style="260" customWidth="1"/>
    <col min="23" max="23" width="9.6640625" style="379" customWidth="1"/>
    <col min="24" max="26" width="9.6640625" style="260" customWidth="1"/>
    <col min="27" max="29" width="9.6640625" style="261" hidden="1" customWidth="1"/>
    <col min="30" max="31" width="9.6640625" style="261" customWidth="1"/>
    <col min="32" max="32" width="9.6640625" style="262" customWidth="1"/>
    <col min="33" max="37" width="9.6640625" style="263" customWidth="1"/>
    <col min="38" max="38" width="9.6640625" style="264" customWidth="1"/>
    <col min="39" max="40" width="9.6640625" style="263" customWidth="1"/>
    <col min="41" max="41" width="9.6640625" style="265" customWidth="1"/>
    <col min="42" max="43" width="9.6640625" style="263" customWidth="1"/>
    <col min="44" max="45" width="9.6640625" style="265" customWidth="1"/>
    <col min="46" max="47" width="9.6640625" style="263" customWidth="1"/>
    <col min="48" max="48" width="9.6640625" style="265" customWidth="1"/>
    <col min="49" max="53" width="9.6640625" style="263" customWidth="1"/>
    <col min="54" max="16384" width="9.6640625" style="261"/>
  </cols>
  <sheetData>
    <row r="1" spans="1:53" s="270" customFormat="1" ht="22.5" customHeight="1" x14ac:dyDescent="0.25">
      <c r="A1" s="1025" t="s">
        <v>845</v>
      </c>
      <c r="B1" s="1025"/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260"/>
      <c r="O1" s="260"/>
      <c r="P1" s="260"/>
      <c r="Q1" s="379"/>
      <c r="R1" s="260"/>
      <c r="S1" s="260"/>
      <c r="T1" s="260"/>
      <c r="U1" s="260"/>
      <c r="V1" s="260"/>
      <c r="W1" s="379"/>
      <c r="X1" s="260"/>
      <c r="Y1" s="260"/>
      <c r="Z1" s="260"/>
      <c r="AA1" s="261"/>
      <c r="AB1" s="261"/>
      <c r="AC1" s="261"/>
      <c r="AD1" s="261"/>
      <c r="AE1" s="261"/>
      <c r="AF1" s="262"/>
      <c r="AG1" s="263"/>
      <c r="AH1" s="263"/>
      <c r="AI1" s="338"/>
      <c r="AJ1" s="272"/>
      <c r="AK1" s="272"/>
      <c r="AL1" s="273"/>
      <c r="AM1" s="272"/>
      <c r="AN1" s="272"/>
      <c r="AO1" s="274"/>
      <c r="AP1" s="272"/>
      <c r="AQ1" s="272"/>
      <c r="AR1" s="274"/>
      <c r="AS1" s="274"/>
      <c r="AT1" s="272"/>
      <c r="AU1" s="272"/>
      <c r="AV1" s="274"/>
      <c r="AW1" s="272"/>
      <c r="AX1" s="272"/>
      <c r="AY1" s="272"/>
      <c r="AZ1" s="272"/>
      <c r="BA1" s="272"/>
    </row>
    <row r="2" spans="1:53" ht="12.75" customHeight="1" x14ac:dyDescent="0.25">
      <c r="A2" s="39"/>
      <c r="B2" s="309" t="s">
        <v>1178</v>
      </c>
      <c r="C2" s="434">
        <f>'Заработная плата'!M76</f>
        <v>33.667709452234185</v>
      </c>
      <c r="D2" s="270"/>
      <c r="E2" s="285"/>
      <c r="F2" s="340"/>
      <c r="G2" s="319"/>
      <c r="H2" s="319"/>
      <c r="I2" s="270"/>
    </row>
    <row r="3" spans="1:53" ht="12.75" customHeight="1" x14ac:dyDescent="0.25">
      <c r="A3" s="261"/>
      <c r="B3" s="286" t="s">
        <v>1179</v>
      </c>
      <c r="C3" s="435">
        <f>'Заработная плата'!M97</f>
        <v>19.495759833054819</v>
      </c>
      <c r="D3" s="261"/>
      <c r="E3" s="331"/>
      <c r="F3" s="342"/>
      <c r="G3" s="333"/>
      <c r="H3" s="333"/>
      <c r="I3" s="261"/>
    </row>
    <row r="4" spans="1:53" s="339" customFormat="1" ht="59.25" customHeight="1" x14ac:dyDescent="0.25">
      <c r="A4" s="266"/>
      <c r="B4" s="1109" t="s">
        <v>487</v>
      </c>
      <c r="C4" s="1110"/>
      <c r="D4" s="268" t="s">
        <v>491</v>
      </c>
      <c r="E4" s="1027" t="s">
        <v>1164</v>
      </c>
      <c r="F4" s="1028"/>
      <c r="G4" s="1028"/>
      <c r="H4" s="1028"/>
      <c r="I4" s="1023"/>
      <c r="J4" s="1017" t="s">
        <v>1165</v>
      </c>
      <c r="K4" s="1018"/>
      <c r="L4" s="1018"/>
      <c r="M4" s="1018"/>
      <c r="N4" s="1021"/>
      <c r="O4" s="1017" t="s">
        <v>492</v>
      </c>
      <c r="P4" s="1018"/>
      <c r="Q4" s="1018"/>
      <c r="R4" s="1018"/>
      <c r="S4" s="1021"/>
      <c r="T4" s="1017" t="s">
        <v>840</v>
      </c>
      <c r="U4" s="1018"/>
      <c r="V4" s="1018"/>
      <c r="W4" s="1018"/>
      <c r="X4" s="1018"/>
      <c r="Y4" s="1021"/>
      <c r="Z4" s="269" t="s">
        <v>1166</v>
      </c>
      <c r="AA4" s="1015" t="s">
        <v>827</v>
      </c>
      <c r="AB4" s="1015" t="s">
        <v>1167</v>
      </c>
      <c r="AC4" s="1015" t="s">
        <v>1168</v>
      </c>
      <c r="AD4" s="343"/>
      <c r="AF4" s="344"/>
      <c r="AG4" s="345"/>
      <c r="AH4" s="345"/>
      <c r="AI4" s="345"/>
      <c r="AJ4" s="271"/>
      <c r="AK4" s="345"/>
      <c r="AL4" s="346"/>
      <c r="AM4" s="345"/>
      <c r="AN4" s="345"/>
      <c r="AO4" s="132"/>
      <c r="AP4" s="132"/>
      <c r="AQ4" s="132"/>
      <c r="AR4" s="132"/>
      <c r="AS4" s="132"/>
      <c r="AT4" s="132"/>
      <c r="AU4" s="345"/>
      <c r="AV4" s="345"/>
      <c r="AW4" s="271"/>
      <c r="AX4" s="271"/>
      <c r="AY4" s="271"/>
      <c r="AZ4" s="271"/>
      <c r="BA4" s="271"/>
    </row>
    <row r="5" spans="1:53" s="339" customFormat="1" ht="13.5" customHeight="1" x14ac:dyDescent="0.25">
      <c r="A5" s="275"/>
      <c r="B5" s="267" t="s">
        <v>488</v>
      </c>
      <c r="C5" s="267" t="s">
        <v>1169</v>
      </c>
      <c r="D5" s="347">
        <v>0.20200000000000001</v>
      </c>
      <c r="E5" s="1029"/>
      <c r="F5" s="1030"/>
      <c r="G5" s="1030"/>
      <c r="H5" s="1030"/>
      <c r="I5" s="1024"/>
      <c r="J5" s="1019"/>
      <c r="K5" s="1020"/>
      <c r="L5" s="1020"/>
      <c r="M5" s="1020"/>
      <c r="N5" s="1022"/>
      <c r="O5" s="1019"/>
      <c r="P5" s="1020"/>
      <c r="Q5" s="1020"/>
      <c r="R5" s="1020"/>
      <c r="S5" s="1022"/>
      <c r="T5" s="1019"/>
      <c r="U5" s="1020"/>
      <c r="V5" s="1020"/>
      <c r="W5" s="1020"/>
      <c r="X5" s="1020"/>
      <c r="Y5" s="1022"/>
      <c r="Z5" s="276">
        <f>'Исп. коэффициенты'!C91</f>
        <v>1.3001876927947804</v>
      </c>
      <c r="AA5" s="1016"/>
      <c r="AB5" s="1016"/>
      <c r="AC5" s="1016"/>
      <c r="AD5" s="343"/>
      <c r="AE5" s="348"/>
      <c r="AF5" s="344"/>
      <c r="AG5" s="271"/>
      <c r="AH5" s="349"/>
      <c r="AI5" s="350"/>
      <c r="AJ5" s="351"/>
      <c r="AK5" s="349"/>
      <c r="AL5" s="352"/>
      <c r="AM5" s="345"/>
      <c r="AN5" s="345"/>
      <c r="AO5" s="132"/>
      <c r="AP5" s="132"/>
      <c r="AQ5" s="138"/>
      <c r="AR5" s="138"/>
      <c r="AS5" s="138"/>
      <c r="AT5" s="132"/>
      <c r="AU5" s="345"/>
      <c r="AV5" s="271"/>
      <c r="AW5" s="271"/>
      <c r="AX5" s="271"/>
      <c r="AY5" s="271"/>
      <c r="AZ5" s="271"/>
      <c r="BA5" s="271"/>
    </row>
    <row r="6" spans="1:53" s="339" customFormat="1" ht="17.25" customHeight="1" x14ac:dyDescent="0.25">
      <c r="A6" s="1054" t="s">
        <v>1182</v>
      </c>
      <c r="B6" s="1055"/>
      <c r="C6" s="1055"/>
      <c r="D6" s="1055"/>
      <c r="E6" s="1055"/>
      <c r="F6" s="1055"/>
      <c r="G6" s="1055"/>
      <c r="H6" s="1055"/>
      <c r="I6" s="1055"/>
      <c r="J6" s="1055"/>
      <c r="K6" s="1055"/>
      <c r="L6" s="1055"/>
      <c r="M6" s="1055"/>
      <c r="N6" s="1055"/>
      <c r="O6" s="1055"/>
      <c r="P6" s="1055"/>
      <c r="Q6" s="1055"/>
      <c r="R6" s="1055"/>
      <c r="S6" s="1055"/>
      <c r="T6" s="1055"/>
      <c r="U6" s="1055"/>
      <c r="V6" s="1055"/>
      <c r="W6" s="1055"/>
      <c r="X6" s="1055"/>
      <c r="Y6" s="1055"/>
      <c r="Z6" s="1055"/>
      <c r="AA6" s="1055"/>
      <c r="AB6" s="1055"/>
      <c r="AC6" s="1056"/>
      <c r="AD6" s="343"/>
      <c r="AE6" s="348"/>
      <c r="AF6" s="344"/>
      <c r="AG6" s="271"/>
      <c r="AH6" s="349"/>
      <c r="AI6" s="350"/>
      <c r="AJ6" s="351"/>
      <c r="AK6" s="349"/>
      <c r="AL6" s="352"/>
      <c r="AM6" s="345"/>
      <c r="AN6" s="345"/>
      <c r="AO6" s="132"/>
      <c r="AP6" s="132"/>
      <c r="AQ6" s="138"/>
      <c r="AR6" s="138"/>
      <c r="AS6" s="138"/>
      <c r="AT6" s="132"/>
      <c r="AU6" s="345"/>
      <c r="AV6" s="271"/>
      <c r="AW6" s="271"/>
      <c r="AX6" s="271"/>
      <c r="AY6" s="271"/>
      <c r="AZ6" s="271"/>
      <c r="BA6" s="271"/>
    </row>
    <row r="7" spans="1:53" s="371" customFormat="1" ht="20.25" customHeight="1" x14ac:dyDescent="0.25">
      <c r="A7" s="1111" t="s">
        <v>828</v>
      </c>
      <c r="B7" s="1112"/>
      <c r="C7" s="1112"/>
      <c r="D7" s="1112"/>
      <c r="E7" s="1112"/>
      <c r="F7" s="1112"/>
      <c r="G7" s="1112"/>
      <c r="H7" s="1112"/>
      <c r="I7" s="1112"/>
      <c r="J7" s="1112"/>
      <c r="K7" s="1112"/>
      <c r="L7" s="1112"/>
      <c r="M7" s="1112"/>
      <c r="N7" s="1112"/>
      <c r="O7" s="1112"/>
      <c r="P7" s="1112"/>
      <c r="Q7" s="1112"/>
      <c r="R7" s="1112"/>
      <c r="S7" s="1112"/>
      <c r="T7" s="1112"/>
      <c r="U7" s="1112"/>
      <c r="V7" s="1112"/>
      <c r="W7" s="1112"/>
      <c r="X7" s="1112"/>
      <c r="Y7" s="1112"/>
      <c r="Z7" s="1112"/>
      <c r="AA7" s="1112"/>
      <c r="AB7" s="1112"/>
      <c r="AC7" s="1113"/>
      <c r="AD7" s="272"/>
      <c r="AE7" s="270"/>
      <c r="AF7" s="365"/>
      <c r="AG7" s="366"/>
      <c r="AH7" s="366"/>
      <c r="AI7" s="366"/>
      <c r="AJ7" s="375"/>
      <c r="AK7" s="366"/>
      <c r="AL7" s="368"/>
      <c r="AM7" s="366"/>
      <c r="AN7" s="366"/>
      <c r="AO7" s="369"/>
      <c r="AP7" s="366"/>
      <c r="AQ7" s="366"/>
      <c r="AR7" s="369"/>
      <c r="AS7" s="369"/>
      <c r="AT7" s="366"/>
      <c r="AU7" s="366"/>
      <c r="AV7" s="369"/>
      <c r="AW7" s="366"/>
      <c r="AX7" s="366"/>
      <c r="AY7" s="366"/>
      <c r="AZ7" s="366"/>
      <c r="BA7" s="366"/>
    </row>
    <row r="8" spans="1:53" ht="56.25" customHeight="1" x14ac:dyDescent="0.25">
      <c r="A8" s="1012" t="s">
        <v>225</v>
      </c>
      <c r="B8" s="353" t="s">
        <v>1265</v>
      </c>
      <c r="C8" s="277"/>
      <c r="D8" s="287"/>
      <c r="E8" s="278" t="s">
        <v>488</v>
      </c>
      <c r="F8" s="279" t="s">
        <v>837</v>
      </c>
      <c r="G8" s="277" t="s">
        <v>489</v>
      </c>
      <c r="H8" s="278" t="s">
        <v>1170</v>
      </c>
      <c r="I8" s="279" t="s">
        <v>838</v>
      </c>
      <c r="J8" s="280" t="s">
        <v>1171</v>
      </c>
      <c r="K8" s="280" t="s">
        <v>490</v>
      </c>
      <c r="L8" s="281" t="s">
        <v>489</v>
      </c>
      <c r="M8" s="280" t="s">
        <v>1172</v>
      </c>
      <c r="N8" s="354" t="s">
        <v>838</v>
      </c>
      <c r="O8" s="280" t="s">
        <v>1171</v>
      </c>
      <c r="P8" s="280" t="s">
        <v>826</v>
      </c>
      <c r="Q8" s="282" t="s">
        <v>1173</v>
      </c>
      <c r="R8" s="280" t="s">
        <v>1174</v>
      </c>
      <c r="S8" s="280" t="s">
        <v>839</v>
      </c>
      <c r="T8" s="280" t="s">
        <v>1171</v>
      </c>
      <c r="U8" s="280" t="s">
        <v>1392</v>
      </c>
      <c r="V8" s="282" t="s">
        <v>1173</v>
      </c>
      <c r="W8" s="280" t="s">
        <v>841</v>
      </c>
      <c r="X8" s="280" t="s">
        <v>1394</v>
      </c>
      <c r="Y8" s="280" t="s">
        <v>839</v>
      </c>
      <c r="Z8" s="283"/>
      <c r="AA8" s="284"/>
      <c r="AB8" s="284"/>
      <c r="AC8" s="284"/>
      <c r="AD8" s="263"/>
      <c r="AQ8" s="355"/>
      <c r="AR8" s="355"/>
      <c r="AS8" s="355"/>
    </row>
    <row r="9" spans="1:53" s="270" customFormat="1" ht="12" customHeight="1" x14ac:dyDescent="0.25">
      <c r="A9" s="1013"/>
      <c r="B9" s="285" t="s">
        <v>1175</v>
      </c>
      <c r="C9" s="277">
        <f>C16</f>
        <v>74.428856999404601</v>
      </c>
      <c r="D9" s="336">
        <f>C9*$D$5</f>
        <v>15.034629113879731</v>
      </c>
      <c r="E9" s="286" t="s">
        <v>1176</v>
      </c>
      <c r="F9" s="356"/>
      <c r="G9" s="288"/>
      <c r="H9" s="288"/>
      <c r="I9" s="289">
        <f>SUM(I10:I17)</f>
        <v>11.055</v>
      </c>
      <c r="J9" s="290" t="s">
        <v>1176</v>
      </c>
      <c r="K9" s="357"/>
      <c r="L9" s="291"/>
      <c r="M9" s="291"/>
      <c r="N9" s="433">
        <f>SUM(N10:N17)</f>
        <v>0.23224477723595685</v>
      </c>
      <c r="O9" s="291" t="s">
        <v>1176</v>
      </c>
      <c r="P9" s="291"/>
      <c r="Q9" s="372"/>
      <c r="R9" s="294"/>
      <c r="S9" s="433">
        <f>SUM(S10:S17)</f>
        <v>0.29199995128985923</v>
      </c>
      <c r="T9" s="291" t="s">
        <v>1176</v>
      </c>
      <c r="U9" s="307"/>
      <c r="V9" s="308"/>
      <c r="W9" s="306"/>
      <c r="X9" s="292"/>
      <c r="Y9" s="433">
        <f>SUM(Y10:Y17)</f>
        <v>12.176973602760732</v>
      </c>
      <c r="Z9" s="296">
        <f>(C9+D9+I9+N9+Y9+S9)*$Z$5</f>
        <v>147.20686630069355</v>
      </c>
      <c r="AA9" s="297">
        <f>C9+D9+I9+N9+S9+Y9+Z9</f>
        <v>260.42657074526443</v>
      </c>
      <c r="AB9" s="298">
        <v>0.25</v>
      </c>
      <c r="AC9" s="358">
        <f>AA9*(1+AB9)</f>
        <v>325.53321343158052</v>
      </c>
      <c r="AD9" s="265"/>
      <c r="AE9" s="261"/>
      <c r="AF9" s="262"/>
      <c r="AG9" s="263"/>
      <c r="AH9" s="263"/>
      <c r="AI9" s="355"/>
      <c r="AJ9" s="359"/>
      <c r="AK9" s="360"/>
      <c r="AL9" s="264"/>
      <c r="AM9" s="361"/>
      <c r="AN9" s="143"/>
      <c r="AO9" s="362"/>
      <c r="AP9" s="363"/>
      <c r="AQ9" s="363"/>
      <c r="AR9" s="363"/>
      <c r="AS9" s="363"/>
      <c r="AT9" s="363"/>
      <c r="AU9" s="362"/>
      <c r="AV9" s="362"/>
      <c r="AW9" s="364"/>
      <c r="AX9" s="272"/>
      <c r="AY9" s="272"/>
      <c r="AZ9" s="272"/>
      <c r="BA9" s="272"/>
    </row>
    <row r="10" spans="1:53" s="371" customFormat="1" ht="12.75" customHeight="1" x14ac:dyDescent="0.25">
      <c r="A10" s="1013"/>
      <c r="B10" s="299" t="s">
        <v>830</v>
      </c>
      <c r="C10" s="277"/>
      <c r="D10" s="336"/>
      <c r="E10" s="300" t="s">
        <v>2186</v>
      </c>
      <c r="F10" s="301" t="s">
        <v>1441</v>
      </c>
      <c r="G10" s="302">
        <v>5.36</v>
      </c>
      <c r="H10" s="301">
        <v>1</v>
      </c>
      <c r="I10" s="303">
        <f>G10*H10</f>
        <v>5.36</v>
      </c>
      <c r="J10" s="290" t="s">
        <v>1291</v>
      </c>
      <c r="K10" s="304">
        <v>2</v>
      </c>
      <c r="L10" s="305">
        <v>750</v>
      </c>
      <c r="M10" s="304">
        <v>2</v>
      </c>
      <c r="N10" s="433">
        <f>L10/'Исп. коэффициенты'!E52*(C14+C15)</f>
        <v>0.19793207355789236</v>
      </c>
      <c r="O10" s="291" t="s">
        <v>1667</v>
      </c>
      <c r="P10" s="291">
        <v>4500</v>
      </c>
      <c r="Q10" s="291">
        <v>19.670000000000002</v>
      </c>
      <c r="R10" s="291">
        <v>885.15</v>
      </c>
      <c r="S10" s="433">
        <f>R10/'Исп. коэффициенты'!E52*C14</f>
        <v>0.11679971660651227</v>
      </c>
      <c r="T10" s="306" t="s">
        <v>1435</v>
      </c>
      <c r="U10" s="307">
        <v>6785401.3499999996</v>
      </c>
      <c r="V10" s="308">
        <v>1.3599999999999999E-2</v>
      </c>
      <c r="W10" s="306">
        <f>'Исп. коэффициенты'!E124</f>
        <v>2978.5</v>
      </c>
      <c r="X10" s="433">
        <f>U10*V10</f>
        <v>92281.45835999999</v>
      </c>
      <c r="Y10" s="295">
        <f>X10/'Исп. коэффициенты'!E52*C14</f>
        <v>12.176973602760732</v>
      </c>
      <c r="Z10" s="291"/>
      <c r="AA10" s="284"/>
      <c r="AB10" s="284"/>
      <c r="AC10" s="284"/>
      <c r="AD10" s="263"/>
      <c r="AE10" s="261"/>
      <c r="AF10" s="365"/>
      <c r="AG10" s="366"/>
      <c r="AH10" s="366"/>
      <c r="AI10" s="366"/>
      <c r="AJ10" s="367"/>
      <c r="AK10" s="366"/>
      <c r="AL10" s="368"/>
      <c r="AM10" s="366"/>
      <c r="AN10" s="366"/>
      <c r="AO10" s="369"/>
      <c r="AP10" s="366"/>
      <c r="AQ10" s="366"/>
      <c r="AR10" s="369"/>
      <c r="AS10" s="369"/>
      <c r="AT10" s="370"/>
      <c r="AU10" s="366"/>
      <c r="AV10" s="369"/>
      <c r="AW10" s="366"/>
      <c r="AX10" s="366"/>
      <c r="AY10" s="366"/>
      <c r="AZ10" s="366"/>
      <c r="BA10" s="366"/>
    </row>
    <row r="11" spans="1:53" s="371" customFormat="1" x14ac:dyDescent="0.25">
      <c r="A11" s="1013"/>
      <c r="B11" s="309" t="s">
        <v>1178</v>
      </c>
      <c r="C11" s="310">
        <f>C2</f>
        <v>33.667709452234185</v>
      </c>
      <c r="D11" s="336"/>
      <c r="E11" s="300" t="s">
        <v>2187</v>
      </c>
      <c r="F11" s="301" t="s">
        <v>1</v>
      </c>
      <c r="G11" s="302">
        <v>6.3E-2</v>
      </c>
      <c r="H11" s="301">
        <v>5</v>
      </c>
      <c r="I11" s="303">
        <f>G11*H11</f>
        <v>0.315</v>
      </c>
      <c r="J11" s="290" t="s">
        <v>1445</v>
      </c>
      <c r="K11" s="292">
        <v>2</v>
      </c>
      <c r="L11" s="311">
        <v>95</v>
      </c>
      <c r="M11" s="304">
        <v>2</v>
      </c>
      <c r="N11" s="433">
        <f>L11/'Исп. коэффициенты'!E53*(C14+C15)</f>
        <v>2.7164223745134386E-2</v>
      </c>
      <c r="O11" s="291" t="s">
        <v>1668</v>
      </c>
      <c r="P11" s="291">
        <v>6750</v>
      </c>
      <c r="Q11" s="291">
        <v>19.670000000000002</v>
      </c>
      <c r="R11" s="291">
        <v>1327.73</v>
      </c>
      <c r="S11" s="433">
        <f>R11/'Исп. коэффициенты'!E52*C14</f>
        <v>0.17520023468334694</v>
      </c>
      <c r="T11" s="291"/>
      <c r="U11" s="291"/>
      <c r="V11" s="291"/>
      <c r="W11" s="372"/>
      <c r="X11" s="291"/>
      <c r="Y11" s="291"/>
      <c r="Z11" s="291"/>
      <c r="AA11" s="284"/>
      <c r="AB11" s="284"/>
      <c r="AC11" s="284"/>
      <c r="AD11" s="263"/>
      <c r="AE11" s="261"/>
      <c r="AF11" s="365"/>
      <c r="AG11" s="366"/>
      <c r="AH11" s="366"/>
      <c r="AI11" s="366"/>
      <c r="AJ11" s="367"/>
      <c r="AK11" s="366"/>
      <c r="AL11" s="368"/>
      <c r="AM11" s="373"/>
      <c r="AN11" s="366"/>
      <c r="AO11" s="369"/>
      <c r="AP11" s="366"/>
      <c r="AQ11" s="366"/>
      <c r="AR11" s="369"/>
      <c r="AS11" s="369"/>
      <c r="AT11" s="366"/>
      <c r="AU11" s="366"/>
      <c r="AV11" s="369"/>
      <c r="AW11" s="366"/>
      <c r="AX11" s="366"/>
      <c r="AY11" s="366"/>
      <c r="AZ11" s="366"/>
      <c r="BA11" s="366"/>
    </row>
    <row r="12" spans="1:53" s="371" customFormat="1" ht="12.75" customHeight="1" x14ac:dyDescent="0.25">
      <c r="A12" s="1013"/>
      <c r="B12" s="286" t="s">
        <v>1179</v>
      </c>
      <c r="C12" s="277">
        <f>C3</f>
        <v>19.495759833054819</v>
      </c>
      <c r="D12" s="336"/>
      <c r="E12" s="300" t="s">
        <v>2112</v>
      </c>
      <c r="F12" s="301" t="s">
        <v>1</v>
      </c>
      <c r="G12" s="302">
        <v>0.47</v>
      </c>
      <c r="H12" s="302">
        <v>10</v>
      </c>
      <c r="I12" s="303">
        <f>G12*H12</f>
        <v>4.6999999999999993</v>
      </c>
      <c r="J12" s="290" t="s">
        <v>1513</v>
      </c>
      <c r="K12" s="292">
        <v>2</v>
      </c>
      <c r="L12" s="292">
        <v>25</v>
      </c>
      <c r="M12" s="304">
        <v>0.5</v>
      </c>
      <c r="N12" s="433">
        <f>L12/'Исп. коэффициенты'!E54*(C14+C15)</f>
        <v>7.1484799329301013E-3</v>
      </c>
      <c r="O12" s="291"/>
      <c r="P12" s="291"/>
      <c r="Q12" s="372"/>
      <c r="R12" s="291"/>
      <c r="S12" s="291"/>
      <c r="T12" s="291"/>
      <c r="U12" s="291"/>
      <c r="V12" s="291"/>
      <c r="W12" s="372"/>
      <c r="X12" s="291"/>
      <c r="Y12" s="291"/>
      <c r="Z12" s="291"/>
      <c r="AA12" s="284"/>
      <c r="AB12" s="284"/>
      <c r="AC12" s="284"/>
      <c r="AD12" s="263"/>
      <c r="AE12" s="261"/>
      <c r="AF12" s="365"/>
      <c r="AG12" s="366"/>
      <c r="AH12" s="366"/>
      <c r="AI12" s="366"/>
      <c r="AJ12" s="367"/>
      <c r="AK12" s="366"/>
      <c r="AL12" s="368"/>
      <c r="AM12" s="366"/>
      <c r="AN12" s="366"/>
      <c r="AO12" s="369"/>
      <c r="AP12" s="366"/>
      <c r="AQ12" s="366"/>
      <c r="AR12" s="369"/>
      <c r="AS12" s="369"/>
      <c r="AT12" s="366"/>
      <c r="AU12" s="366"/>
      <c r="AV12" s="369"/>
      <c r="AW12" s="366"/>
      <c r="AX12" s="366"/>
      <c r="AY12" s="366"/>
      <c r="AZ12" s="366"/>
      <c r="BA12" s="366"/>
    </row>
    <row r="13" spans="1:53" s="371" customFormat="1" ht="12.75" customHeight="1" x14ac:dyDescent="0.25">
      <c r="A13" s="1013"/>
      <c r="B13" s="286" t="s">
        <v>831</v>
      </c>
      <c r="C13" s="313"/>
      <c r="D13" s="336"/>
      <c r="E13" s="300" t="s">
        <v>9</v>
      </c>
      <c r="F13" s="376" t="s">
        <v>1441</v>
      </c>
      <c r="G13" s="302">
        <v>0.68</v>
      </c>
      <c r="H13" s="301">
        <v>1</v>
      </c>
      <c r="I13" s="303">
        <f t="shared" ref="I13" si="0">G13*H13</f>
        <v>0.68</v>
      </c>
      <c r="J13" s="290"/>
      <c r="K13" s="374"/>
      <c r="L13" s="292"/>
      <c r="M13" s="292"/>
      <c r="N13" s="292"/>
      <c r="O13" s="291"/>
      <c r="P13" s="291"/>
      <c r="Q13" s="372"/>
      <c r="R13" s="291"/>
      <c r="S13" s="291"/>
      <c r="T13" s="291"/>
      <c r="U13" s="291"/>
      <c r="V13" s="291"/>
      <c r="W13" s="372"/>
      <c r="X13" s="291"/>
      <c r="Y13" s="291"/>
      <c r="Z13" s="291"/>
      <c r="AA13" s="284"/>
      <c r="AB13" s="284"/>
      <c r="AC13" s="284"/>
      <c r="AD13" s="263"/>
      <c r="AE13" s="261"/>
      <c r="AF13" s="365"/>
      <c r="AG13" s="366"/>
      <c r="AH13" s="366"/>
      <c r="AI13" s="366"/>
      <c r="AJ13" s="367"/>
      <c r="AK13" s="366"/>
      <c r="AL13" s="368"/>
      <c r="AM13" s="366"/>
      <c r="AN13" s="366"/>
      <c r="AO13" s="369"/>
      <c r="AP13" s="366"/>
      <c r="AQ13" s="366"/>
      <c r="AR13" s="369"/>
      <c r="AS13" s="369"/>
      <c r="AT13" s="366"/>
      <c r="AU13" s="366"/>
      <c r="AV13" s="369"/>
      <c r="AW13" s="366"/>
      <c r="AX13" s="366"/>
      <c r="AY13" s="366"/>
      <c r="AZ13" s="366"/>
      <c r="BA13" s="366"/>
    </row>
    <row r="14" spans="1:53" s="371" customFormat="1" ht="12.75" customHeight="1" x14ac:dyDescent="0.25">
      <c r="A14" s="1013"/>
      <c r="B14" s="309" t="s">
        <v>1178</v>
      </c>
      <c r="C14" s="314">
        <v>1.4</v>
      </c>
      <c r="D14" s="336"/>
      <c r="E14" s="300"/>
      <c r="F14" s="301"/>
      <c r="G14" s="302"/>
      <c r="H14" s="301"/>
      <c r="I14" s="303"/>
      <c r="J14" s="290"/>
      <c r="K14" s="374"/>
      <c r="L14" s="292"/>
      <c r="M14" s="292"/>
      <c r="N14" s="292"/>
      <c r="O14" s="291"/>
      <c r="P14" s="291"/>
      <c r="Q14" s="372"/>
      <c r="R14" s="291"/>
      <c r="S14" s="291"/>
      <c r="T14" s="291"/>
      <c r="U14" s="291"/>
      <c r="V14" s="291"/>
      <c r="W14" s="372"/>
      <c r="X14" s="291"/>
      <c r="Y14" s="291"/>
      <c r="Z14" s="291"/>
      <c r="AA14" s="284"/>
      <c r="AB14" s="284"/>
      <c r="AC14" s="284"/>
      <c r="AD14" s="263"/>
      <c r="AE14" s="261"/>
      <c r="AF14" s="365"/>
      <c r="AG14" s="366"/>
      <c r="AH14" s="366"/>
      <c r="AI14" s="366"/>
      <c r="AJ14" s="375"/>
      <c r="AK14" s="366"/>
      <c r="AL14" s="368"/>
      <c r="AM14" s="366"/>
      <c r="AN14" s="366"/>
      <c r="AO14" s="369"/>
      <c r="AP14" s="366"/>
      <c r="AQ14" s="366"/>
      <c r="AR14" s="369"/>
      <c r="AS14" s="369"/>
      <c r="AT14" s="366"/>
      <c r="AU14" s="366"/>
      <c r="AV14" s="369"/>
      <c r="AW14" s="366"/>
      <c r="AX14" s="366"/>
      <c r="AY14" s="366"/>
      <c r="AZ14" s="366"/>
      <c r="BA14" s="366"/>
    </row>
    <row r="15" spans="1:53" s="371" customFormat="1" ht="12.75" customHeight="1" x14ac:dyDescent="0.25">
      <c r="A15" s="1013"/>
      <c r="B15" s="286" t="s">
        <v>1179</v>
      </c>
      <c r="C15" s="314">
        <v>1.4</v>
      </c>
      <c r="D15" s="336"/>
      <c r="E15" s="300"/>
      <c r="F15" s="376"/>
      <c r="G15" s="302"/>
      <c r="H15" s="301"/>
      <c r="I15" s="303"/>
      <c r="J15" s="290"/>
      <c r="K15" s="374"/>
      <c r="L15" s="292"/>
      <c r="M15" s="292"/>
      <c r="N15" s="292"/>
      <c r="O15" s="291"/>
      <c r="P15" s="291"/>
      <c r="Q15" s="372"/>
      <c r="R15" s="291"/>
      <c r="S15" s="291"/>
      <c r="T15" s="291"/>
      <c r="U15" s="291"/>
      <c r="V15" s="291"/>
      <c r="W15" s="372"/>
      <c r="X15" s="291"/>
      <c r="Y15" s="291"/>
      <c r="Z15" s="291"/>
      <c r="AA15" s="284"/>
      <c r="AB15" s="284"/>
      <c r="AC15" s="284"/>
      <c r="AD15" s="263"/>
      <c r="AE15" s="261"/>
      <c r="AF15" s="365"/>
      <c r="AG15" s="366"/>
      <c r="AH15" s="366"/>
      <c r="AI15" s="366"/>
      <c r="AJ15" s="375"/>
      <c r="AK15" s="366"/>
      <c r="AL15" s="368"/>
      <c r="AM15" s="366"/>
      <c r="AN15" s="366"/>
      <c r="AO15" s="369"/>
      <c r="AP15" s="366"/>
      <c r="AQ15" s="366"/>
      <c r="AR15" s="369"/>
      <c r="AS15" s="369"/>
      <c r="AT15" s="366"/>
      <c r="AU15" s="366"/>
      <c r="AV15" s="369"/>
      <c r="AW15" s="366"/>
      <c r="AX15" s="366"/>
      <c r="AY15" s="366"/>
      <c r="AZ15" s="366"/>
      <c r="BA15" s="366"/>
    </row>
    <row r="16" spans="1:53" s="371" customFormat="1" ht="12.75" customHeight="1" x14ac:dyDescent="0.25">
      <c r="A16" s="1013"/>
      <c r="B16" s="315" t="s">
        <v>1181</v>
      </c>
      <c r="C16" s="277">
        <f>C11*C14+C12*C15</f>
        <v>74.428856999404601</v>
      </c>
      <c r="D16" s="336"/>
      <c r="E16" s="300"/>
      <c r="F16" s="376"/>
      <c r="G16" s="302"/>
      <c r="H16" s="301"/>
      <c r="I16" s="303"/>
      <c r="J16" s="290"/>
      <c r="K16" s="374"/>
      <c r="L16" s="292"/>
      <c r="M16" s="292"/>
      <c r="N16" s="292"/>
      <c r="O16" s="291"/>
      <c r="P16" s="291"/>
      <c r="Q16" s="372"/>
      <c r="R16" s="291"/>
      <c r="S16" s="291"/>
      <c r="T16" s="291"/>
      <c r="U16" s="291"/>
      <c r="V16" s="291"/>
      <c r="W16" s="372"/>
      <c r="X16" s="291"/>
      <c r="Y16" s="291"/>
      <c r="Z16" s="291"/>
      <c r="AA16" s="284"/>
      <c r="AB16" s="284"/>
      <c r="AC16" s="284"/>
      <c r="AD16" s="263"/>
      <c r="AE16" s="261"/>
      <c r="AF16" s="365"/>
      <c r="AG16" s="366"/>
      <c r="AH16" s="366"/>
      <c r="AI16" s="366"/>
      <c r="AJ16" s="367"/>
      <c r="AK16" s="366"/>
      <c r="AL16" s="368"/>
      <c r="AM16" s="366"/>
      <c r="AN16" s="366"/>
      <c r="AO16" s="369"/>
      <c r="AP16" s="366"/>
      <c r="AQ16" s="366"/>
      <c r="AR16" s="369"/>
      <c r="AS16" s="369"/>
      <c r="AT16" s="366"/>
      <c r="AU16" s="366"/>
      <c r="AV16" s="369"/>
      <c r="AW16" s="366"/>
      <c r="AX16" s="366"/>
      <c r="AY16" s="366"/>
      <c r="AZ16" s="366"/>
      <c r="BA16" s="366"/>
    </row>
    <row r="17" spans="1:53" s="371" customFormat="1" ht="12.75" customHeight="1" x14ac:dyDescent="0.25">
      <c r="A17" s="1014"/>
      <c r="B17" s="315"/>
      <c r="C17" s="314"/>
      <c r="D17" s="337"/>
      <c r="E17" s="300"/>
      <c r="F17" s="376"/>
      <c r="G17" s="302"/>
      <c r="H17" s="301"/>
      <c r="I17" s="303"/>
      <c r="J17" s="290"/>
      <c r="K17" s="374"/>
      <c r="L17" s="292"/>
      <c r="M17" s="292"/>
      <c r="N17" s="292"/>
      <c r="O17" s="291"/>
      <c r="P17" s="291"/>
      <c r="Q17" s="372"/>
      <c r="R17" s="291"/>
      <c r="S17" s="291"/>
      <c r="T17" s="291"/>
      <c r="U17" s="291"/>
      <c r="V17" s="291"/>
      <c r="W17" s="372"/>
      <c r="X17" s="291"/>
      <c r="Y17" s="291"/>
      <c r="Z17" s="291"/>
      <c r="AA17" s="284"/>
      <c r="AB17" s="284"/>
      <c r="AC17" s="284"/>
      <c r="AD17" s="263"/>
      <c r="AE17" s="261"/>
      <c r="AF17" s="365"/>
      <c r="AG17" s="366"/>
      <c r="AH17" s="366"/>
      <c r="AI17" s="366"/>
      <c r="AJ17" s="375"/>
      <c r="AK17" s="366"/>
      <c r="AL17" s="368"/>
      <c r="AM17" s="366"/>
      <c r="AN17" s="366"/>
      <c r="AO17" s="369"/>
      <c r="AP17" s="366"/>
      <c r="AQ17" s="366"/>
      <c r="AR17" s="369"/>
      <c r="AS17" s="369"/>
      <c r="AT17" s="366"/>
      <c r="AU17" s="366"/>
      <c r="AV17" s="369"/>
      <c r="AW17" s="366"/>
      <c r="AX17" s="366"/>
      <c r="AY17" s="366"/>
      <c r="AZ17" s="366"/>
      <c r="BA17" s="366"/>
    </row>
    <row r="18" spans="1:53" ht="56.25" customHeight="1" x14ac:dyDescent="0.25">
      <c r="A18" s="1012" t="s">
        <v>226</v>
      </c>
      <c r="B18" s="353" t="s">
        <v>1263</v>
      </c>
      <c r="C18" s="277"/>
      <c r="D18" s="287"/>
      <c r="E18" s="278" t="s">
        <v>488</v>
      </c>
      <c r="F18" s="279" t="s">
        <v>837</v>
      </c>
      <c r="G18" s="277" t="s">
        <v>489</v>
      </c>
      <c r="H18" s="278" t="s">
        <v>1170</v>
      </c>
      <c r="I18" s="279" t="s">
        <v>838</v>
      </c>
      <c r="J18" s="280" t="s">
        <v>1171</v>
      </c>
      <c r="K18" s="280" t="s">
        <v>490</v>
      </c>
      <c r="L18" s="281" t="s">
        <v>489</v>
      </c>
      <c r="M18" s="280" t="s">
        <v>1172</v>
      </c>
      <c r="N18" s="354" t="s">
        <v>838</v>
      </c>
      <c r="O18" s="280" t="s">
        <v>1171</v>
      </c>
      <c r="P18" s="280" t="s">
        <v>826</v>
      </c>
      <c r="Q18" s="282" t="s">
        <v>1173</v>
      </c>
      <c r="R18" s="280" t="s">
        <v>1174</v>
      </c>
      <c r="S18" s="280" t="s">
        <v>839</v>
      </c>
      <c r="T18" s="280" t="s">
        <v>1171</v>
      </c>
      <c r="U18" s="280" t="s">
        <v>1392</v>
      </c>
      <c r="V18" s="282" t="s">
        <v>1173</v>
      </c>
      <c r="W18" s="280" t="s">
        <v>841</v>
      </c>
      <c r="X18" s="280" t="s">
        <v>1394</v>
      </c>
      <c r="Y18" s="280" t="s">
        <v>839</v>
      </c>
      <c r="Z18" s="283"/>
      <c r="AA18" s="284"/>
      <c r="AB18" s="284"/>
      <c r="AC18" s="377"/>
      <c r="AD18" s="263"/>
      <c r="AQ18" s="355"/>
      <c r="AR18" s="355"/>
      <c r="AS18" s="355"/>
    </row>
    <row r="19" spans="1:53" s="270" customFormat="1" ht="12" customHeight="1" x14ac:dyDescent="0.25">
      <c r="A19" s="1013"/>
      <c r="B19" s="285" t="s">
        <v>1175</v>
      </c>
      <c r="C19" s="277">
        <f>C26</f>
        <v>74.428856999404601</v>
      </c>
      <c r="D19" s="336">
        <f>C19*$D$5</f>
        <v>15.034629113879731</v>
      </c>
      <c r="E19" s="286" t="s">
        <v>1176</v>
      </c>
      <c r="F19" s="356"/>
      <c r="G19" s="288"/>
      <c r="H19" s="288"/>
      <c r="I19" s="289">
        <f>SUM(I20:I27)</f>
        <v>11.055</v>
      </c>
      <c r="J19" s="290" t="s">
        <v>1176</v>
      </c>
      <c r="K19" s="357"/>
      <c r="L19" s="291"/>
      <c r="M19" s="291"/>
      <c r="N19" s="433">
        <f>SUM(N20:N27)</f>
        <v>0.22960120532715511</v>
      </c>
      <c r="O19" s="291" t="s">
        <v>1176</v>
      </c>
      <c r="P19" s="291"/>
      <c r="Q19" s="372"/>
      <c r="R19" s="294"/>
      <c r="S19" s="433">
        <f>SUM(S20:S27)</f>
        <v>0.29199995128985923</v>
      </c>
      <c r="T19" s="291" t="s">
        <v>1176</v>
      </c>
      <c r="U19" s="307"/>
      <c r="V19" s="308"/>
      <c r="W19" s="306"/>
      <c r="X19" s="292"/>
      <c r="Y19" s="433">
        <f>SUM(Y20:Y27)</f>
        <v>12.176973602760732</v>
      </c>
      <c r="Z19" s="296">
        <f>(C19+D19+I19+N19+Y19+S19)*$Z$5</f>
        <v>147.20342916103272</v>
      </c>
      <c r="AA19" s="297">
        <f>C19+D19+I19+N19+S19+Y19+Z19</f>
        <v>260.42049003369482</v>
      </c>
      <c r="AB19" s="298">
        <v>0.25</v>
      </c>
      <c r="AC19" s="358">
        <f>AA19*(1+AB19)</f>
        <v>325.52561254211855</v>
      </c>
      <c r="AD19" s="265"/>
      <c r="AE19" s="261"/>
      <c r="AF19" s="262"/>
      <c r="AG19" s="263"/>
      <c r="AH19" s="263"/>
      <c r="AI19" s="355"/>
      <c r="AJ19" s="359"/>
      <c r="AK19" s="360"/>
      <c r="AL19" s="264"/>
      <c r="AM19" s="361"/>
      <c r="AN19" s="143"/>
      <c r="AO19" s="362"/>
      <c r="AP19" s="363"/>
      <c r="AQ19" s="363"/>
      <c r="AR19" s="363"/>
      <c r="AS19" s="363"/>
      <c r="AT19" s="363"/>
      <c r="AU19" s="362"/>
      <c r="AV19" s="362"/>
      <c r="AW19" s="364"/>
      <c r="AX19" s="272"/>
      <c r="AY19" s="272"/>
      <c r="AZ19" s="272"/>
      <c r="BA19" s="272"/>
    </row>
    <row r="20" spans="1:53" s="371" customFormat="1" ht="12.75" customHeight="1" x14ac:dyDescent="0.25">
      <c r="A20" s="1013"/>
      <c r="B20" s="299" t="s">
        <v>830</v>
      </c>
      <c r="C20" s="277"/>
      <c r="D20" s="336"/>
      <c r="E20" s="300" t="s">
        <v>2186</v>
      </c>
      <c r="F20" s="301" t="s">
        <v>1441</v>
      </c>
      <c r="G20" s="302">
        <v>5.36</v>
      </c>
      <c r="H20" s="301">
        <v>1</v>
      </c>
      <c r="I20" s="303">
        <f>G20*H20</f>
        <v>5.36</v>
      </c>
      <c r="J20" s="290" t="s">
        <v>1291</v>
      </c>
      <c r="K20" s="304">
        <v>2</v>
      </c>
      <c r="L20" s="305">
        <v>750</v>
      </c>
      <c r="M20" s="304">
        <v>2</v>
      </c>
      <c r="N20" s="433">
        <f>L20/'Исп. коэффициенты'!E52*(C24+C25)</f>
        <v>0.19793207355789236</v>
      </c>
      <c r="O20" s="291" t="s">
        <v>1667</v>
      </c>
      <c r="P20" s="291">
        <v>4500</v>
      </c>
      <c r="Q20" s="291">
        <v>19.670000000000002</v>
      </c>
      <c r="R20" s="291">
        <v>885.15</v>
      </c>
      <c r="S20" s="433">
        <f>R20/'Исп. коэффициенты'!E52*C24</f>
        <v>0.11679971660651227</v>
      </c>
      <c r="T20" s="306" t="s">
        <v>1435</v>
      </c>
      <c r="U20" s="307">
        <v>6785401.3499999996</v>
      </c>
      <c r="V20" s="308">
        <v>1.3599999999999999E-2</v>
      </c>
      <c r="W20" s="306">
        <f>'Исп. коэффициенты'!E124</f>
        <v>2978.5</v>
      </c>
      <c r="X20" s="433">
        <f>U20*V20</f>
        <v>92281.45835999999</v>
      </c>
      <c r="Y20" s="295">
        <f>X20/'Исп. коэффициенты'!E52*C24</f>
        <v>12.176973602760732</v>
      </c>
      <c r="Z20" s="291"/>
      <c r="AA20" s="284"/>
      <c r="AB20" s="284"/>
      <c r="AC20" s="377"/>
      <c r="AD20" s="263"/>
      <c r="AE20" s="261"/>
      <c r="AF20" s="365"/>
      <c r="AG20" s="366"/>
      <c r="AH20" s="366"/>
      <c r="AI20" s="366"/>
      <c r="AJ20" s="367"/>
      <c r="AK20" s="366"/>
      <c r="AL20" s="368"/>
      <c r="AM20" s="366"/>
      <c r="AN20" s="366"/>
      <c r="AO20" s="369"/>
      <c r="AP20" s="366"/>
      <c r="AQ20" s="366"/>
      <c r="AR20" s="369"/>
      <c r="AS20" s="369"/>
      <c r="AT20" s="370"/>
      <c r="AU20" s="366"/>
      <c r="AV20" s="369"/>
      <c r="AW20" s="366"/>
      <c r="AX20" s="366"/>
      <c r="AY20" s="366"/>
      <c r="AZ20" s="366"/>
      <c r="BA20" s="366"/>
    </row>
    <row r="21" spans="1:53" s="371" customFormat="1" x14ac:dyDescent="0.25">
      <c r="A21" s="1013"/>
      <c r="B21" s="309" t="s">
        <v>1178</v>
      </c>
      <c r="C21" s="310">
        <f>C11</f>
        <v>33.667709452234185</v>
      </c>
      <c r="D21" s="336"/>
      <c r="E21" s="300" t="s">
        <v>2187</v>
      </c>
      <c r="F21" s="301" t="s">
        <v>1</v>
      </c>
      <c r="G21" s="302">
        <v>6.3E-2</v>
      </c>
      <c r="H21" s="301">
        <v>5</v>
      </c>
      <c r="I21" s="303">
        <f>G21*H21</f>
        <v>0.315</v>
      </c>
      <c r="J21" s="290" t="s">
        <v>1445</v>
      </c>
      <c r="K21" s="292">
        <v>2</v>
      </c>
      <c r="L21" s="311">
        <v>95</v>
      </c>
      <c r="M21" s="304">
        <v>2</v>
      </c>
      <c r="N21" s="433">
        <f>L21/'Исп. коэффициенты'!E52*(C24+C25)</f>
        <v>2.5071395983999697E-2</v>
      </c>
      <c r="O21" s="291" t="s">
        <v>1668</v>
      </c>
      <c r="P21" s="291">
        <v>6750</v>
      </c>
      <c r="Q21" s="291">
        <v>19.670000000000002</v>
      </c>
      <c r="R21" s="291">
        <v>1327.73</v>
      </c>
      <c r="S21" s="433">
        <f>R21/'Исп. коэффициенты'!E52*C24</f>
        <v>0.17520023468334694</v>
      </c>
      <c r="T21" s="291"/>
      <c r="U21" s="291"/>
      <c r="V21" s="291"/>
      <c r="W21" s="372"/>
      <c r="X21" s="291"/>
      <c r="Y21" s="291"/>
      <c r="Z21" s="291"/>
      <c r="AA21" s="284"/>
      <c r="AB21" s="284"/>
      <c r="AC21" s="377"/>
      <c r="AD21" s="263"/>
      <c r="AE21" s="261"/>
      <c r="AF21" s="365"/>
      <c r="AG21" s="366"/>
      <c r="AH21" s="366"/>
      <c r="AI21" s="366"/>
      <c r="AJ21" s="367"/>
      <c r="AK21" s="366"/>
      <c r="AL21" s="368"/>
      <c r="AM21" s="373"/>
      <c r="AN21" s="366"/>
      <c r="AO21" s="369"/>
      <c r="AP21" s="366"/>
      <c r="AQ21" s="366"/>
      <c r="AR21" s="369"/>
      <c r="AS21" s="369"/>
      <c r="AT21" s="366"/>
      <c r="AU21" s="366"/>
      <c r="AV21" s="369"/>
      <c r="AW21" s="366"/>
      <c r="AX21" s="366"/>
      <c r="AY21" s="366"/>
      <c r="AZ21" s="366"/>
      <c r="BA21" s="366"/>
    </row>
    <row r="22" spans="1:53" s="371" customFormat="1" ht="12.75" customHeight="1" x14ac:dyDescent="0.25">
      <c r="A22" s="1013"/>
      <c r="B22" s="286" t="s">
        <v>1179</v>
      </c>
      <c r="C22" s="277">
        <f>C12</f>
        <v>19.495759833054819</v>
      </c>
      <c r="D22" s="336"/>
      <c r="E22" s="300" t="s">
        <v>2112</v>
      </c>
      <c r="F22" s="301" t="s">
        <v>1</v>
      </c>
      <c r="G22" s="302">
        <v>0.47</v>
      </c>
      <c r="H22" s="302">
        <v>10</v>
      </c>
      <c r="I22" s="303">
        <f>G22*H22</f>
        <v>4.6999999999999993</v>
      </c>
      <c r="J22" s="290" t="s">
        <v>1513</v>
      </c>
      <c r="K22" s="292">
        <v>2</v>
      </c>
      <c r="L22" s="292">
        <v>25</v>
      </c>
      <c r="M22" s="304">
        <v>0.5</v>
      </c>
      <c r="N22" s="433">
        <f>L22/'Исп. коэффициенты'!E52*(C24+C25)</f>
        <v>6.5977357852630789E-3</v>
      </c>
      <c r="O22" s="291"/>
      <c r="P22" s="291"/>
      <c r="Q22" s="372"/>
      <c r="R22" s="291"/>
      <c r="S22" s="291"/>
      <c r="T22" s="291"/>
      <c r="U22" s="291"/>
      <c r="V22" s="291"/>
      <c r="W22" s="372"/>
      <c r="X22" s="291"/>
      <c r="Y22" s="291"/>
      <c r="Z22" s="291"/>
      <c r="AA22" s="284"/>
      <c r="AB22" s="284"/>
      <c r="AC22" s="284"/>
      <c r="AD22" s="263"/>
      <c r="AE22" s="261"/>
      <c r="AF22" s="365"/>
      <c r="AG22" s="366"/>
      <c r="AH22" s="366"/>
      <c r="AI22" s="366"/>
      <c r="AJ22" s="367"/>
      <c r="AK22" s="366"/>
      <c r="AL22" s="368"/>
      <c r="AM22" s="366"/>
      <c r="AN22" s="366"/>
      <c r="AO22" s="369"/>
      <c r="AP22" s="366"/>
      <c r="AQ22" s="366"/>
      <c r="AR22" s="369"/>
      <c r="AS22" s="369"/>
      <c r="AT22" s="366"/>
      <c r="AU22" s="366"/>
      <c r="AV22" s="369"/>
      <c r="AW22" s="366"/>
      <c r="AX22" s="366"/>
      <c r="AY22" s="366"/>
      <c r="AZ22" s="366"/>
      <c r="BA22" s="366"/>
    </row>
    <row r="23" spans="1:53" s="371" customFormat="1" ht="12.75" customHeight="1" x14ac:dyDescent="0.25">
      <c r="A23" s="1013"/>
      <c r="B23" s="286" t="s">
        <v>831</v>
      </c>
      <c r="C23" s="313"/>
      <c r="D23" s="336"/>
      <c r="E23" s="300" t="s">
        <v>9</v>
      </c>
      <c r="F23" s="376" t="s">
        <v>1441</v>
      </c>
      <c r="G23" s="302">
        <v>0.68</v>
      </c>
      <c r="H23" s="301">
        <v>1</v>
      </c>
      <c r="I23" s="303">
        <f t="shared" ref="I23" si="1">G23*H23</f>
        <v>0.68</v>
      </c>
      <c r="J23" s="290"/>
      <c r="K23" s="374"/>
      <c r="L23" s="292"/>
      <c r="M23" s="292"/>
      <c r="N23" s="292"/>
      <c r="O23" s="291"/>
      <c r="P23" s="291"/>
      <c r="Q23" s="372"/>
      <c r="R23" s="291"/>
      <c r="S23" s="291"/>
      <c r="T23" s="291"/>
      <c r="U23" s="291"/>
      <c r="V23" s="291"/>
      <c r="W23" s="372"/>
      <c r="X23" s="291"/>
      <c r="Y23" s="291"/>
      <c r="Z23" s="291"/>
      <c r="AA23" s="284"/>
      <c r="AB23" s="284"/>
      <c r="AC23" s="284"/>
      <c r="AD23" s="263"/>
      <c r="AE23" s="261"/>
      <c r="AF23" s="365"/>
      <c r="AG23" s="366"/>
      <c r="AH23" s="366"/>
      <c r="AI23" s="366"/>
      <c r="AJ23" s="367"/>
      <c r="AK23" s="366"/>
      <c r="AL23" s="368"/>
      <c r="AM23" s="366"/>
      <c r="AN23" s="366"/>
      <c r="AO23" s="369"/>
      <c r="AP23" s="366"/>
      <c r="AQ23" s="366"/>
      <c r="AR23" s="369"/>
      <c r="AS23" s="369"/>
      <c r="AT23" s="366"/>
      <c r="AU23" s="366"/>
      <c r="AV23" s="369"/>
      <c r="AW23" s="366"/>
      <c r="AX23" s="366"/>
      <c r="AY23" s="366"/>
      <c r="AZ23" s="366"/>
      <c r="BA23" s="366"/>
    </row>
    <row r="24" spans="1:53" s="371" customFormat="1" ht="12.75" customHeight="1" x14ac:dyDescent="0.25">
      <c r="A24" s="1013"/>
      <c r="B24" s="309" t="s">
        <v>1178</v>
      </c>
      <c r="C24" s="314">
        <v>1.4</v>
      </c>
      <c r="D24" s="336"/>
      <c r="E24" s="300"/>
      <c r="F24" s="301"/>
      <c r="G24" s="302"/>
      <c r="H24" s="301"/>
      <c r="I24" s="303"/>
      <c r="J24" s="290"/>
      <c r="K24" s="374"/>
      <c r="L24" s="292"/>
      <c r="M24" s="292"/>
      <c r="N24" s="292"/>
      <c r="O24" s="291"/>
      <c r="P24" s="291"/>
      <c r="Q24" s="372"/>
      <c r="R24" s="291"/>
      <c r="S24" s="291"/>
      <c r="T24" s="291"/>
      <c r="U24" s="291"/>
      <c r="V24" s="291"/>
      <c r="W24" s="372"/>
      <c r="X24" s="291"/>
      <c r="Y24" s="291"/>
      <c r="Z24" s="291"/>
      <c r="AA24" s="284"/>
      <c r="AB24" s="284"/>
      <c r="AC24" s="284"/>
      <c r="AD24" s="263"/>
      <c r="AE24" s="261"/>
      <c r="AF24" s="365"/>
      <c r="AG24" s="366"/>
      <c r="AH24" s="366"/>
      <c r="AI24" s="366"/>
      <c r="AJ24" s="375"/>
      <c r="AK24" s="366"/>
      <c r="AL24" s="368"/>
      <c r="AM24" s="366"/>
      <c r="AN24" s="366"/>
      <c r="AO24" s="369"/>
      <c r="AP24" s="366"/>
      <c r="AQ24" s="366"/>
      <c r="AR24" s="369"/>
      <c r="AS24" s="369"/>
      <c r="AT24" s="366"/>
      <c r="AU24" s="366"/>
      <c r="AV24" s="369"/>
      <c r="AW24" s="366"/>
      <c r="AX24" s="366"/>
      <c r="AY24" s="366"/>
      <c r="AZ24" s="366"/>
      <c r="BA24" s="366"/>
    </row>
    <row r="25" spans="1:53" s="371" customFormat="1" ht="12.75" customHeight="1" x14ac:dyDescent="0.25">
      <c r="A25" s="1013"/>
      <c r="B25" s="286" t="s">
        <v>1179</v>
      </c>
      <c r="C25" s="314">
        <v>1.4</v>
      </c>
      <c r="D25" s="336"/>
      <c r="E25" s="300"/>
      <c r="F25" s="376"/>
      <c r="G25" s="302"/>
      <c r="H25" s="301"/>
      <c r="I25" s="303"/>
      <c r="J25" s="290"/>
      <c r="K25" s="374"/>
      <c r="L25" s="292"/>
      <c r="M25" s="292"/>
      <c r="N25" s="292"/>
      <c r="O25" s="291"/>
      <c r="P25" s="291"/>
      <c r="Q25" s="372"/>
      <c r="R25" s="291"/>
      <c r="S25" s="291"/>
      <c r="T25" s="291"/>
      <c r="U25" s="291"/>
      <c r="V25" s="291"/>
      <c r="W25" s="372"/>
      <c r="X25" s="291"/>
      <c r="Y25" s="291"/>
      <c r="Z25" s="291"/>
      <c r="AA25" s="284"/>
      <c r="AB25" s="284"/>
      <c r="AC25" s="284"/>
      <c r="AD25" s="263"/>
      <c r="AE25" s="261"/>
      <c r="AF25" s="365"/>
      <c r="AG25" s="366"/>
      <c r="AH25" s="366"/>
      <c r="AI25" s="366"/>
      <c r="AJ25" s="375"/>
      <c r="AK25" s="366"/>
      <c r="AL25" s="368"/>
      <c r="AM25" s="366"/>
      <c r="AN25" s="366"/>
      <c r="AO25" s="369"/>
      <c r="AP25" s="366"/>
      <c r="AQ25" s="366"/>
      <c r="AR25" s="369"/>
      <c r="AS25" s="369"/>
      <c r="AT25" s="366"/>
      <c r="AU25" s="366"/>
      <c r="AV25" s="369"/>
      <c r="AW25" s="366"/>
      <c r="AX25" s="366"/>
      <c r="AY25" s="366"/>
      <c r="AZ25" s="366"/>
      <c r="BA25" s="366"/>
    </row>
    <row r="26" spans="1:53" s="371" customFormat="1" ht="12.75" customHeight="1" x14ac:dyDescent="0.25">
      <c r="A26" s="1013"/>
      <c r="B26" s="315" t="s">
        <v>1181</v>
      </c>
      <c r="C26" s="277">
        <f>C21*C24+C22*C25</f>
        <v>74.428856999404601</v>
      </c>
      <c r="D26" s="336"/>
      <c r="E26" s="300"/>
      <c r="F26" s="376"/>
      <c r="G26" s="302"/>
      <c r="H26" s="301"/>
      <c r="I26" s="303"/>
      <c r="J26" s="290"/>
      <c r="K26" s="374"/>
      <c r="L26" s="292"/>
      <c r="M26" s="292"/>
      <c r="N26" s="292"/>
      <c r="O26" s="291"/>
      <c r="P26" s="291"/>
      <c r="Q26" s="372"/>
      <c r="R26" s="291"/>
      <c r="S26" s="291"/>
      <c r="T26" s="291"/>
      <c r="U26" s="291"/>
      <c r="V26" s="291"/>
      <c r="W26" s="372"/>
      <c r="X26" s="291"/>
      <c r="Y26" s="291"/>
      <c r="Z26" s="291"/>
      <c r="AA26" s="284"/>
      <c r="AB26" s="284"/>
      <c r="AC26" s="284"/>
      <c r="AD26" s="263"/>
      <c r="AE26" s="261"/>
      <c r="AF26" s="365"/>
      <c r="AG26" s="366"/>
      <c r="AH26" s="366"/>
      <c r="AI26" s="366"/>
      <c r="AJ26" s="367"/>
      <c r="AK26" s="366"/>
      <c r="AL26" s="368"/>
      <c r="AM26" s="366"/>
      <c r="AN26" s="366"/>
      <c r="AO26" s="369"/>
      <c r="AP26" s="366"/>
      <c r="AQ26" s="366"/>
      <c r="AR26" s="369"/>
      <c r="AS26" s="369"/>
      <c r="AT26" s="366"/>
      <c r="AU26" s="366"/>
      <c r="AV26" s="369"/>
      <c r="AW26" s="366"/>
      <c r="AX26" s="366"/>
      <c r="AY26" s="366"/>
      <c r="AZ26" s="366"/>
      <c r="BA26" s="366"/>
    </row>
    <row r="27" spans="1:53" s="371" customFormat="1" ht="12.75" customHeight="1" x14ac:dyDescent="0.25">
      <c r="A27" s="1014"/>
      <c r="B27" s="315"/>
      <c r="C27" s="314"/>
      <c r="D27" s="337"/>
      <c r="E27" s="300"/>
      <c r="F27" s="376"/>
      <c r="G27" s="302"/>
      <c r="H27" s="301"/>
      <c r="I27" s="303"/>
      <c r="J27" s="290"/>
      <c r="K27" s="374"/>
      <c r="L27" s="292"/>
      <c r="M27" s="292"/>
      <c r="N27" s="292"/>
      <c r="O27" s="291"/>
      <c r="P27" s="291"/>
      <c r="Q27" s="372"/>
      <c r="R27" s="291"/>
      <c r="S27" s="291"/>
      <c r="T27" s="291"/>
      <c r="U27" s="291"/>
      <c r="V27" s="291"/>
      <c r="W27" s="372"/>
      <c r="X27" s="291"/>
      <c r="Y27" s="291"/>
      <c r="Z27" s="291"/>
      <c r="AA27" s="284"/>
      <c r="AB27" s="284"/>
      <c r="AC27" s="284"/>
      <c r="AD27" s="263"/>
      <c r="AE27" s="261"/>
      <c r="AF27" s="365"/>
      <c r="AG27" s="366"/>
      <c r="AH27" s="366"/>
      <c r="AI27" s="366"/>
      <c r="AJ27" s="375"/>
      <c r="AK27" s="366"/>
      <c r="AL27" s="368"/>
      <c r="AM27" s="366"/>
      <c r="AN27" s="366"/>
      <c r="AO27" s="369"/>
      <c r="AP27" s="366"/>
      <c r="AQ27" s="366"/>
      <c r="AR27" s="369"/>
      <c r="AS27" s="369"/>
      <c r="AT27" s="366"/>
      <c r="AU27" s="366"/>
      <c r="AV27" s="369"/>
      <c r="AW27" s="366"/>
      <c r="AX27" s="366"/>
      <c r="AY27" s="366"/>
      <c r="AZ27" s="366"/>
      <c r="BA27" s="366"/>
    </row>
    <row r="28" spans="1:53" ht="56.25" customHeight="1" x14ac:dyDescent="0.25">
      <c r="A28" s="1012" t="s">
        <v>227</v>
      </c>
      <c r="B28" s="353" t="s">
        <v>1257</v>
      </c>
      <c r="C28" s="277"/>
      <c r="D28" s="287"/>
      <c r="E28" s="278" t="s">
        <v>488</v>
      </c>
      <c r="F28" s="279" t="s">
        <v>837</v>
      </c>
      <c r="G28" s="277" t="s">
        <v>489</v>
      </c>
      <c r="H28" s="278" t="s">
        <v>1170</v>
      </c>
      <c r="I28" s="279" t="s">
        <v>838</v>
      </c>
      <c r="J28" s="280" t="s">
        <v>1171</v>
      </c>
      <c r="K28" s="280" t="s">
        <v>490</v>
      </c>
      <c r="L28" s="281" t="s">
        <v>489</v>
      </c>
      <c r="M28" s="280" t="s">
        <v>1172</v>
      </c>
      <c r="N28" s="354" t="s">
        <v>838</v>
      </c>
      <c r="O28" s="280" t="s">
        <v>1171</v>
      </c>
      <c r="P28" s="280" t="s">
        <v>826</v>
      </c>
      <c r="Q28" s="282" t="s">
        <v>1173</v>
      </c>
      <c r="R28" s="280" t="s">
        <v>1174</v>
      </c>
      <c r="S28" s="280" t="s">
        <v>839</v>
      </c>
      <c r="T28" s="280" t="s">
        <v>1171</v>
      </c>
      <c r="U28" s="280" t="s">
        <v>1392</v>
      </c>
      <c r="V28" s="282" t="s">
        <v>1173</v>
      </c>
      <c r="W28" s="280" t="s">
        <v>841</v>
      </c>
      <c r="X28" s="280" t="s">
        <v>1394</v>
      </c>
      <c r="Y28" s="280" t="s">
        <v>839</v>
      </c>
      <c r="Z28" s="283"/>
      <c r="AA28" s="284"/>
      <c r="AB28" s="284"/>
      <c r="AC28" s="284"/>
      <c r="AD28" s="263"/>
      <c r="AQ28" s="355"/>
      <c r="AR28" s="355"/>
      <c r="AS28" s="355"/>
    </row>
    <row r="29" spans="1:53" s="270" customFormat="1" ht="12" customHeight="1" x14ac:dyDescent="0.25">
      <c r="A29" s="1013"/>
      <c r="B29" s="285" t="s">
        <v>1175</v>
      </c>
      <c r="C29" s="277">
        <f>C36</f>
        <v>79.745203927933503</v>
      </c>
      <c r="D29" s="336">
        <f>C29*$D$5</f>
        <v>16.10853119344257</v>
      </c>
      <c r="E29" s="286" t="s">
        <v>1176</v>
      </c>
      <c r="F29" s="356"/>
      <c r="G29" s="288"/>
      <c r="H29" s="288"/>
      <c r="I29" s="289">
        <f>SUM(I30:I37)</f>
        <v>11.055</v>
      </c>
      <c r="J29" s="290" t="s">
        <v>1176</v>
      </c>
      <c r="K29" s="357"/>
      <c r="L29" s="291"/>
      <c r="M29" s="291"/>
      <c r="N29" s="433">
        <f>SUM(N30:N37)</f>
        <v>0.24600129142195196</v>
      </c>
      <c r="O29" s="291" t="s">
        <v>1176</v>
      </c>
      <c r="P29" s="291"/>
      <c r="Q29" s="372"/>
      <c r="R29" s="294"/>
      <c r="S29" s="433">
        <f>SUM(S30:S37)</f>
        <v>0.31285709066770634</v>
      </c>
      <c r="T29" s="291" t="s">
        <v>1176</v>
      </c>
      <c r="U29" s="307"/>
      <c r="V29" s="308"/>
      <c r="W29" s="306"/>
      <c r="X29" s="292"/>
      <c r="Y29" s="433">
        <f>SUM(Y30:Y37)</f>
        <v>13.046757431529358</v>
      </c>
      <c r="Z29" s="296">
        <f>(C29+D29+I29+N29+Y29+S29)*$Z$5</f>
        <v>156.69127589083175</v>
      </c>
      <c r="AA29" s="297">
        <f>C29+D29+I29+N29+S29+Y29+Z29</f>
        <v>277.20562682582681</v>
      </c>
      <c r="AB29" s="298">
        <v>0.25</v>
      </c>
      <c r="AC29" s="358">
        <f>AA29*(1+AB29)</f>
        <v>346.50703353228351</v>
      </c>
      <c r="AD29" s="265"/>
      <c r="AE29" s="261"/>
      <c r="AF29" s="262"/>
      <c r="AG29" s="263"/>
      <c r="AH29" s="263"/>
      <c r="AI29" s="355"/>
      <c r="AJ29" s="359"/>
      <c r="AK29" s="360"/>
      <c r="AL29" s="264"/>
      <c r="AM29" s="361"/>
      <c r="AN29" s="143"/>
      <c r="AO29" s="362"/>
      <c r="AP29" s="363"/>
      <c r="AQ29" s="363"/>
      <c r="AR29" s="363"/>
      <c r="AS29" s="363"/>
      <c r="AT29" s="363"/>
      <c r="AU29" s="362"/>
      <c r="AV29" s="362"/>
      <c r="AW29" s="364"/>
      <c r="AX29" s="272"/>
      <c r="AY29" s="272"/>
      <c r="AZ29" s="272"/>
      <c r="BA29" s="272"/>
    </row>
    <row r="30" spans="1:53" s="371" customFormat="1" ht="12.75" customHeight="1" x14ac:dyDescent="0.25">
      <c r="A30" s="1013"/>
      <c r="B30" s="299" t="s">
        <v>830</v>
      </c>
      <c r="C30" s="277"/>
      <c r="D30" s="336"/>
      <c r="E30" s="300" t="s">
        <v>2186</v>
      </c>
      <c r="F30" s="301" t="s">
        <v>1441</v>
      </c>
      <c r="G30" s="302">
        <v>5.36</v>
      </c>
      <c r="H30" s="301">
        <v>1</v>
      </c>
      <c r="I30" s="303">
        <f>G30*H30</f>
        <v>5.36</v>
      </c>
      <c r="J30" s="290" t="s">
        <v>1291</v>
      </c>
      <c r="K30" s="304">
        <v>2</v>
      </c>
      <c r="L30" s="305">
        <v>750</v>
      </c>
      <c r="M30" s="304">
        <v>2</v>
      </c>
      <c r="N30" s="433">
        <f>L30/'Исп. коэффициенты'!E52*(C34+C35)</f>
        <v>0.21207007881202755</v>
      </c>
      <c r="O30" s="291" t="s">
        <v>1667</v>
      </c>
      <c r="P30" s="291">
        <v>4500</v>
      </c>
      <c r="Q30" s="291">
        <v>19.670000000000002</v>
      </c>
      <c r="R30" s="291">
        <v>885.15</v>
      </c>
      <c r="S30" s="433">
        <f>R30/'Исп. коэффициенты'!E52*C34</f>
        <v>0.12514255350697745</v>
      </c>
      <c r="T30" s="306" t="s">
        <v>1435</v>
      </c>
      <c r="U30" s="307">
        <v>6785401.3499999996</v>
      </c>
      <c r="V30" s="308">
        <v>1.3599999999999999E-2</v>
      </c>
      <c r="W30" s="306">
        <f>'Исп. коэффициенты'!E124</f>
        <v>2978.5</v>
      </c>
      <c r="X30" s="433">
        <f>U30*V30</f>
        <v>92281.45835999999</v>
      </c>
      <c r="Y30" s="295">
        <f>X30/'Исп. коэффициенты'!E52*C34</f>
        <v>13.046757431529358</v>
      </c>
      <c r="Z30" s="291"/>
      <c r="AA30" s="284"/>
      <c r="AB30" s="284"/>
      <c r="AC30" s="377"/>
      <c r="AD30" s="263"/>
      <c r="AE30" s="261"/>
      <c r="AF30" s="365"/>
      <c r="AG30" s="366"/>
      <c r="AH30" s="366"/>
      <c r="AI30" s="366"/>
      <c r="AJ30" s="367"/>
      <c r="AK30" s="366"/>
      <c r="AL30" s="368"/>
      <c r="AM30" s="366"/>
      <c r="AN30" s="366"/>
      <c r="AO30" s="369"/>
      <c r="AP30" s="366"/>
      <c r="AQ30" s="366"/>
      <c r="AR30" s="369"/>
      <c r="AS30" s="369"/>
      <c r="AT30" s="370"/>
      <c r="AU30" s="366"/>
      <c r="AV30" s="369"/>
      <c r="AW30" s="366"/>
      <c r="AX30" s="366"/>
      <c r="AY30" s="366"/>
      <c r="AZ30" s="366"/>
      <c r="BA30" s="366"/>
    </row>
    <row r="31" spans="1:53" s="371" customFormat="1" x14ac:dyDescent="0.25">
      <c r="A31" s="1013"/>
      <c r="B31" s="309" t="s">
        <v>1178</v>
      </c>
      <c r="C31" s="310">
        <f>C21</f>
        <v>33.667709452234185</v>
      </c>
      <c r="D31" s="336"/>
      <c r="E31" s="300" t="s">
        <v>2187</v>
      </c>
      <c r="F31" s="301" t="s">
        <v>1</v>
      </c>
      <c r="G31" s="302">
        <v>6.3E-2</v>
      </c>
      <c r="H31" s="301">
        <v>5</v>
      </c>
      <c r="I31" s="303">
        <f>G31*H31</f>
        <v>0.315</v>
      </c>
      <c r="J31" s="290" t="s">
        <v>1445</v>
      </c>
      <c r="K31" s="292">
        <v>2</v>
      </c>
      <c r="L31" s="311">
        <v>95</v>
      </c>
      <c r="M31" s="304">
        <v>2</v>
      </c>
      <c r="N31" s="433">
        <f>L31/'Исп. коэффициенты'!E52*(C34+C35)</f>
        <v>2.6862209982856822E-2</v>
      </c>
      <c r="O31" s="291" t="s">
        <v>1668</v>
      </c>
      <c r="P31" s="291">
        <v>6750</v>
      </c>
      <c r="Q31" s="291">
        <v>19.670000000000002</v>
      </c>
      <c r="R31" s="291">
        <v>1327.73</v>
      </c>
      <c r="S31" s="433">
        <f>R31/'Исп. коэффициенты'!E52*C34</f>
        <v>0.18771453716072889</v>
      </c>
      <c r="T31" s="291"/>
      <c r="U31" s="291"/>
      <c r="V31" s="291"/>
      <c r="W31" s="372"/>
      <c r="X31" s="291"/>
      <c r="Y31" s="291"/>
      <c r="Z31" s="291"/>
      <c r="AA31" s="284"/>
      <c r="AB31" s="284"/>
      <c r="AC31" s="377"/>
      <c r="AD31" s="263"/>
      <c r="AE31" s="261"/>
      <c r="AF31" s="365"/>
      <c r="AG31" s="366"/>
      <c r="AH31" s="366"/>
      <c r="AI31" s="366"/>
      <c r="AJ31" s="367"/>
      <c r="AK31" s="366"/>
      <c r="AL31" s="368"/>
      <c r="AM31" s="373"/>
      <c r="AN31" s="366"/>
      <c r="AO31" s="369"/>
      <c r="AP31" s="366"/>
      <c r="AQ31" s="366"/>
      <c r="AR31" s="369"/>
      <c r="AS31" s="369"/>
      <c r="AT31" s="366"/>
      <c r="AU31" s="366"/>
      <c r="AV31" s="369"/>
      <c r="AW31" s="366"/>
      <c r="AX31" s="366"/>
      <c r="AY31" s="366"/>
      <c r="AZ31" s="366"/>
      <c r="BA31" s="366"/>
    </row>
    <row r="32" spans="1:53" s="371" customFormat="1" ht="12.75" customHeight="1" x14ac:dyDescent="0.25">
      <c r="A32" s="1013"/>
      <c r="B32" s="286" t="s">
        <v>1179</v>
      </c>
      <c r="C32" s="277">
        <f>C22</f>
        <v>19.495759833054819</v>
      </c>
      <c r="D32" s="336"/>
      <c r="E32" s="300" t="s">
        <v>2112</v>
      </c>
      <c r="F32" s="301" t="s">
        <v>1</v>
      </c>
      <c r="G32" s="302">
        <v>0.47</v>
      </c>
      <c r="H32" s="302">
        <v>10</v>
      </c>
      <c r="I32" s="303">
        <f>G32*H32</f>
        <v>4.6999999999999993</v>
      </c>
      <c r="J32" s="290" t="s">
        <v>1513</v>
      </c>
      <c r="K32" s="292">
        <v>2</v>
      </c>
      <c r="L32" s="292">
        <v>25</v>
      </c>
      <c r="M32" s="304">
        <v>0.5</v>
      </c>
      <c r="N32" s="433">
        <f>L32/'Исп. коэффициенты'!E52*(C34+C35)</f>
        <v>7.0690026270675849E-3</v>
      </c>
      <c r="O32" s="291"/>
      <c r="P32" s="291"/>
      <c r="Q32" s="372"/>
      <c r="R32" s="291"/>
      <c r="S32" s="291"/>
      <c r="T32" s="291"/>
      <c r="U32" s="291"/>
      <c r="V32" s="291"/>
      <c r="W32" s="372"/>
      <c r="X32" s="291"/>
      <c r="Y32" s="291"/>
      <c r="Z32" s="291"/>
      <c r="AA32" s="284"/>
      <c r="AB32" s="284"/>
      <c r="AC32" s="377"/>
      <c r="AD32" s="263"/>
      <c r="AE32" s="261"/>
      <c r="AF32" s="365"/>
      <c r="AG32" s="366"/>
      <c r="AH32" s="366"/>
      <c r="AI32" s="366"/>
      <c r="AJ32" s="367"/>
      <c r="AK32" s="366"/>
      <c r="AL32" s="368"/>
      <c r="AM32" s="366"/>
      <c r="AN32" s="366"/>
      <c r="AO32" s="369"/>
      <c r="AP32" s="366"/>
      <c r="AQ32" s="366"/>
      <c r="AR32" s="369"/>
      <c r="AS32" s="369"/>
      <c r="AT32" s="366"/>
      <c r="AU32" s="366"/>
      <c r="AV32" s="369"/>
      <c r="AW32" s="366"/>
      <c r="AX32" s="366"/>
      <c r="AY32" s="366"/>
      <c r="AZ32" s="366"/>
      <c r="BA32" s="366"/>
    </row>
    <row r="33" spans="1:53" s="371" customFormat="1" ht="12.75" customHeight="1" x14ac:dyDescent="0.25">
      <c r="A33" s="1013"/>
      <c r="B33" s="286" t="s">
        <v>831</v>
      </c>
      <c r="C33" s="313"/>
      <c r="D33" s="336"/>
      <c r="E33" s="300" t="s">
        <v>9</v>
      </c>
      <c r="F33" s="376" t="s">
        <v>1441</v>
      </c>
      <c r="G33" s="302">
        <v>0.68</v>
      </c>
      <c r="H33" s="301">
        <v>1</v>
      </c>
      <c r="I33" s="303">
        <f t="shared" ref="I33" si="2">G33*H33</f>
        <v>0.68</v>
      </c>
      <c r="J33" s="290"/>
      <c r="K33" s="374"/>
      <c r="L33" s="292"/>
      <c r="M33" s="292"/>
      <c r="N33" s="292"/>
      <c r="O33" s="291"/>
      <c r="P33" s="291"/>
      <c r="Q33" s="372"/>
      <c r="R33" s="291"/>
      <c r="S33" s="291"/>
      <c r="T33" s="291"/>
      <c r="U33" s="291"/>
      <c r="V33" s="291"/>
      <c r="W33" s="372"/>
      <c r="X33" s="291"/>
      <c r="Y33" s="291"/>
      <c r="Z33" s="291"/>
      <c r="AA33" s="284"/>
      <c r="AB33" s="284"/>
      <c r="AC33" s="377"/>
      <c r="AD33" s="263"/>
      <c r="AE33" s="261"/>
      <c r="AF33" s="365"/>
      <c r="AG33" s="366"/>
      <c r="AH33" s="366"/>
      <c r="AI33" s="366"/>
      <c r="AJ33" s="367"/>
      <c r="AK33" s="366"/>
      <c r="AL33" s="368"/>
      <c r="AM33" s="366"/>
      <c r="AN33" s="366"/>
      <c r="AO33" s="369"/>
      <c r="AP33" s="366"/>
      <c r="AQ33" s="366"/>
      <c r="AR33" s="369"/>
      <c r="AS33" s="369"/>
      <c r="AT33" s="366"/>
      <c r="AU33" s="366"/>
      <c r="AV33" s="369"/>
      <c r="AW33" s="366"/>
      <c r="AX33" s="366"/>
      <c r="AY33" s="366"/>
      <c r="AZ33" s="366"/>
      <c r="BA33" s="366"/>
    </row>
    <row r="34" spans="1:53" s="371" customFormat="1" ht="12.75" customHeight="1" x14ac:dyDescent="0.25">
      <c r="A34" s="1013"/>
      <c r="B34" s="309" t="s">
        <v>1178</v>
      </c>
      <c r="C34" s="314">
        <v>1.5</v>
      </c>
      <c r="D34" s="336"/>
      <c r="E34" s="300"/>
      <c r="F34" s="301"/>
      <c r="G34" s="302"/>
      <c r="H34" s="301"/>
      <c r="I34" s="303"/>
      <c r="J34" s="290"/>
      <c r="K34" s="374"/>
      <c r="L34" s="292"/>
      <c r="M34" s="292"/>
      <c r="N34" s="292"/>
      <c r="O34" s="291"/>
      <c r="P34" s="291"/>
      <c r="Q34" s="372"/>
      <c r="R34" s="291"/>
      <c r="S34" s="291"/>
      <c r="T34" s="291"/>
      <c r="U34" s="291"/>
      <c r="V34" s="291"/>
      <c r="W34" s="372"/>
      <c r="X34" s="291"/>
      <c r="Y34" s="291"/>
      <c r="Z34" s="291"/>
      <c r="AA34" s="284"/>
      <c r="AB34" s="284"/>
      <c r="AC34" s="377"/>
      <c r="AD34" s="263"/>
      <c r="AE34" s="261"/>
      <c r="AF34" s="365"/>
      <c r="AG34" s="366"/>
      <c r="AH34" s="366"/>
      <c r="AI34" s="366"/>
      <c r="AJ34" s="375"/>
      <c r="AK34" s="366"/>
      <c r="AL34" s="368"/>
      <c r="AM34" s="366"/>
      <c r="AN34" s="366"/>
      <c r="AO34" s="369"/>
      <c r="AP34" s="366"/>
      <c r="AQ34" s="366"/>
      <c r="AR34" s="369"/>
      <c r="AS34" s="369"/>
      <c r="AT34" s="366"/>
      <c r="AU34" s="366"/>
      <c r="AV34" s="369"/>
      <c r="AW34" s="366"/>
      <c r="AX34" s="366"/>
      <c r="AY34" s="366"/>
      <c r="AZ34" s="366"/>
      <c r="BA34" s="366"/>
    </row>
    <row r="35" spans="1:53" s="371" customFormat="1" ht="12.75" customHeight="1" x14ac:dyDescent="0.25">
      <c r="A35" s="1013"/>
      <c r="B35" s="286" t="s">
        <v>1179</v>
      </c>
      <c r="C35" s="314">
        <v>1.5</v>
      </c>
      <c r="D35" s="336"/>
      <c r="E35" s="300"/>
      <c r="F35" s="376"/>
      <c r="G35" s="302"/>
      <c r="H35" s="301"/>
      <c r="I35" s="303"/>
      <c r="J35" s="290"/>
      <c r="K35" s="374"/>
      <c r="L35" s="292"/>
      <c r="M35" s="292"/>
      <c r="N35" s="292"/>
      <c r="O35" s="291"/>
      <c r="P35" s="291"/>
      <c r="Q35" s="372"/>
      <c r="R35" s="291"/>
      <c r="S35" s="291"/>
      <c r="T35" s="291"/>
      <c r="U35" s="291"/>
      <c r="V35" s="291"/>
      <c r="W35" s="372"/>
      <c r="X35" s="291"/>
      <c r="Y35" s="291"/>
      <c r="Z35" s="291"/>
      <c r="AA35" s="284"/>
      <c r="AB35" s="284"/>
      <c r="AC35" s="377"/>
      <c r="AD35" s="263"/>
      <c r="AE35" s="261"/>
      <c r="AF35" s="365"/>
      <c r="AG35" s="366"/>
      <c r="AH35" s="366"/>
      <c r="AI35" s="366"/>
      <c r="AJ35" s="375"/>
      <c r="AK35" s="366"/>
      <c r="AL35" s="368"/>
      <c r="AM35" s="366"/>
      <c r="AN35" s="366"/>
      <c r="AO35" s="369"/>
      <c r="AP35" s="366"/>
      <c r="AQ35" s="366"/>
      <c r="AR35" s="369"/>
      <c r="AS35" s="369"/>
      <c r="AT35" s="366"/>
      <c r="AU35" s="366"/>
      <c r="AV35" s="369"/>
      <c r="AW35" s="366"/>
      <c r="AX35" s="366"/>
      <c r="AY35" s="366"/>
      <c r="AZ35" s="366"/>
      <c r="BA35" s="366"/>
    </row>
    <row r="36" spans="1:53" s="371" customFormat="1" ht="12.75" customHeight="1" x14ac:dyDescent="0.25">
      <c r="A36" s="1013"/>
      <c r="B36" s="315" t="s">
        <v>1181</v>
      </c>
      <c r="C36" s="277">
        <f>C31*C34+C32*C35</f>
        <v>79.745203927933503</v>
      </c>
      <c r="D36" s="336"/>
      <c r="E36" s="300"/>
      <c r="F36" s="376"/>
      <c r="G36" s="302"/>
      <c r="H36" s="301"/>
      <c r="I36" s="303"/>
      <c r="J36" s="290"/>
      <c r="K36" s="374"/>
      <c r="L36" s="292"/>
      <c r="M36" s="292"/>
      <c r="N36" s="292"/>
      <c r="O36" s="291"/>
      <c r="P36" s="291"/>
      <c r="Q36" s="372"/>
      <c r="R36" s="291"/>
      <c r="S36" s="291"/>
      <c r="T36" s="291"/>
      <c r="U36" s="291"/>
      <c r="V36" s="291"/>
      <c r="W36" s="372"/>
      <c r="X36" s="291"/>
      <c r="Y36" s="291"/>
      <c r="Z36" s="291"/>
      <c r="AA36" s="284"/>
      <c r="AB36" s="284"/>
      <c r="AC36" s="377"/>
      <c r="AD36" s="263"/>
      <c r="AE36" s="261"/>
      <c r="AF36" s="365"/>
      <c r="AG36" s="366"/>
      <c r="AH36" s="366"/>
      <c r="AI36" s="366"/>
      <c r="AJ36" s="367"/>
      <c r="AK36" s="366"/>
      <c r="AL36" s="368"/>
      <c r="AM36" s="366"/>
      <c r="AN36" s="366"/>
      <c r="AO36" s="369"/>
      <c r="AP36" s="366"/>
      <c r="AQ36" s="366"/>
      <c r="AR36" s="369"/>
      <c r="AS36" s="369"/>
      <c r="AT36" s="366"/>
      <c r="AU36" s="366"/>
      <c r="AV36" s="369"/>
      <c r="AW36" s="366"/>
      <c r="AX36" s="366"/>
      <c r="AY36" s="366"/>
      <c r="AZ36" s="366"/>
      <c r="BA36" s="366"/>
    </row>
    <row r="37" spans="1:53" s="371" customFormat="1" ht="12.75" customHeight="1" x14ac:dyDescent="0.25">
      <c r="A37" s="1014"/>
      <c r="B37" s="315"/>
      <c r="C37" s="314"/>
      <c r="D37" s="337"/>
      <c r="E37" s="300"/>
      <c r="F37" s="376"/>
      <c r="G37" s="302"/>
      <c r="H37" s="301"/>
      <c r="I37" s="303"/>
      <c r="J37" s="290"/>
      <c r="K37" s="374"/>
      <c r="L37" s="292"/>
      <c r="M37" s="292"/>
      <c r="N37" s="292"/>
      <c r="O37" s="291"/>
      <c r="P37" s="291"/>
      <c r="Q37" s="372"/>
      <c r="R37" s="291"/>
      <c r="S37" s="291"/>
      <c r="T37" s="291"/>
      <c r="U37" s="291"/>
      <c r="V37" s="291"/>
      <c r="W37" s="372"/>
      <c r="X37" s="291"/>
      <c r="Y37" s="291"/>
      <c r="Z37" s="291"/>
      <c r="AA37" s="284"/>
      <c r="AB37" s="284"/>
      <c r="AC37" s="377"/>
      <c r="AD37" s="263"/>
      <c r="AE37" s="261"/>
      <c r="AF37" s="365"/>
      <c r="AG37" s="366"/>
      <c r="AH37" s="366"/>
      <c r="AI37" s="366"/>
      <c r="AJ37" s="375"/>
      <c r="AK37" s="366"/>
      <c r="AL37" s="368"/>
      <c r="AM37" s="366"/>
      <c r="AN37" s="366"/>
      <c r="AO37" s="369"/>
      <c r="AP37" s="366"/>
      <c r="AQ37" s="366"/>
      <c r="AR37" s="369"/>
      <c r="AS37" s="369"/>
      <c r="AT37" s="366"/>
      <c r="AU37" s="366"/>
      <c r="AV37" s="369"/>
      <c r="AW37" s="366"/>
      <c r="AX37" s="366"/>
      <c r="AY37" s="366"/>
      <c r="AZ37" s="366"/>
      <c r="BA37" s="366"/>
    </row>
    <row r="38" spans="1:53" ht="56.25" customHeight="1" x14ac:dyDescent="0.25">
      <c r="A38" s="1012" t="s">
        <v>228</v>
      </c>
      <c r="B38" s="353" t="s">
        <v>1261</v>
      </c>
      <c r="C38" s="277"/>
      <c r="D38" s="287"/>
      <c r="E38" s="278" t="s">
        <v>488</v>
      </c>
      <c r="F38" s="279" t="s">
        <v>837</v>
      </c>
      <c r="G38" s="277" t="s">
        <v>489</v>
      </c>
      <c r="H38" s="278" t="s">
        <v>1170</v>
      </c>
      <c r="I38" s="279" t="s">
        <v>838</v>
      </c>
      <c r="J38" s="280" t="s">
        <v>1171</v>
      </c>
      <c r="K38" s="280" t="s">
        <v>490</v>
      </c>
      <c r="L38" s="281" t="s">
        <v>489</v>
      </c>
      <c r="M38" s="280" t="s">
        <v>1172</v>
      </c>
      <c r="N38" s="354" t="s">
        <v>838</v>
      </c>
      <c r="O38" s="280" t="s">
        <v>1171</v>
      </c>
      <c r="P38" s="280" t="s">
        <v>826</v>
      </c>
      <c r="Q38" s="282" t="s">
        <v>1173</v>
      </c>
      <c r="R38" s="280" t="s">
        <v>1174</v>
      </c>
      <c r="S38" s="280" t="s">
        <v>839</v>
      </c>
      <c r="T38" s="280" t="s">
        <v>1171</v>
      </c>
      <c r="U38" s="280" t="s">
        <v>1392</v>
      </c>
      <c r="V38" s="282" t="s">
        <v>1173</v>
      </c>
      <c r="W38" s="280" t="s">
        <v>841</v>
      </c>
      <c r="X38" s="280" t="s">
        <v>1394</v>
      </c>
      <c r="Y38" s="280" t="s">
        <v>839</v>
      </c>
      <c r="Z38" s="283"/>
      <c r="AA38" s="284"/>
      <c r="AB38" s="284"/>
      <c r="AC38" s="377"/>
      <c r="AD38" s="263"/>
      <c r="AQ38" s="355"/>
      <c r="AR38" s="355"/>
      <c r="AS38" s="355"/>
    </row>
    <row r="39" spans="1:53" s="270" customFormat="1" ht="12" customHeight="1" x14ac:dyDescent="0.25">
      <c r="A39" s="1013"/>
      <c r="B39" s="285" t="s">
        <v>1175</v>
      </c>
      <c r="C39" s="277">
        <f>C46</f>
        <v>106.32693857057801</v>
      </c>
      <c r="D39" s="336">
        <f>C39*$D$5</f>
        <v>21.478041591256758</v>
      </c>
      <c r="E39" s="286" t="s">
        <v>1176</v>
      </c>
      <c r="F39" s="356"/>
      <c r="G39" s="288"/>
      <c r="H39" s="288"/>
      <c r="I39" s="289">
        <f>SUM(I40:I47)</f>
        <v>11.055</v>
      </c>
      <c r="J39" s="290" t="s">
        <v>1176</v>
      </c>
      <c r="K39" s="357"/>
      <c r="L39" s="291"/>
      <c r="M39" s="291"/>
      <c r="N39" s="433">
        <f>SUM(N40:N47)</f>
        <v>0.3280017218959359</v>
      </c>
      <c r="O39" s="291" t="s">
        <v>1176</v>
      </c>
      <c r="P39" s="291"/>
      <c r="Q39" s="372"/>
      <c r="R39" s="294"/>
      <c r="S39" s="433">
        <f>SUM(S40:S47)</f>
        <v>0.41714278755694179</v>
      </c>
      <c r="T39" s="291" t="s">
        <v>1176</v>
      </c>
      <c r="U39" s="307"/>
      <c r="V39" s="308"/>
      <c r="W39" s="306"/>
      <c r="X39" s="292"/>
      <c r="Y39" s="433">
        <f>SUM(Y40:Y47)</f>
        <v>17.395676575372477</v>
      </c>
      <c r="Z39" s="296">
        <f>(C39+D39+I39+N39+Y39+S39)*$Z$5</f>
        <v>204.13050953982687</v>
      </c>
      <c r="AA39" s="297">
        <f>C39+D39+I39+N39+S39+Y39+Z39</f>
        <v>361.13131078648701</v>
      </c>
      <c r="AB39" s="298">
        <v>0.25</v>
      </c>
      <c r="AC39" s="358">
        <f>AA39*(1+AB39)</f>
        <v>451.41413848310879</v>
      </c>
      <c r="AD39" s="265"/>
      <c r="AE39" s="261"/>
      <c r="AF39" s="262"/>
      <c r="AG39" s="263"/>
      <c r="AH39" s="263"/>
      <c r="AI39" s="355"/>
      <c r="AJ39" s="359"/>
      <c r="AK39" s="360"/>
      <c r="AL39" s="264"/>
      <c r="AM39" s="361"/>
      <c r="AN39" s="143"/>
      <c r="AO39" s="362"/>
      <c r="AP39" s="363"/>
      <c r="AQ39" s="363"/>
      <c r="AR39" s="363"/>
      <c r="AS39" s="363"/>
      <c r="AT39" s="363"/>
      <c r="AU39" s="362"/>
      <c r="AV39" s="362"/>
      <c r="AW39" s="364"/>
      <c r="AX39" s="272"/>
      <c r="AY39" s="272"/>
      <c r="AZ39" s="272"/>
      <c r="BA39" s="272"/>
    </row>
    <row r="40" spans="1:53" s="371" customFormat="1" ht="12.75" customHeight="1" x14ac:dyDescent="0.25">
      <c r="A40" s="1013"/>
      <c r="B40" s="299" t="s">
        <v>830</v>
      </c>
      <c r="C40" s="277"/>
      <c r="D40" s="336"/>
      <c r="E40" s="300" t="s">
        <v>2186</v>
      </c>
      <c r="F40" s="301" t="s">
        <v>1441</v>
      </c>
      <c r="G40" s="302">
        <v>5.36</v>
      </c>
      <c r="H40" s="301">
        <v>1</v>
      </c>
      <c r="I40" s="303">
        <f>G40*H40</f>
        <v>5.36</v>
      </c>
      <c r="J40" s="290" t="s">
        <v>1291</v>
      </c>
      <c r="K40" s="304">
        <v>2</v>
      </c>
      <c r="L40" s="305">
        <v>750</v>
      </c>
      <c r="M40" s="304">
        <v>2</v>
      </c>
      <c r="N40" s="433">
        <f>L40/'Исп. коэффициенты'!E52*(C44+C45)</f>
        <v>0.28276010508270338</v>
      </c>
      <c r="O40" s="291" t="s">
        <v>1667</v>
      </c>
      <c r="P40" s="291">
        <v>4500</v>
      </c>
      <c r="Q40" s="291">
        <v>19.670000000000002</v>
      </c>
      <c r="R40" s="291">
        <v>885.15</v>
      </c>
      <c r="S40" s="433">
        <f>R40/'Исп. коэффициенты'!E52*C44</f>
        <v>0.16685673800930326</v>
      </c>
      <c r="T40" s="306" t="s">
        <v>1435</v>
      </c>
      <c r="U40" s="307">
        <v>6785401.3499999996</v>
      </c>
      <c r="V40" s="308">
        <v>1.3599999999999999E-2</v>
      </c>
      <c r="W40" s="306">
        <f>'Исп. коэффициенты'!E124</f>
        <v>2978.5</v>
      </c>
      <c r="X40" s="433">
        <f>U40*V40</f>
        <v>92281.45835999999</v>
      </c>
      <c r="Y40" s="295">
        <f>X40/'Исп. коэффициенты'!E52*C44</f>
        <v>17.395676575372477</v>
      </c>
      <c r="Z40" s="291"/>
      <c r="AA40" s="284"/>
      <c r="AB40" s="284"/>
      <c r="AC40" s="377"/>
      <c r="AD40" s="263"/>
      <c r="AE40" s="261"/>
      <c r="AF40" s="365"/>
      <c r="AG40" s="366"/>
      <c r="AH40" s="366"/>
      <c r="AI40" s="366"/>
      <c r="AJ40" s="367"/>
      <c r="AK40" s="366"/>
      <c r="AL40" s="368"/>
      <c r="AM40" s="366"/>
      <c r="AN40" s="366"/>
      <c r="AO40" s="369"/>
      <c r="AP40" s="366"/>
      <c r="AQ40" s="366"/>
      <c r="AR40" s="369"/>
      <c r="AS40" s="369"/>
      <c r="AT40" s="370"/>
      <c r="AU40" s="366"/>
      <c r="AV40" s="369"/>
      <c r="AW40" s="366"/>
      <c r="AX40" s="366"/>
      <c r="AY40" s="366"/>
      <c r="AZ40" s="366"/>
      <c r="BA40" s="366"/>
    </row>
    <row r="41" spans="1:53" s="371" customFormat="1" x14ac:dyDescent="0.25">
      <c r="A41" s="1013"/>
      <c r="B41" s="309" t="s">
        <v>1178</v>
      </c>
      <c r="C41" s="310">
        <f>C31</f>
        <v>33.667709452234185</v>
      </c>
      <c r="D41" s="336"/>
      <c r="E41" s="300" t="s">
        <v>2187</v>
      </c>
      <c r="F41" s="301" t="s">
        <v>1</v>
      </c>
      <c r="G41" s="302">
        <v>6.3E-2</v>
      </c>
      <c r="H41" s="301">
        <v>5</v>
      </c>
      <c r="I41" s="303">
        <f>G41*H41</f>
        <v>0.315</v>
      </c>
      <c r="J41" s="290" t="s">
        <v>1445</v>
      </c>
      <c r="K41" s="292">
        <v>2</v>
      </c>
      <c r="L41" s="311">
        <v>95</v>
      </c>
      <c r="M41" s="304">
        <v>2</v>
      </c>
      <c r="N41" s="433">
        <f>L41/'Исп. коэффициенты'!E52*(C44+C45)</f>
        <v>3.5816279977142429E-2</v>
      </c>
      <c r="O41" s="291" t="s">
        <v>1668</v>
      </c>
      <c r="P41" s="291">
        <v>6750</v>
      </c>
      <c r="Q41" s="291">
        <v>19.670000000000002</v>
      </c>
      <c r="R41" s="291">
        <v>1327.73</v>
      </c>
      <c r="S41" s="433">
        <f>R41/'Исп. коэффициенты'!E52*C44</f>
        <v>0.2502860495476385</v>
      </c>
      <c r="T41" s="291"/>
      <c r="U41" s="291"/>
      <c r="V41" s="291"/>
      <c r="W41" s="372"/>
      <c r="X41" s="291"/>
      <c r="Y41" s="291"/>
      <c r="Z41" s="291"/>
      <c r="AA41" s="284"/>
      <c r="AB41" s="284"/>
      <c r="AC41" s="377"/>
      <c r="AD41" s="263"/>
      <c r="AE41" s="261"/>
      <c r="AF41" s="365"/>
      <c r="AG41" s="366"/>
      <c r="AH41" s="366"/>
      <c r="AI41" s="366"/>
      <c r="AJ41" s="367"/>
      <c r="AK41" s="366"/>
      <c r="AL41" s="368"/>
      <c r="AM41" s="373"/>
      <c r="AN41" s="366"/>
      <c r="AO41" s="369"/>
      <c r="AP41" s="366"/>
      <c r="AQ41" s="366"/>
      <c r="AR41" s="369"/>
      <c r="AS41" s="369"/>
      <c r="AT41" s="366"/>
      <c r="AU41" s="366"/>
      <c r="AV41" s="369"/>
      <c r="AW41" s="366"/>
      <c r="AX41" s="366"/>
      <c r="AY41" s="366"/>
      <c r="AZ41" s="366"/>
      <c r="BA41" s="366"/>
    </row>
    <row r="42" spans="1:53" s="371" customFormat="1" ht="12.75" customHeight="1" x14ac:dyDescent="0.25">
      <c r="A42" s="1013"/>
      <c r="B42" s="286" t="s">
        <v>1179</v>
      </c>
      <c r="C42" s="277">
        <f>C32</f>
        <v>19.495759833054819</v>
      </c>
      <c r="D42" s="336"/>
      <c r="E42" s="300" t="s">
        <v>2112</v>
      </c>
      <c r="F42" s="301" t="s">
        <v>1</v>
      </c>
      <c r="G42" s="302">
        <v>0.47</v>
      </c>
      <c r="H42" s="302">
        <v>10</v>
      </c>
      <c r="I42" s="303">
        <f>G42*H42</f>
        <v>4.6999999999999993</v>
      </c>
      <c r="J42" s="290" t="s">
        <v>1513</v>
      </c>
      <c r="K42" s="292">
        <v>2</v>
      </c>
      <c r="L42" s="292">
        <v>25</v>
      </c>
      <c r="M42" s="304">
        <v>0.5</v>
      </c>
      <c r="N42" s="433">
        <f>L42/'Исп. коэффициенты'!E52*(C44+C45)</f>
        <v>9.4253368360901132E-3</v>
      </c>
      <c r="O42" s="291"/>
      <c r="P42" s="291"/>
      <c r="Q42" s="372"/>
      <c r="R42" s="291"/>
      <c r="S42" s="291"/>
      <c r="T42" s="291"/>
      <c r="U42" s="291"/>
      <c r="V42" s="291"/>
      <c r="W42" s="372"/>
      <c r="X42" s="291"/>
      <c r="Y42" s="291"/>
      <c r="Z42" s="291"/>
      <c r="AA42" s="284"/>
      <c r="AB42" s="284"/>
      <c r="AC42" s="377"/>
      <c r="AD42" s="263"/>
      <c r="AE42" s="261"/>
      <c r="AF42" s="365"/>
      <c r="AG42" s="366"/>
      <c r="AH42" s="366"/>
      <c r="AI42" s="366"/>
      <c r="AJ42" s="367"/>
      <c r="AK42" s="366"/>
      <c r="AL42" s="368"/>
      <c r="AM42" s="366"/>
      <c r="AN42" s="366"/>
      <c r="AO42" s="369"/>
      <c r="AP42" s="366"/>
      <c r="AQ42" s="366"/>
      <c r="AR42" s="369"/>
      <c r="AS42" s="369"/>
      <c r="AT42" s="366"/>
      <c r="AU42" s="366"/>
      <c r="AV42" s="369"/>
      <c r="AW42" s="366"/>
      <c r="AX42" s="366"/>
      <c r="AY42" s="366"/>
      <c r="AZ42" s="366"/>
      <c r="BA42" s="366"/>
    </row>
    <row r="43" spans="1:53" s="371" customFormat="1" ht="12.75" customHeight="1" x14ac:dyDescent="0.25">
      <c r="A43" s="1013"/>
      <c r="B43" s="286" t="s">
        <v>831</v>
      </c>
      <c r="C43" s="313"/>
      <c r="D43" s="336"/>
      <c r="E43" s="300" t="s">
        <v>9</v>
      </c>
      <c r="F43" s="376" t="s">
        <v>1441</v>
      </c>
      <c r="G43" s="302">
        <v>0.68</v>
      </c>
      <c r="H43" s="301">
        <v>1</v>
      </c>
      <c r="I43" s="303">
        <f t="shared" ref="I43" si="3">G43*H43</f>
        <v>0.68</v>
      </c>
      <c r="J43" s="290"/>
      <c r="K43" s="374"/>
      <c r="L43" s="292"/>
      <c r="M43" s="292"/>
      <c r="N43" s="292"/>
      <c r="O43" s="291"/>
      <c r="P43" s="291"/>
      <c r="Q43" s="372"/>
      <c r="R43" s="291"/>
      <c r="S43" s="291"/>
      <c r="T43" s="291"/>
      <c r="U43" s="291"/>
      <c r="V43" s="291"/>
      <c r="W43" s="372"/>
      <c r="X43" s="291"/>
      <c r="Y43" s="291"/>
      <c r="Z43" s="291"/>
      <c r="AA43" s="284"/>
      <c r="AB43" s="284"/>
      <c r="AC43" s="377"/>
      <c r="AD43" s="263"/>
      <c r="AE43" s="261"/>
      <c r="AF43" s="365"/>
      <c r="AG43" s="366"/>
      <c r="AH43" s="366"/>
      <c r="AI43" s="366"/>
      <c r="AJ43" s="367"/>
      <c r="AK43" s="366"/>
      <c r="AL43" s="368"/>
      <c r="AM43" s="366"/>
      <c r="AN43" s="366"/>
      <c r="AO43" s="369"/>
      <c r="AP43" s="366"/>
      <c r="AQ43" s="366"/>
      <c r="AR43" s="369"/>
      <c r="AS43" s="369"/>
      <c r="AT43" s="366"/>
      <c r="AU43" s="366"/>
      <c r="AV43" s="369"/>
      <c r="AW43" s="366"/>
      <c r="AX43" s="366"/>
      <c r="AY43" s="366"/>
      <c r="AZ43" s="366"/>
      <c r="BA43" s="366"/>
    </row>
    <row r="44" spans="1:53" s="371" customFormat="1" ht="12.75" customHeight="1" x14ac:dyDescent="0.25">
      <c r="A44" s="1013"/>
      <c r="B44" s="309" t="s">
        <v>1178</v>
      </c>
      <c r="C44" s="314">
        <v>2</v>
      </c>
      <c r="D44" s="336"/>
      <c r="E44" s="300"/>
      <c r="F44" s="301"/>
      <c r="G44" s="302"/>
      <c r="H44" s="301"/>
      <c r="I44" s="303"/>
      <c r="J44" s="290"/>
      <c r="K44" s="374"/>
      <c r="L44" s="292"/>
      <c r="M44" s="292"/>
      <c r="N44" s="292"/>
      <c r="O44" s="291"/>
      <c r="P44" s="291"/>
      <c r="Q44" s="372"/>
      <c r="R44" s="291"/>
      <c r="S44" s="291"/>
      <c r="T44" s="291"/>
      <c r="U44" s="291"/>
      <c r="V44" s="291"/>
      <c r="W44" s="372"/>
      <c r="X44" s="291"/>
      <c r="Y44" s="291"/>
      <c r="Z44" s="291"/>
      <c r="AA44" s="284"/>
      <c r="AB44" s="284"/>
      <c r="AC44" s="377"/>
      <c r="AD44" s="263"/>
      <c r="AE44" s="261"/>
      <c r="AF44" s="365"/>
      <c r="AG44" s="366"/>
      <c r="AH44" s="366"/>
      <c r="AI44" s="366"/>
      <c r="AJ44" s="375"/>
      <c r="AK44" s="366"/>
      <c r="AL44" s="368"/>
      <c r="AM44" s="366"/>
      <c r="AN44" s="366"/>
      <c r="AO44" s="369"/>
      <c r="AP44" s="366"/>
      <c r="AQ44" s="366"/>
      <c r="AR44" s="369"/>
      <c r="AS44" s="369"/>
      <c r="AT44" s="366"/>
      <c r="AU44" s="366"/>
      <c r="AV44" s="369"/>
      <c r="AW44" s="366"/>
      <c r="AX44" s="366"/>
      <c r="AY44" s="366"/>
      <c r="AZ44" s="366"/>
      <c r="BA44" s="366"/>
    </row>
    <row r="45" spans="1:53" s="371" customFormat="1" ht="12.75" customHeight="1" x14ac:dyDescent="0.25">
      <c r="A45" s="1013"/>
      <c r="B45" s="286" t="s">
        <v>1179</v>
      </c>
      <c r="C45" s="314">
        <v>2</v>
      </c>
      <c r="D45" s="336"/>
      <c r="E45" s="300"/>
      <c r="F45" s="376"/>
      <c r="G45" s="302"/>
      <c r="H45" s="301"/>
      <c r="I45" s="303"/>
      <c r="J45" s="290"/>
      <c r="K45" s="374"/>
      <c r="L45" s="292"/>
      <c r="M45" s="292"/>
      <c r="N45" s="292"/>
      <c r="O45" s="291"/>
      <c r="P45" s="291"/>
      <c r="Q45" s="372"/>
      <c r="R45" s="291"/>
      <c r="S45" s="291"/>
      <c r="T45" s="291"/>
      <c r="U45" s="291"/>
      <c r="V45" s="291"/>
      <c r="W45" s="372"/>
      <c r="X45" s="291"/>
      <c r="Y45" s="291"/>
      <c r="Z45" s="291"/>
      <c r="AA45" s="284"/>
      <c r="AB45" s="284"/>
      <c r="AC45" s="377"/>
      <c r="AD45" s="263"/>
      <c r="AE45" s="261"/>
      <c r="AF45" s="365"/>
      <c r="AG45" s="366"/>
      <c r="AH45" s="366"/>
      <c r="AI45" s="366"/>
      <c r="AJ45" s="375"/>
      <c r="AK45" s="366"/>
      <c r="AL45" s="368"/>
      <c r="AM45" s="366"/>
      <c r="AN45" s="366"/>
      <c r="AO45" s="369"/>
      <c r="AP45" s="366"/>
      <c r="AQ45" s="366"/>
      <c r="AR45" s="369"/>
      <c r="AS45" s="369"/>
      <c r="AT45" s="366"/>
      <c r="AU45" s="366"/>
      <c r="AV45" s="369"/>
      <c r="AW45" s="366"/>
      <c r="AX45" s="366"/>
      <c r="AY45" s="366"/>
      <c r="AZ45" s="366"/>
      <c r="BA45" s="366"/>
    </row>
    <row r="46" spans="1:53" s="371" customFormat="1" ht="12.75" customHeight="1" x14ac:dyDescent="0.25">
      <c r="A46" s="1013"/>
      <c r="B46" s="315" t="s">
        <v>1181</v>
      </c>
      <c r="C46" s="277">
        <f>C41*C44+C42*C45</f>
        <v>106.32693857057801</v>
      </c>
      <c r="D46" s="336"/>
      <c r="E46" s="300"/>
      <c r="F46" s="376"/>
      <c r="G46" s="302"/>
      <c r="H46" s="301"/>
      <c r="I46" s="303"/>
      <c r="J46" s="290"/>
      <c r="K46" s="374"/>
      <c r="L46" s="292"/>
      <c r="M46" s="292"/>
      <c r="N46" s="292"/>
      <c r="O46" s="291"/>
      <c r="P46" s="291"/>
      <c r="Q46" s="372"/>
      <c r="R46" s="291"/>
      <c r="S46" s="291"/>
      <c r="T46" s="291"/>
      <c r="U46" s="291"/>
      <c r="V46" s="291"/>
      <c r="W46" s="372"/>
      <c r="X46" s="291"/>
      <c r="Y46" s="291"/>
      <c r="Z46" s="291"/>
      <c r="AA46" s="284"/>
      <c r="AB46" s="284"/>
      <c r="AC46" s="377"/>
      <c r="AD46" s="263"/>
      <c r="AE46" s="261"/>
      <c r="AF46" s="365"/>
      <c r="AG46" s="366"/>
      <c r="AH46" s="366"/>
      <c r="AI46" s="366"/>
      <c r="AJ46" s="367"/>
      <c r="AK46" s="366"/>
      <c r="AL46" s="368"/>
      <c r="AM46" s="366"/>
      <c r="AN46" s="366"/>
      <c r="AO46" s="369"/>
      <c r="AP46" s="366"/>
      <c r="AQ46" s="366"/>
      <c r="AR46" s="369"/>
      <c r="AS46" s="369"/>
      <c r="AT46" s="366"/>
      <c r="AU46" s="366"/>
      <c r="AV46" s="369"/>
      <c r="AW46" s="366"/>
      <c r="AX46" s="366"/>
      <c r="AY46" s="366"/>
      <c r="AZ46" s="366"/>
      <c r="BA46" s="366"/>
    </row>
    <row r="47" spans="1:53" s="371" customFormat="1" ht="12.75" customHeight="1" x14ac:dyDescent="0.25">
      <c r="A47" s="1014"/>
      <c r="B47" s="315"/>
      <c r="C47" s="314"/>
      <c r="D47" s="337"/>
      <c r="E47" s="300"/>
      <c r="F47" s="376"/>
      <c r="G47" s="302"/>
      <c r="H47" s="301"/>
      <c r="I47" s="303"/>
      <c r="J47" s="290"/>
      <c r="K47" s="374"/>
      <c r="L47" s="292"/>
      <c r="M47" s="292"/>
      <c r="N47" s="292"/>
      <c r="O47" s="291"/>
      <c r="P47" s="291"/>
      <c r="Q47" s="372"/>
      <c r="R47" s="291"/>
      <c r="S47" s="291"/>
      <c r="T47" s="291"/>
      <c r="U47" s="291"/>
      <c r="V47" s="291"/>
      <c r="W47" s="372"/>
      <c r="X47" s="291"/>
      <c r="Y47" s="291"/>
      <c r="Z47" s="291"/>
      <c r="AA47" s="284"/>
      <c r="AB47" s="284"/>
      <c r="AC47" s="377"/>
      <c r="AD47" s="263"/>
      <c r="AE47" s="261"/>
      <c r="AF47" s="365"/>
      <c r="AG47" s="366"/>
      <c r="AH47" s="366"/>
      <c r="AI47" s="366"/>
      <c r="AJ47" s="375"/>
      <c r="AK47" s="366"/>
      <c r="AL47" s="368"/>
      <c r="AM47" s="366"/>
      <c r="AN47" s="366"/>
      <c r="AO47" s="369"/>
      <c r="AP47" s="366"/>
      <c r="AQ47" s="366"/>
      <c r="AR47" s="369"/>
      <c r="AS47" s="369"/>
      <c r="AT47" s="366"/>
      <c r="AU47" s="366"/>
      <c r="AV47" s="369"/>
      <c r="AW47" s="366"/>
      <c r="AX47" s="366"/>
      <c r="AY47" s="366"/>
      <c r="AZ47" s="366"/>
      <c r="BA47" s="366"/>
    </row>
    <row r="48" spans="1:53" ht="56.25" customHeight="1" x14ac:dyDescent="0.25">
      <c r="A48" s="1012" t="s">
        <v>229</v>
      </c>
      <c r="B48" s="353" t="s">
        <v>1259</v>
      </c>
      <c r="C48" s="277"/>
      <c r="D48" s="287"/>
      <c r="E48" s="278" t="s">
        <v>488</v>
      </c>
      <c r="F48" s="279" t="s">
        <v>837</v>
      </c>
      <c r="G48" s="277" t="s">
        <v>489</v>
      </c>
      <c r="H48" s="278" t="s">
        <v>1170</v>
      </c>
      <c r="I48" s="279" t="s">
        <v>838</v>
      </c>
      <c r="J48" s="280" t="s">
        <v>1171</v>
      </c>
      <c r="K48" s="280" t="s">
        <v>490</v>
      </c>
      <c r="L48" s="281" t="s">
        <v>489</v>
      </c>
      <c r="M48" s="280" t="s">
        <v>1172</v>
      </c>
      <c r="N48" s="354" t="s">
        <v>838</v>
      </c>
      <c r="O48" s="280" t="s">
        <v>1171</v>
      </c>
      <c r="P48" s="280" t="s">
        <v>826</v>
      </c>
      <c r="Q48" s="282" t="s">
        <v>1173</v>
      </c>
      <c r="R48" s="280" t="s">
        <v>1174</v>
      </c>
      <c r="S48" s="280" t="s">
        <v>839</v>
      </c>
      <c r="T48" s="280" t="s">
        <v>1171</v>
      </c>
      <c r="U48" s="280" t="s">
        <v>1392</v>
      </c>
      <c r="V48" s="282" t="s">
        <v>1173</v>
      </c>
      <c r="W48" s="280" t="s">
        <v>841</v>
      </c>
      <c r="X48" s="280" t="s">
        <v>1394</v>
      </c>
      <c r="Y48" s="280" t="s">
        <v>839</v>
      </c>
      <c r="Z48" s="283"/>
      <c r="AA48" s="284"/>
      <c r="AB48" s="284"/>
      <c r="AC48" s="377"/>
      <c r="AD48" s="263"/>
      <c r="AQ48" s="355"/>
      <c r="AR48" s="355"/>
      <c r="AS48" s="355"/>
    </row>
    <row r="49" spans="1:53" s="270" customFormat="1" ht="12" customHeight="1" x14ac:dyDescent="0.25">
      <c r="A49" s="1013"/>
      <c r="B49" s="285" t="s">
        <v>1175</v>
      </c>
      <c r="C49" s="277">
        <f>C56</f>
        <v>53.163469285289004</v>
      </c>
      <c r="D49" s="336">
        <f>C49*$D$5</f>
        <v>10.739020795628379</v>
      </c>
      <c r="E49" s="286" t="s">
        <v>1176</v>
      </c>
      <c r="F49" s="356"/>
      <c r="G49" s="288"/>
      <c r="H49" s="288"/>
      <c r="I49" s="289">
        <f>SUM(I50:I57)</f>
        <v>11.055</v>
      </c>
      <c r="J49" s="290" t="s">
        <v>1176</v>
      </c>
      <c r="K49" s="357"/>
      <c r="L49" s="291"/>
      <c r="M49" s="291"/>
      <c r="N49" s="433">
        <f>SUM(N50:N57)</f>
        <v>0.16400086094796795</v>
      </c>
      <c r="O49" s="291" t="s">
        <v>1176</v>
      </c>
      <c r="P49" s="291"/>
      <c r="Q49" s="372"/>
      <c r="R49" s="294"/>
      <c r="S49" s="433">
        <f>SUM(S50:S57)</f>
        <v>0.20857139377847089</v>
      </c>
      <c r="T49" s="291" t="s">
        <v>1176</v>
      </c>
      <c r="U49" s="307"/>
      <c r="V49" s="308"/>
      <c r="W49" s="306"/>
      <c r="X49" s="292"/>
      <c r="Y49" s="433">
        <f>SUM(Y50:Y57)</f>
        <v>8.6978382876862383</v>
      </c>
      <c r="Z49" s="296">
        <f>(C49+D49+I49+N49+Y49+S49)*$Z$5</f>
        <v>109.25204224183659</v>
      </c>
      <c r="AA49" s="297">
        <f>C49+D49+I49+N49+S49+Y49+Z49</f>
        <v>193.27994286516665</v>
      </c>
      <c r="AB49" s="298">
        <v>0.25</v>
      </c>
      <c r="AC49" s="358">
        <f>AA49*(1+AB49)</f>
        <v>241.5999285814583</v>
      </c>
      <c r="AD49" s="265"/>
      <c r="AE49" s="261"/>
      <c r="AF49" s="262"/>
      <c r="AG49" s="263"/>
      <c r="AH49" s="263"/>
      <c r="AI49" s="355"/>
      <c r="AJ49" s="359"/>
      <c r="AK49" s="360"/>
      <c r="AL49" s="264"/>
      <c r="AM49" s="361"/>
      <c r="AN49" s="143"/>
      <c r="AO49" s="362"/>
      <c r="AP49" s="363"/>
      <c r="AQ49" s="363"/>
      <c r="AR49" s="363"/>
      <c r="AS49" s="363"/>
      <c r="AT49" s="363"/>
      <c r="AU49" s="362"/>
      <c r="AV49" s="362"/>
      <c r="AW49" s="364"/>
      <c r="AX49" s="272"/>
      <c r="AY49" s="272"/>
      <c r="AZ49" s="272"/>
      <c r="BA49" s="272"/>
    </row>
    <row r="50" spans="1:53" s="371" customFormat="1" ht="12.75" customHeight="1" x14ac:dyDescent="0.25">
      <c r="A50" s="1013"/>
      <c r="B50" s="299" t="s">
        <v>830</v>
      </c>
      <c r="C50" s="277"/>
      <c r="D50" s="336"/>
      <c r="E50" s="300" t="s">
        <v>2186</v>
      </c>
      <c r="F50" s="301" t="s">
        <v>1441</v>
      </c>
      <c r="G50" s="302">
        <v>5.36</v>
      </c>
      <c r="H50" s="301">
        <v>1</v>
      </c>
      <c r="I50" s="303">
        <f>G50*H50</f>
        <v>5.36</v>
      </c>
      <c r="J50" s="290" t="s">
        <v>1291</v>
      </c>
      <c r="K50" s="304">
        <v>2</v>
      </c>
      <c r="L50" s="305">
        <v>750</v>
      </c>
      <c r="M50" s="304">
        <v>2</v>
      </c>
      <c r="N50" s="433">
        <f>L50/'Исп. коэффициенты'!E52*(C54+C55)</f>
        <v>0.14138005254135169</v>
      </c>
      <c r="O50" s="291" t="s">
        <v>1667</v>
      </c>
      <c r="P50" s="291">
        <v>4500</v>
      </c>
      <c r="Q50" s="291">
        <v>19.670000000000002</v>
      </c>
      <c r="R50" s="291">
        <v>885.15</v>
      </c>
      <c r="S50" s="433">
        <f>R50/'Исп. коэффициенты'!E52*C54</f>
        <v>8.3428369004651629E-2</v>
      </c>
      <c r="T50" s="306" t="s">
        <v>1435</v>
      </c>
      <c r="U50" s="307">
        <v>6785401.3499999996</v>
      </c>
      <c r="V50" s="308">
        <v>1.3599999999999999E-2</v>
      </c>
      <c r="W50" s="306">
        <f>'Исп. коэффициенты'!E124</f>
        <v>2978.5</v>
      </c>
      <c r="X50" s="433">
        <f>U50*V50</f>
        <v>92281.45835999999</v>
      </c>
      <c r="Y50" s="295">
        <f>X50/'Исп. коэффициенты'!E52*C54</f>
        <v>8.6978382876862383</v>
      </c>
      <c r="Z50" s="291"/>
      <c r="AA50" s="284"/>
      <c r="AB50" s="284"/>
      <c r="AC50" s="377"/>
      <c r="AD50" s="263"/>
      <c r="AE50" s="261"/>
      <c r="AF50" s="365"/>
      <c r="AG50" s="366"/>
      <c r="AH50" s="366"/>
      <c r="AI50" s="366"/>
      <c r="AJ50" s="367"/>
      <c r="AK50" s="366"/>
      <c r="AL50" s="368"/>
      <c r="AM50" s="366"/>
      <c r="AN50" s="366"/>
      <c r="AO50" s="369"/>
      <c r="AP50" s="366"/>
      <c r="AQ50" s="366"/>
      <c r="AR50" s="369"/>
      <c r="AS50" s="369"/>
      <c r="AT50" s="370"/>
      <c r="AU50" s="366"/>
      <c r="AV50" s="369"/>
      <c r="AW50" s="366"/>
      <c r="AX50" s="366"/>
      <c r="AY50" s="366"/>
      <c r="AZ50" s="366"/>
      <c r="BA50" s="366"/>
    </row>
    <row r="51" spans="1:53" s="371" customFormat="1" x14ac:dyDescent="0.25">
      <c r="A51" s="1013"/>
      <c r="B51" s="309" t="s">
        <v>1178</v>
      </c>
      <c r="C51" s="310">
        <f>C41</f>
        <v>33.667709452234185</v>
      </c>
      <c r="D51" s="336"/>
      <c r="E51" s="300" t="s">
        <v>2187</v>
      </c>
      <c r="F51" s="301" t="s">
        <v>1</v>
      </c>
      <c r="G51" s="302">
        <v>6.3E-2</v>
      </c>
      <c r="H51" s="301">
        <v>5</v>
      </c>
      <c r="I51" s="303">
        <f>G51*H51</f>
        <v>0.315</v>
      </c>
      <c r="J51" s="290" t="s">
        <v>1445</v>
      </c>
      <c r="K51" s="292">
        <v>2</v>
      </c>
      <c r="L51" s="311">
        <v>95</v>
      </c>
      <c r="M51" s="304">
        <v>2</v>
      </c>
      <c r="N51" s="433">
        <f>L51/'Исп. коэффициенты'!E52*(C54+C55)</f>
        <v>1.7908139988571214E-2</v>
      </c>
      <c r="O51" s="291" t="s">
        <v>1668</v>
      </c>
      <c r="P51" s="291">
        <v>6750</v>
      </c>
      <c r="Q51" s="291">
        <v>19.670000000000002</v>
      </c>
      <c r="R51" s="291">
        <v>1327.73</v>
      </c>
      <c r="S51" s="433">
        <f>R51/'Исп. коэффициенты'!E52*C54</f>
        <v>0.12514302477381925</v>
      </c>
      <c r="T51" s="291"/>
      <c r="U51" s="291"/>
      <c r="V51" s="291"/>
      <c r="W51" s="372"/>
      <c r="X51" s="291"/>
      <c r="Y51" s="291"/>
      <c r="Z51" s="291"/>
      <c r="AA51" s="284"/>
      <c r="AB51" s="284"/>
      <c r="AC51" s="377"/>
      <c r="AD51" s="263"/>
      <c r="AE51" s="261"/>
      <c r="AF51" s="365"/>
      <c r="AG51" s="366"/>
      <c r="AH51" s="366"/>
      <c r="AI51" s="366"/>
      <c r="AJ51" s="367"/>
      <c r="AK51" s="366"/>
      <c r="AL51" s="368"/>
      <c r="AM51" s="373"/>
      <c r="AN51" s="366"/>
      <c r="AO51" s="369"/>
      <c r="AP51" s="366"/>
      <c r="AQ51" s="366"/>
      <c r="AR51" s="369"/>
      <c r="AS51" s="369"/>
      <c r="AT51" s="366"/>
      <c r="AU51" s="366"/>
      <c r="AV51" s="369"/>
      <c r="AW51" s="366"/>
      <c r="AX51" s="366"/>
      <c r="AY51" s="366"/>
      <c r="AZ51" s="366"/>
      <c r="BA51" s="366"/>
    </row>
    <row r="52" spans="1:53" s="371" customFormat="1" ht="12.75" customHeight="1" x14ac:dyDescent="0.25">
      <c r="A52" s="1013"/>
      <c r="B52" s="286" t="s">
        <v>1179</v>
      </c>
      <c r="C52" s="277">
        <f>C42</f>
        <v>19.495759833054819</v>
      </c>
      <c r="D52" s="336"/>
      <c r="E52" s="300" t="s">
        <v>2112</v>
      </c>
      <c r="F52" s="301" t="s">
        <v>1</v>
      </c>
      <c r="G52" s="302">
        <v>0.47</v>
      </c>
      <c r="H52" s="302">
        <v>10</v>
      </c>
      <c r="I52" s="303">
        <f>G52*H52</f>
        <v>4.6999999999999993</v>
      </c>
      <c r="J52" s="290" t="s">
        <v>1513</v>
      </c>
      <c r="K52" s="292">
        <v>2</v>
      </c>
      <c r="L52" s="292">
        <v>25</v>
      </c>
      <c r="M52" s="304">
        <v>0.5</v>
      </c>
      <c r="N52" s="433">
        <f>L52/'Исп. коэффициенты'!E52*(C54+C55)</f>
        <v>4.7126684180450566E-3</v>
      </c>
      <c r="O52" s="291"/>
      <c r="P52" s="291"/>
      <c r="Q52" s="372"/>
      <c r="R52" s="291"/>
      <c r="S52" s="291"/>
      <c r="T52" s="291"/>
      <c r="U52" s="291"/>
      <c r="V52" s="291"/>
      <c r="W52" s="372"/>
      <c r="X52" s="291"/>
      <c r="Y52" s="291"/>
      <c r="Z52" s="291"/>
      <c r="AA52" s="284"/>
      <c r="AB52" s="284"/>
      <c r="AC52" s="377"/>
      <c r="AD52" s="263"/>
      <c r="AE52" s="261"/>
      <c r="AF52" s="365"/>
      <c r="AG52" s="366"/>
      <c r="AH52" s="366"/>
      <c r="AI52" s="366"/>
      <c r="AJ52" s="367"/>
      <c r="AK52" s="366"/>
      <c r="AL52" s="368"/>
      <c r="AM52" s="366"/>
      <c r="AN52" s="366"/>
      <c r="AO52" s="369"/>
      <c r="AP52" s="366"/>
      <c r="AQ52" s="366"/>
      <c r="AR52" s="369"/>
      <c r="AS52" s="369"/>
      <c r="AT52" s="366"/>
      <c r="AU52" s="366"/>
      <c r="AV52" s="369"/>
      <c r="AW52" s="366"/>
      <c r="AX52" s="366"/>
      <c r="AY52" s="366"/>
      <c r="AZ52" s="366"/>
      <c r="BA52" s="366"/>
    </row>
    <row r="53" spans="1:53" s="371" customFormat="1" ht="12.75" customHeight="1" x14ac:dyDescent="0.25">
      <c r="A53" s="1013"/>
      <c r="B53" s="286" t="s">
        <v>831</v>
      </c>
      <c r="C53" s="313"/>
      <c r="D53" s="336"/>
      <c r="E53" s="300" t="s">
        <v>9</v>
      </c>
      <c r="F53" s="376" t="s">
        <v>1441</v>
      </c>
      <c r="G53" s="302">
        <v>0.68</v>
      </c>
      <c r="H53" s="301">
        <v>1</v>
      </c>
      <c r="I53" s="303">
        <f t="shared" ref="I53" si="4">G53*H53</f>
        <v>0.68</v>
      </c>
      <c r="J53" s="290"/>
      <c r="K53" s="374"/>
      <c r="L53" s="292"/>
      <c r="M53" s="292"/>
      <c r="N53" s="292"/>
      <c r="O53" s="291"/>
      <c r="P53" s="291"/>
      <c r="Q53" s="372"/>
      <c r="R53" s="291"/>
      <c r="S53" s="291"/>
      <c r="T53" s="291"/>
      <c r="U53" s="291"/>
      <c r="V53" s="291"/>
      <c r="W53" s="372"/>
      <c r="X53" s="291"/>
      <c r="Y53" s="291"/>
      <c r="Z53" s="291"/>
      <c r="AA53" s="284"/>
      <c r="AB53" s="284"/>
      <c r="AC53" s="377"/>
      <c r="AD53" s="263"/>
      <c r="AE53" s="261"/>
      <c r="AF53" s="365"/>
      <c r="AG53" s="366"/>
      <c r="AH53" s="366"/>
      <c r="AI53" s="366"/>
      <c r="AJ53" s="367"/>
      <c r="AK53" s="366"/>
      <c r="AL53" s="368"/>
      <c r="AM53" s="366"/>
      <c r="AN53" s="366"/>
      <c r="AO53" s="369"/>
      <c r="AP53" s="366"/>
      <c r="AQ53" s="366"/>
      <c r="AR53" s="369"/>
      <c r="AS53" s="369"/>
      <c r="AT53" s="366"/>
      <c r="AU53" s="366"/>
      <c r="AV53" s="369"/>
      <c r="AW53" s="366"/>
      <c r="AX53" s="366"/>
      <c r="AY53" s="366"/>
      <c r="AZ53" s="366"/>
      <c r="BA53" s="366"/>
    </row>
    <row r="54" spans="1:53" s="371" customFormat="1" ht="12.75" customHeight="1" x14ac:dyDescent="0.25">
      <c r="A54" s="1013"/>
      <c r="B54" s="309" t="s">
        <v>1178</v>
      </c>
      <c r="C54" s="314">
        <v>1</v>
      </c>
      <c r="D54" s="336"/>
      <c r="E54" s="300"/>
      <c r="F54" s="301"/>
      <c r="G54" s="302"/>
      <c r="H54" s="301"/>
      <c r="I54" s="303"/>
      <c r="J54" s="290"/>
      <c r="K54" s="374"/>
      <c r="L54" s="292"/>
      <c r="M54" s="292"/>
      <c r="N54" s="292"/>
      <c r="O54" s="291"/>
      <c r="P54" s="291"/>
      <c r="Q54" s="372"/>
      <c r="R54" s="291"/>
      <c r="S54" s="291"/>
      <c r="T54" s="291"/>
      <c r="U54" s="291"/>
      <c r="V54" s="291"/>
      <c r="W54" s="372"/>
      <c r="X54" s="291"/>
      <c r="Y54" s="291"/>
      <c r="Z54" s="291"/>
      <c r="AA54" s="284"/>
      <c r="AB54" s="284"/>
      <c r="AC54" s="377"/>
      <c r="AD54" s="263"/>
      <c r="AE54" s="261"/>
      <c r="AF54" s="365"/>
      <c r="AG54" s="366"/>
      <c r="AH54" s="366"/>
      <c r="AI54" s="366"/>
      <c r="AJ54" s="375"/>
      <c r="AK54" s="366"/>
      <c r="AL54" s="368"/>
      <c r="AM54" s="366"/>
      <c r="AN54" s="366"/>
      <c r="AO54" s="369"/>
      <c r="AP54" s="366"/>
      <c r="AQ54" s="366"/>
      <c r="AR54" s="369"/>
      <c r="AS54" s="369"/>
      <c r="AT54" s="366"/>
      <c r="AU54" s="366"/>
      <c r="AV54" s="369"/>
      <c r="AW54" s="366"/>
      <c r="AX54" s="366"/>
      <c r="AY54" s="366"/>
      <c r="AZ54" s="366"/>
      <c r="BA54" s="366"/>
    </row>
    <row r="55" spans="1:53" s="371" customFormat="1" ht="12.75" customHeight="1" x14ac:dyDescent="0.25">
      <c r="A55" s="1013"/>
      <c r="B55" s="286" t="s">
        <v>1179</v>
      </c>
      <c r="C55" s="314">
        <v>1</v>
      </c>
      <c r="D55" s="336"/>
      <c r="E55" s="300"/>
      <c r="F55" s="376"/>
      <c r="G55" s="302"/>
      <c r="H55" s="301"/>
      <c r="I55" s="303"/>
      <c r="J55" s="290"/>
      <c r="K55" s="374"/>
      <c r="L55" s="292"/>
      <c r="M55" s="292"/>
      <c r="N55" s="292"/>
      <c r="O55" s="291"/>
      <c r="P55" s="291"/>
      <c r="Q55" s="372"/>
      <c r="R55" s="291"/>
      <c r="S55" s="291"/>
      <c r="T55" s="291"/>
      <c r="U55" s="291"/>
      <c r="V55" s="291"/>
      <c r="W55" s="372"/>
      <c r="X55" s="291"/>
      <c r="Y55" s="291"/>
      <c r="Z55" s="291"/>
      <c r="AA55" s="284"/>
      <c r="AB55" s="284"/>
      <c r="AC55" s="377"/>
      <c r="AD55" s="263"/>
      <c r="AE55" s="261"/>
      <c r="AF55" s="365"/>
      <c r="AG55" s="366"/>
      <c r="AH55" s="366"/>
      <c r="AI55" s="366"/>
      <c r="AJ55" s="375"/>
      <c r="AK55" s="366"/>
      <c r="AL55" s="368"/>
      <c r="AM55" s="366"/>
      <c r="AN55" s="366"/>
      <c r="AO55" s="369"/>
      <c r="AP55" s="366"/>
      <c r="AQ55" s="366"/>
      <c r="AR55" s="369"/>
      <c r="AS55" s="369"/>
      <c r="AT55" s="366"/>
      <c r="AU55" s="366"/>
      <c r="AV55" s="369"/>
      <c r="AW55" s="366"/>
      <c r="AX55" s="366"/>
      <c r="AY55" s="366"/>
      <c r="AZ55" s="366"/>
      <c r="BA55" s="366"/>
    </row>
    <row r="56" spans="1:53" s="371" customFormat="1" ht="12.75" customHeight="1" x14ac:dyDescent="0.25">
      <c r="A56" s="1013"/>
      <c r="B56" s="315" t="s">
        <v>1181</v>
      </c>
      <c r="C56" s="277">
        <f>C51*C54+C52*C55</f>
        <v>53.163469285289004</v>
      </c>
      <c r="D56" s="336"/>
      <c r="E56" s="300"/>
      <c r="F56" s="376"/>
      <c r="G56" s="302"/>
      <c r="H56" s="301"/>
      <c r="I56" s="303"/>
      <c r="J56" s="290"/>
      <c r="K56" s="374"/>
      <c r="L56" s="292"/>
      <c r="M56" s="292"/>
      <c r="N56" s="292"/>
      <c r="O56" s="291"/>
      <c r="P56" s="291"/>
      <c r="Q56" s="372"/>
      <c r="R56" s="291"/>
      <c r="S56" s="291"/>
      <c r="T56" s="291"/>
      <c r="U56" s="291"/>
      <c r="V56" s="291"/>
      <c r="W56" s="372"/>
      <c r="X56" s="291"/>
      <c r="Y56" s="291"/>
      <c r="Z56" s="291"/>
      <c r="AA56" s="284"/>
      <c r="AB56" s="284"/>
      <c r="AC56" s="377"/>
      <c r="AD56" s="263"/>
      <c r="AE56" s="261"/>
      <c r="AF56" s="365"/>
      <c r="AG56" s="366"/>
      <c r="AH56" s="366"/>
      <c r="AI56" s="366"/>
      <c r="AJ56" s="367"/>
      <c r="AK56" s="366"/>
      <c r="AL56" s="368"/>
      <c r="AM56" s="366"/>
      <c r="AN56" s="366"/>
      <c r="AO56" s="369"/>
      <c r="AP56" s="366"/>
      <c r="AQ56" s="366"/>
      <c r="AR56" s="369"/>
      <c r="AS56" s="369"/>
      <c r="AT56" s="366"/>
      <c r="AU56" s="366"/>
      <c r="AV56" s="369"/>
      <c r="AW56" s="366"/>
      <c r="AX56" s="366"/>
      <c r="AY56" s="366"/>
      <c r="AZ56" s="366"/>
      <c r="BA56" s="366"/>
    </row>
    <row r="57" spans="1:53" s="371" customFormat="1" ht="12.75" customHeight="1" x14ac:dyDescent="0.25">
      <c r="A57" s="1014"/>
      <c r="B57" s="315"/>
      <c r="C57" s="314"/>
      <c r="D57" s="337"/>
      <c r="E57" s="300"/>
      <c r="F57" s="376"/>
      <c r="G57" s="302"/>
      <c r="H57" s="301"/>
      <c r="I57" s="303"/>
      <c r="J57" s="290"/>
      <c r="K57" s="374"/>
      <c r="L57" s="292"/>
      <c r="M57" s="292"/>
      <c r="N57" s="292"/>
      <c r="O57" s="291"/>
      <c r="P57" s="291"/>
      <c r="Q57" s="372"/>
      <c r="R57" s="291"/>
      <c r="S57" s="291"/>
      <c r="T57" s="291"/>
      <c r="U57" s="291"/>
      <c r="V57" s="291"/>
      <c r="W57" s="372"/>
      <c r="X57" s="291"/>
      <c r="Y57" s="291"/>
      <c r="Z57" s="291"/>
      <c r="AA57" s="284"/>
      <c r="AB57" s="284"/>
      <c r="AC57" s="377"/>
      <c r="AD57" s="263"/>
      <c r="AE57" s="261"/>
      <c r="AF57" s="365"/>
      <c r="AG57" s="366"/>
      <c r="AH57" s="366"/>
      <c r="AI57" s="366"/>
      <c r="AJ57" s="375"/>
      <c r="AK57" s="366"/>
      <c r="AL57" s="368"/>
      <c r="AM57" s="366"/>
      <c r="AN57" s="366"/>
      <c r="AO57" s="369"/>
      <c r="AP57" s="366"/>
      <c r="AQ57" s="366"/>
      <c r="AR57" s="369"/>
      <c r="AS57" s="369"/>
      <c r="AT57" s="366"/>
      <c r="AU57" s="366"/>
      <c r="AV57" s="369"/>
      <c r="AW57" s="366"/>
      <c r="AX57" s="366"/>
      <c r="AY57" s="366"/>
      <c r="AZ57" s="366"/>
      <c r="BA57" s="366"/>
    </row>
    <row r="58" spans="1:53" ht="56.25" customHeight="1" x14ac:dyDescent="0.25">
      <c r="A58" s="1012" t="s">
        <v>230</v>
      </c>
      <c r="B58" s="353" t="s">
        <v>1256</v>
      </c>
      <c r="C58" s="277"/>
      <c r="D58" s="287"/>
      <c r="E58" s="278" t="s">
        <v>488</v>
      </c>
      <c r="F58" s="279" t="s">
        <v>837</v>
      </c>
      <c r="G58" s="277" t="s">
        <v>489</v>
      </c>
      <c r="H58" s="278" t="s">
        <v>1170</v>
      </c>
      <c r="I58" s="279" t="s">
        <v>838</v>
      </c>
      <c r="J58" s="280" t="s">
        <v>1171</v>
      </c>
      <c r="K58" s="280" t="s">
        <v>490</v>
      </c>
      <c r="L58" s="281" t="s">
        <v>489</v>
      </c>
      <c r="M58" s="280" t="s">
        <v>1172</v>
      </c>
      <c r="N58" s="354" t="s">
        <v>838</v>
      </c>
      <c r="O58" s="280" t="s">
        <v>1171</v>
      </c>
      <c r="P58" s="280" t="s">
        <v>826</v>
      </c>
      <c r="Q58" s="282" t="s">
        <v>1173</v>
      </c>
      <c r="R58" s="280" t="s">
        <v>1174</v>
      </c>
      <c r="S58" s="280" t="s">
        <v>839</v>
      </c>
      <c r="T58" s="280" t="s">
        <v>1171</v>
      </c>
      <c r="U58" s="280" t="s">
        <v>1392</v>
      </c>
      <c r="V58" s="282" t="s">
        <v>1173</v>
      </c>
      <c r="W58" s="280" t="s">
        <v>841</v>
      </c>
      <c r="X58" s="280" t="s">
        <v>1394</v>
      </c>
      <c r="Y58" s="280" t="s">
        <v>839</v>
      </c>
      <c r="Z58" s="283"/>
      <c r="AA58" s="284"/>
      <c r="AB58" s="284"/>
      <c r="AC58" s="377"/>
      <c r="AD58" s="263"/>
      <c r="AQ58" s="355"/>
      <c r="AR58" s="355"/>
      <c r="AS58" s="355"/>
    </row>
    <row r="59" spans="1:53" s="270" customFormat="1" ht="12" customHeight="1" x14ac:dyDescent="0.25">
      <c r="A59" s="1013"/>
      <c r="B59" s="285" t="s">
        <v>1175</v>
      </c>
      <c r="C59" s="277">
        <f>C66</f>
        <v>29.106812851562065</v>
      </c>
      <c r="D59" s="336">
        <f>C59*$D$5</f>
        <v>5.8795761960155373</v>
      </c>
      <c r="E59" s="286" t="s">
        <v>1176</v>
      </c>
      <c r="F59" s="356"/>
      <c r="G59" s="288"/>
      <c r="H59" s="288"/>
      <c r="I59" s="289">
        <f>SUM(I60:I67)</f>
        <v>11.055</v>
      </c>
      <c r="J59" s="290" t="s">
        <v>1176</v>
      </c>
      <c r="K59" s="357"/>
      <c r="L59" s="291"/>
      <c r="M59" s="291"/>
      <c r="N59" s="433">
        <f>SUM(N60:N67)</f>
        <v>8.2000430473983976E-2</v>
      </c>
      <c r="O59" s="291" t="s">
        <v>1176</v>
      </c>
      <c r="P59" s="291"/>
      <c r="Q59" s="372"/>
      <c r="R59" s="294"/>
      <c r="S59" s="433">
        <f>SUM(S60:S67)</f>
        <v>0.10428569688923545</v>
      </c>
      <c r="T59" s="291" t="s">
        <v>1176</v>
      </c>
      <c r="U59" s="307"/>
      <c r="V59" s="308"/>
      <c r="W59" s="306"/>
      <c r="X59" s="292"/>
      <c r="Y59" s="433">
        <f>SUM(Y60:Y67)</f>
        <v>4.3489191438431192</v>
      </c>
      <c r="Z59" s="296">
        <f>(C59+D59+I59+N59+Y59+S59)*$Z$5</f>
        <v>65.759065476757286</v>
      </c>
      <c r="AA59" s="297">
        <f>C59+D59+I59+N59+S59+Y59+Z59</f>
        <v>116.33565979554123</v>
      </c>
      <c r="AB59" s="298">
        <v>0.25</v>
      </c>
      <c r="AC59" s="358">
        <f>AA59*(1+AB59)</f>
        <v>145.41957474442654</v>
      </c>
      <c r="AD59" s="265"/>
      <c r="AE59" s="261"/>
      <c r="AF59" s="262"/>
      <c r="AG59" s="263"/>
      <c r="AH59" s="263"/>
      <c r="AI59" s="355"/>
      <c r="AJ59" s="359"/>
      <c r="AK59" s="360"/>
      <c r="AL59" s="264"/>
      <c r="AM59" s="361"/>
      <c r="AN59" s="143"/>
      <c r="AO59" s="362"/>
      <c r="AP59" s="363"/>
      <c r="AQ59" s="363"/>
      <c r="AR59" s="363"/>
      <c r="AS59" s="363"/>
      <c r="AT59" s="363"/>
      <c r="AU59" s="362"/>
      <c r="AV59" s="362"/>
      <c r="AW59" s="364"/>
      <c r="AX59" s="272"/>
      <c r="AY59" s="272"/>
      <c r="AZ59" s="272"/>
      <c r="BA59" s="272"/>
    </row>
    <row r="60" spans="1:53" s="371" customFormat="1" ht="12.75" customHeight="1" x14ac:dyDescent="0.25">
      <c r="A60" s="1013"/>
      <c r="B60" s="299" t="s">
        <v>830</v>
      </c>
      <c r="C60" s="277"/>
      <c r="D60" s="336"/>
      <c r="E60" s="300" t="s">
        <v>2186</v>
      </c>
      <c r="F60" s="301" t="s">
        <v>1441</v>
      </c>
      <c r="G60" s="302">
        <v>5.36</v>
      </c>
      <c r="H60" s="301">
        <v>1</v>
      </c>
      <c r="I60" s="303">
        <f>G60*H60</f>
        <v>5.36</v>
      </c>
      <c r="J60" s="290" t="s">
        <v>1291</v>
      </c>
      <c r="K60" s="304">
        <v>2</v>
      </c>
      <c r="L60" s="305">
        <v>750</v>
      </c>
      <c r="M60" s="304">
        <v>2</v>
      </c>
      <c r="N60" s="433">
        <f>L60/'Исп. коэффициенты'!E52*(C64+C65)</f>
        <v>7.0690026270675846E-2</v>
      </c>
      <c r="O60" s="291" t="s">
        <v>1667</v>
      </c>
      <c r="P60" s="291">
        <v>4500</v>
      </c>
      <c r="Q60" s="291">
        <v>19.670000000000002</v>
      </c>
      <c r="R60" s="291">
        <v>885.15</v>
      </c>
      <c r="S60" s="433">
        <f>R60/'Исп. коэффициенты'!E52*C64</f>
        <v>4.1714184502325814E-2</v>
      </c>
      <c r="T60" s="306" t="s">
        <v>1435</v>
      </c>
      <c r="U60" s="307">
        <v>6785401.3499999996</v>
      </c>
      <c r="V60" s="308">
        <v>1.3599999999999999E-2</v>
      </c>
      <c r="W60" s="306">
        <f>'Исп. коэффициенты'!E124</f>
        <v>2978.5</v>
      </c>
      <c r="X60" s="433">
        <f>U60*V60</f>
        <v>92281.45835999999</v>
      </c>
      <c r="Y60" s="295">
        <f>X60/'Исп. коэффициенты'!E52*C64</f>
        <v>4.3489191438431192</v>
      </c>
      <c r="Z60" s="291"/>
      <c r="AA60" s="284"/>
      <c r="AB60" s="284"/>
      <c r="AC60" s="377"/>
      <c r="AD60" s="263"/>
      <c r="AE60" s="261"/>
      <c r="AF60" s="365"/>
      <c r="AG60" s="366"/>
      <c r="AH60" s="366"/>
      <c r="AI60" s="366"/>
      <c r="AJ60" s="367"/>
      <c r="AK60" s="366"/>
      <c r="AL60" s="368"/>
      <c r="AM60" s="366"/>
      <c r="AN60" s="366"/>
      <c r="AO60" s="369"/>
      <c r="AP60" s="366"/>
      <c r="AQ60" s="366"/>
      <c r="AR60" s="369"/>
      <c r="AS60" s="369"/>
      <c r="AT60" s="370"/>
      <c r="AU60" s="366"/>
      <c r="AV60" s="369"/>
      <c r="AW60" s="366"/>
      <c r="AX60" s="366"/>
      <c r="AY60" s="366"/>
      <c r="AZ60" s="366"/>
      <c r="BA60" s="366"/>
    </row>
    <row r="61" spans="1:53" s="371" customFormat="1" x14ac:dyDescent="0.25">
      <c r="A61" s="1013"/>
      <c r="B61" s="309" t="s">
        <v>1178</v>
      </c>
      <c r="C61" s="310">
        <f>'Заработная плата'!M79</f>
        <v>38.717865870069311</v>
      </c>
      <c r="D61" s="336"/>
      <c r="E61" s="300" t="s">
        <v>2187</v>
      </c>
      <c r="F61" s="301" t="s">
        <v>1</v>
      </c>
      <c r="G61" s="302">
        <v>6.3E-2</v>
      </c>
      <c r="H61" s="301">
        <v>5</v>
      </c>
      <c r="I61" s="303">
        <f>G61*H61</f>
        <v>0.315</v>
      </c>
      <c r="J61" s="290" t="s">
        <v>1445</v>
      </c>
      <c r="K61" s="292">
        <v>2</v>
      </c>
      <c r="L61" s="311">
        <v>95</v>
      </c>
      <c r="M61" s="304">
        <v>2</v>
      </c>
      <c r="N61" s="433">
        <f>L61/'Исп. коэффициенты'!E52*(C64+C65)</f>
        <v>8.9540699942856072E-3</v>
      </c>
      <c r="O61" s="291" t="s">
        <v>1668</v>
      </c>
      <c r="P61" s="291">
        <v>6750</v>
      </c>
      <c r="Q61" s="291">
        <v>19.670000000000002</v>
      </c>
      <c r="R61" s="291">
        <v>1327.73</v>
      </c>
      <c r="S61" s="433">
        <f>R61/'Исп. коэффициенты'!E52*C64</f>
        <v>6.2571512386909625E-2</v>
      </c>
      <c r="T61" s="291"/>
      <c r="U61" s="291"/>
      <c r="V61" s="291"/>
      <c r="W61" s="372"/>
      <c r="X61" s="291"/>
      <c r="Y61" s="291"/>
      <c r="Z61" s="291"/>
      <c r="AA61" s="284"/>
      <c r="AB61" s="284"/>
      <c r="AC61" s="377"/>
      <c r="AD61" s="263"/>
      <c r="AE61" s="261"/>
      <c r="AF61" s="365"/>
      <c r="AG61" s="366"/>
      <c r="AH61" s="366"/>
      <c r="AI61" s="366"/>
      <c r="AJ61" s="367"/>
      <c r="AK61" s="366"/>
      <c r="AL61" s="368"/>
      <c r="AM61" s="373"/>
      <c r="AN61" s="366"/>
      <c r="AO61" s="369"/>
      <c r="AP61" s="366"/>
      <c r="AQ61" s="366"/>
      <c r="AR61" s="369"/>
      <c r="AS61" s="369"/>
      <c r="AT61" s="366"/>
      <c r="AU61" s="366"/>
      <c r="AV61" s="369"/>
      <c r="AW61" s="366"/>
      <c r="AX61" s="366"/>
      <c r="AY61" s="366"/>
      <c r="AZ61" s="366"/>
      <c r="BA61" s="366"/>
    </row>
    <row r="62" spans="1:53" s="371" customFormat="1" ht="12.75" customHeight="1" x14ac:dyDescent="0.25">
      <c r="A62" s="1013"/>
      <c r="B62" s="286" t="s">
        <v>1179</v>
      </c>
      <c r="C62" s="277">
        <f>C52</f>
        <v>19.495759833054819</v>
      </c>
      <c r="D62" s="336"/>
      <c r="E62" s="300" t="s">
        <v>2112</v>
      </c>
      <c r="F62" s="301" t="s">
        <v>1</v>
      </c>
      <c r="G62" s="302">
        <v>0.47</v>
      </c>
      <c r="H62" s="302">
        <v>10</v>
      </c>
      <c r="I62" s="303">
        <f>G62*H62</f>
        <v>4.6999999999999993</v>
      </c>
      <c r="J62" s="290" t="s">
        <v>1513</v>
      </c>
      <c r="K62" s="292">
        <v>2</v>
      </c>
      <c r="L62" s="292">
        <v>25</v>
      </c>
      <c r="M62" s="304">
        <v>0.5</v>
      </c>
      <c r="N62" s="433">
        <f>L62/'Исп. коэффициенты'!E52*(C64+C65)</f>
        <v>2.3563342090225283E-3</v>
      </c>
      <c r="O62" s="291"/>
      <c r="P62" s="291"/>
      <c r="Q62" s="372"/>
      <c r="R62" s="291"/>
      <c r="S62" s="291"/>
      <c r="T62" s="291"/>
      <c r="U62" s="291"/>
      <c r="V62" s="291"/>
      <c r="W62" s="372"/>
      <c r="X62" s="291"/>
      <c r="Y62" s="291"/>
      <c r="Z62" s="291"/>
      <c r="AA62" s="284"/>
      <c r="AB62" s="284"/>
      <c r="AC62" s="377"/>
      <c r="AD62" s="263"/>
      <c r="AE62" s="261"/>
      <c r="AF62" s="365"/>
      <c r="AG62" s="366"/>
      <c r="AH62" s="366"/>
      <c r="AI62" s="366"/>
      <c r="AJ62" s="367"/>
      <c r="AK62" s="366"/>
      <c r="AL62" s="368"/>
      <c r="AM62" s="366"/>
      <c r="AN62" s="366"/>
      <c r="AO62" s="369"/>
      <c r="AP62" s="366"/>
      <c r="AQ62" s="366"/>
      <c r="AR62" s="369"/>
      <c r="AS62" s="369"/>
      <c r="AT62" s="366"/>
      <c r="AU62" s="366"/>
      <c r="AV62" s="369"/>
      <c r="AW62" s="366"/>
      <c r="AX62" s="366"/>
      <c r="AY62" s="366"/>
      <c r="AZ62" s="366"/>
      <c r="BA62" s="366"/>
    </row>
    <row r="63" spans="1:53" s="371" customFormat="1" ht="12.75" customHeight="1" x14ac:dyDescent="0.25">
      <c r="A63" s="1013"/>
      <c r="B63" s="286" t="s">
        <v>831</v>
      </c>
      <c r="C63" s="313"/>
      <c r="D63" s="336"/>
      <c r="E63" s="300" t="s">
        <v>9</v>
      </c>
      <c r="F63" s="376" t="s">
        <v>1441</v>
      </c>
      <c r="G63" s="302">
        <v>0.68</v>
      </c>
      <c r="H63" s="301">
        <v>1</v>
      </c>
      <c r="I63" s="303">
        <f t="shared" ref="I63" si="5">G63*H63</f>
        <v>0.68</v>
      </c>
      <c r="J63" s="290"/>
      <c r="K63" s="374"/>
      <c r="L63" s="292"/>
      <c r="M63" s="292"/>
      <c r="N63" s="292"/>
      <c r="O63" s="291"/>
      <c r="P63" s="291"/>
      <c r="Q63" s="372"/>
      <c r="R63" s="291"/>
      <c r="S63" s="291"/>
      <c r="T63" s="291"/>
      <c r="U63" s="291"/>
      <c r="V63" s="291"/>
      <c r="W63" s="372"/>
      <c r="X63" s="291"/>
      <c r="Y63" s="291"/>
      <c r="Z63" s="291"/>
      <c r="AA63" s="284"/>
      <c r="AB63" s="284"/>
      <c r="AC63" s="377"/>
      <c r="AD63" s="263"/>
      <c r="AE63" s="261"/>
      <c r="AF63" s="365"/>
      <c r="AG63" s="366"/>
      <c r="AH63" s="366"/>
      <c r="AI63" s="366"/>
      <c r="AJ63" s="367"/>
      <c r="AK63" s="366"/>
      <c r="AL63" s="368"/>
      <c r="AM63" s="366"/>
      <c r="AN63" s="366"/>
      <c r="AO63" s="369"/>
      <c r="AP63" s="366"/>
      <c r="AQ63" s="366"/>
      <c r="AR63" s="369"/>
      <c r="AS63" s="369"/>
      <c r="AT63" s="366"/>
      <c r="AU63" s="366"/>
      <c r="AV63" s="369"/>
      <c r="AW63" s="366"/>
      <c r="AX63" s="366"/>
      <c r="AY63" s="366"/>
      <c r="AZ63" s="366"/>
      <c r="BA63" s="366"/>
    </row>
    <row r="64" spans="1:53" s="371" customFormat="1" ht="12.75" customHeight="1" x14ac:dyDescent="0.25">
      <c r="A64" s="1013"/>
      <c r="B64" s="309" t="s">
        <v>1178</v>
      </c>
      <c r="C64" s="314">
        <v>0.5</v>
      </c>
      <c r="D64" s="336"/>
      <c r="E64" s="300"/>
      <c r="F64" s="301"/>
      <c r="G64" s="302"/>
      <c r="H64" s="301"/>
      <c r="I64" s="303"/>
      <c r="J64" s="290"/>
      <c r="K64" s="374"/>
      <c r="L64" s="292"/>
      <c r="M64" s="292"/>
      <c r="N64" s="292"/>
      <c r="O64" s="291"/>
      <c r="P64" s="291"/>
      <c r="Q64" s="372"/>
      <c r="R64" s="291"/>
      <c r="S64" s="291"/>
      <c r="T64" s="291"/>
      <c r="U64" s="291"/>
      <c r="V64" s="291"/>
      <c r="W64" s="372"/>
      <c r="X64" s="291"/>
      <c r="Y64" s="291"/>
      <c r="Z64" s="291"/>
      <c r="AA64" s="284"/>
      <c r="AB64" s="284"/>
      <c r="AC64" s="377"/>
      <c r="AD64" s="263"/>
      <c r="AE64" s="261"/>
      <c r="AF64" s="365"/>
      <c r="AG64" s="366"/>
      <c r="AH64" s="366"/>
      <c r="AI64" s="366"/>
      <c r="AJ64" s="375"/>
      <c r="AK64" s="366"/>
      <c r="AL64" s="368"/>
      <c r="AM64" s="366"/>
      <c r="AN64" s="366"/>
      <c r="AO64" s="369"/>
      <c r="AP64" s="366"/>
      <c r="AQ64" s="366"/>
      <c r="AR64" s="369"/>
      <c r="AS64" s="369"/>
      <c r="AT64" s="366"/>
      <c r="AU64" s="366"/>
      <c r="AV64" s="369"/>
      <c r="AW64" s="366"/>
      <c r="AX64" s="366"/>
      <c r="AY64" s="366"/>
      <c r="AZ64" s="366"/>
      <c r="BA64" s="366"/>
    </row>
    <row r="65" spans="1:53" s="371" customFormat="1" ht="12.75" customHeight="1" x14ac:dyDescent="0.25">
      <c r="A65" s="1013"/>
      <c r="B65" s="286" t="s">
        <v>1179</v>
      </c>
      <c r="C65" s="314">
        <v>0.5</v>
      </c>
      <c r="D65" s="336"/>
      <c r="E65" s="300"/>
      <c r="F65" s="376"/>
      <c r="G65" s="302"/>
      <c r="H65" s="301"/>
      <c r="I65" s="303"/>
      <c r="J65" s="290"/>
      <c r="K65" s="374"/>
      <c r="L65" s="292"/>
      <c r="M65" s="292"/>
      <c r="N65" s="292"/>
      <c r="O65" s="291"/>
      <c r="P65" s="291"/>
      <c r="Q65" s="372"/>
      <c r="R65" s="291"/>
      <c r="S65" s="291"/>
      <c r="T65" s="291"/>
      <c r="U65" s="291"/>
      <c r="V65" s="291"/>
      <c r="W65" s="372"/>
      <c r="X65" s="291"/>
      <c r="Y65" s="291"/>
      <c r="Z65" s="291"/>
      <c r="AA65" s="284"/>
      <c r="AB65" s="284"/>
      <c r="AC65" s="377"/>
      <c r="AD65" s="263"/>
      <c r="AE65" s="261"/>
      <c r="AF65" s="365"/>
      <c r="AG65" s="366"/>
      <c r="AH65" s="366"/>
      <c r="AI65" s="366"/>
      <c r="AJ65" s="375"/>
      <c r="AK65" s="366"/>
      <c r="AL65" s="368"/>
      <c r="AM65" s="366"/>
      <c r="AN65" s="366"/>
      <c r="AO65" s="369"/>
      <c r="AP65" s="366"/>
      <c r="AQ65" s="366"/>
      <c r="AR65" s="369"/>
      <c r="AS65" s="369"/>
      <c r="AT65" s="366"/>
      <c r="AU65" s="366"/>
      <c r="AV65" s="369"/>
      <c r="AW65" s="366"/>
      <c r="AX65" s="366"/>
      <c r="AY65" s="366"/>
      <c r="AZ65" s="366"/>
      <c r="BA65" s="366"/>
    </row>
    <row r="66" spans="1:53" s="371" customFormat="1" ht="12.75" customHeight="1" x14ac:dyDescent="0.25">
      <c r="A66" s="1013"/>
      <c r="B66" s="315" t="s">
        <v>1181</v>
      </c>
      <c r="C66" s="277">
        <f>C61*C64+C62*C65</f>
        <v>29.106812851562065</v>
      </c>
      <c r="D66" s="336"/>
      <c r="E66" s="300"/>
      <c r="F66" s="376"/>
      <c r="G66" s="302"/>
      <c r="H66" s="301"/>
      <c r="I66" s="303"/>
      <c r="J66" s="290"/>
      <c r="K66" s="374"/>
      <c r="L66" s="292"/>
      <c r="M66" s="292"/>
      <c r="N66" s="292"/>
      <c r="O66" s="291"/>
      <c r="P66" s="291"/>
      <c r="Q66" s="372"/>
      <c r="R66" s="291"/>
      <c r="S66" s="291"/>
      <c r="T66" s="291"/>
      <c r="U66" s="291"/>
      <c r="V66" s="291"/>
      <c r="W66" s="372"/>
      <c r="X66" s="291"/>
      <c r="Y66" s="291"/>
      <c r="Z66" s="291"/>
      <c r="AA66" s="284"/>
      <c r="AB66" s="284"/>
      <c r="AC66" s="377"/>
      <c r="AD66" s="263"/>
      <c r="AE66" s="261"/>
      <c r="AF66" s="365"/>
      <c r="AG66" s="366"/>
      <c r="AH66" s="366"/>
      <c r="AI66" s="366"/>
      <c r="AJ66" s="367"/>
      <c r="AK66" s="366"/>
      <c r="AL66" s="368"/>
      <c r="AM66" s="366"/>
      <c r="AN66" s="366"/>
      <c r="AO66" s="369"/>
      <c r="AP66" s="366"/>
      <c r="AQ66" s="366"/>
      <c r="AR66" s="369"/>
      <c r="AS66" s="369"/>
      <c r="AT66" s="366"/>
      <c r="AU66" s="366"/>
      <c r="AV66" s="369"/>
      <c r="AW66" s="366"/>
      <c r="AX66" s="366"/>
      <c r="AY66" s="366"/>
      <c r="AZ66" s="366"/>
      <c r="BA66" s="366"/>
    </row>
    <row r="67" spans="1:53" s="371" customFormat="1" ht="12.75" customHeight="1" x14ac:dyDescent="0.25">
      <c r="A67" s="1014"/>
      <c r="B67" s="315"/>
      <c r="C67" s="314"/>
      <c r="D67" s="337"/>
      <c r="E67" s="300"/>
      <c r="F67" s="376"/>
      <c r="G67" s="302"/>
      <c r="H67" s="301"/>
      <c r="I67" s="303"/>
      <c r="J67" s="290"/>
      <c r="K67" s="374"/>
      <c r="L67" s="292"/>
      <c r="M67" s="292"/>
      <c r="N67" s="292"/>
      <c r="O67" s="291"/>
      <c r="P67" s="291"/>
      <c r="Q67" s="372"/>
      <c r="R67" s="291"/>
      <c r="S67" s="291"/>
      <c r="T67" s="291"/>
      <c r="U67" s="291"/>
      <c r="V67" s="291"/>
      <c r="W67" s="372"/>
      <c r="X67" s="291"/>
      <c r="Y67" s="291"/>
      <c r="Z67" s="291"/>
      <c r="AA67" s="284"/>
      <c r="AB67" s="284"/>
      <c r="AC67" s="377"/>
      <c r="AD67" s="263"/>
      <c r="AE67" s="261"/>
      <c r="AF67" s="365"/>
      <c r="AG67" s="366"/>
      <c r="AH67" s="366"/>
      <c r="AI67" s="366"/>
      <c r="AJ67" s="375"/>
      <c r="AK67" s="366"/>
      <c r="AL67" s="368"/>
      <c r="AM67" s="366"/>
      <c r="AN67" s="366"/>
      <c r="AO67" s="369"/>
      <c r="AP67" s="366"/>
      <c r="AQ67" s="366"/>
      <c r="AR67" s="369"/>
      <c r="AS67" s="369"/>
      <c r="AT67" s="366"/>
      <c r="AU67" s="366"/>
      <c r="AV67" s="369"/>
      <c r="AW67" s="366"/>
      <c r="AX67" s="366"/>
      <c r="AY67" s="366"/>
      <c r="AZ67" s="366"/>
      <c r="BA67" s="366"/>
    </row>
    <row r="68" spans="1:53" ht="56.25" customHeight="1" x14ac:dyDescent="0.25">
      <c r="A68" s="1012" t="s">
        <v>231</v>
      </c>
      <c r="B68" s="353" t="s">
        <v>1271</v>
      </c>
      <c r="C68" s="277"/>
      <c r="D68" s="287"/>
      <c r="E68" s="278" t="s">
        <v>488</v>
      </c>
      <c r="F68" s="279" t="s">
        <v>837</v>
      </c>
      <c r="G68" s="277" t="s">
        <v>489</v>
      </c>
      <c r="H68" s="278" t="s">
        <v>1170</v>
      </c>
      <c r="I68" s="279" t="s">
        <v>838</v>
      </c>
      <c r="J68" s="280" t="s">
        <v>1171</v>
      </c>
      <c r="K68" s="280" t="s">
        <v>490</v>
      </c>
      <c r="L68" s="281" t="s">
        <v>489</v>
      </c>
      <c r="M68" s="280" t="s">
        <v>1172</v>
      </c>
      <c r="N68" s="354" t="s">
        <v>838</v>
      </c>
      <c r="O68" s="280" t="s">
        <v>1171</v>
      </c>
      <c r="P68" s="280" t="s">
        <v>826</v>
      </c>
      <c r="Q68" s="282" t="s">
        <v>1173</v>
      </c>
      <c r="R68" s="280" t="s">
        <v>1174</v>
      </c>
      <c r="S68" s="280" t="s">
        <v>839</v>
      </c>
      <c r="T68" s="280" t="s">
        <v>1171</v>
      </c>
      <c r="U68" s="280" t="s">
        <v>1392</v>
      </c>
      <c r="V68" s="282" t="s">
        <v>1173</v>
      </c>
      <c r="W68" s="280" t="s">
        <v>841</v>
      </c>
      <c r="X68" s="280" t="s">
        <v>1394</v>
      </c>
      <c r="Y68" s="280" t="s">
        <v>839</v>
      </c>
      <c r="Z68" s="283"/>
      <c r="AA68" s="284"/>
      <c r="AB68" s="284"/>
      <c r="AC68" s="377"/>
      <c r="AD68" s="263"/>
      <c r="AQ68" s="355"/>
      <c r="AR68" s="355"/>
      <c r="AS68" s="355"/>
    </row>
    <row r="69" spans="1:53" s="270" customFormat="1" ht="12" customHeight="1" x14ac:dyDescent="0.25">
      <c r="A69" s="1013"/>
      <c r="B69" s="285" t="s">
        <v>1175</v>
      </c>
      <c r="C69" s="277">
        <f>C76</f>
        <v>79.745203927933503</v>
      </c>
      <c r="D69" s="336">
        <f>C69*$D$5</f>
        <v>16.10853119344257</v>
      </c>
      <c r="E69" s="286" t="s">
        <v>1176</v>
      </c>
      <c r="F69" s="356"/>
      <c r="G69" s="288"/>
      <c r="H69" s="288"/>
      <c r="I69" s="289">
        <f>SUM(I70:I77)</f>
        <v>11.055</v>
      </c>
      <c r="J69" s="290" t="s">
        <v>1176</v>
      </c>
      <c r="K69" s="357"/>
      <c r="L69" s="291"/>
      <c r="M69" s="291"/>
      <c r="N69" s="433">
        <f>SUM(N70:N77)</f>
        <v>0.24600129142195196</v>
      </c>
      <c r="O69" s="291" t="s">
        <v>1176</v>
      </c>
      <c r="P69" s="291"/>
      <c r="Q69" s="372"/>
      <c r="R69" s="294"/>
      <c r="S69" s="433">
        <f>SUM(S70:S77)</f>
        <v>0.31285709066770634</v>
      </c>
      <c r="T69" s="291" t="s">
        <v>1176</v>
      </c>
      <c r="U69" s="307"/>
      <c r="V69" s="308"/>
      <c r="W69" s="306"/>
      <c r="X69" s="292"/>
      <c r="Y69" s="433">
        <f>SUM(Y70:Y77)</f>
        <v>13.046757431529358</v>
      </c>
      <c r="Z69" s="296">
        <f>(C69+D69+I69+N69+Y69+S69)*$Z$5</f>
        <v>156.69127589083175</v>
      </c>
      <c r="AA69" s="297">
        <f>C69+D69+I69+N69+S69+Y69+Z69</f>
        <v>277.20562682582681</v>
      </c>
      <c r="AB69" s="298">
        <v>0.25</v>
      </c>
      <c r="AC69" s="358">
        <f>AA69*(1+AB69)</f>
        <v>346.50703353228351</v>
      </c>
      <c r="AD69" s="265"/>
      <c r="AE69" s="261"/>
      <c r="AF69" s="262"/>
      <c r="AG69" s="263"/>
      <c r="AH69" s="263"/>
      <c r="AI69" s="355"/>
      <c r="AJ69" s="359"/>
      <c r="AK69" s="360"/>
      <c r="AL69" s="264"/>
      <c r="AM69" s="361"/>
      <c r="AN69" s="143"/>
      <c r="AO69" s="362"/>
      <c r="AP69" s="363"/>
      <c r="AQ69" s="363"/>
      <c r="AR69" s="363"/>
      <c r="AS69" s="363"/>
      <c r="AT69" s="363"/>
      <c r="AU69" s="362"/>
      <c r="AV69" s="362"/>
      <c r="AW69" s="364"/>
      <c r="AX69" s="272"/>
      <c r="AY69" s="272"/>
      <c r="AZ69" s="272"/>
      <c r="BA69" s="272"/>
    </row>
    <row r="70" spans="1:53" s="371" customFormat="1" ht="12.75" customHeight="1" x14ac:dyDescent="0.25">
      <c r="A70" s="1013"/>
      <c r="B70" s="299" t="s">
        <v>830</v>
      </c>
      <c r="C70" s="277"/>
      <c r="D70" s="336"/>
      <c r="E70" s="300" t="s">
        <v>2186</v>
      </c>
      <c r="F70" s="301" t="s">
        <v>1441</v>
      </c>
      <c r="G70" s="302">
        <v>5.36</v>
      </c>
      <c r="H70" s="301">
        <v>1</v>
      </c>
      <c r="I70" s="303">
        <f>G70*H70</f>
        <v>5.36</v>
      </c>
      <c r="J70" s="290" t="s">
        <v>1291</v>
      </c>
      <c r="K70" s="304">
        <v>2</v>
      </c>
      <c r="L70" s="305">
        <v>750</v>
      </c>
      <c r="M70" s="304">
        <v>2</v>
      </c>
      <c r="N70" s="433">
        <f>L70/'Исп. коэффициенты'!E52*(C74+C75)</f>
        <v>0.21207007881202755</v>
      </c>
      <c r="O70" s="291" t="s">
        <v>1667</v>
      </c>
      <c r="P70" s="291">
        <v>4500</v>
      </c>
      <c r="Q70" s="291">
        <v>19.670000000000002</v>
      </c>
      <c r="R70" s="291">
        <v>885.15</v>
      </c>
      <c r="S70" s="433">
        <f>R70/'Исп. коэффициенты'!E52*C74</f>
        <v>0.12514255350697745</v>
      </c>
      <c r="T70" s="306" t="s">
        <v>1435</v>
      </c>
      <c r="U70" s="307">
        <v>6785401.3499999996</v>
      </c>
      <c r="V70" s="308">
        <v>1.3599999999999999E-2</v>
      </c>
      <c r="W70" s="306">
        <f>'Исп. коэффициенты'!E124</f>
        <v>2978.5</v>
      </c>
      <c r="X70" s="433">
        <f>U70*V70</f>
        <v>92281.45835999999</v>
      </c>
      <c r="Y70" s="295">
        <f>X70/'Исп. коэффициенты'!E52*C74</f>
        <v>13.046757431529358</v>
      </c>
      <c r="Z70" s="291"/>
      <c r="AA70" s="284"/>
      <c r="AB70" s="284"/>
      <c r="AC70" s="377"/>
      <c r="AD70" s="263"/>
      <c r="AE70" s="261"/>
      <c r="AF70" s="365"/>
      <c r="AG70" s="366"/>
      <c r="AH70" s="366"/>
      <c r="AI70" s="366"/>
      <c r="AJ70" s="367"/>
      <c r="AK70" s="366"/>
      <c r="AL70" s="368"/>
      <c r="AM70" s="366"/>
      <c r="AN70" s="366"/>
      <c r="AO70" s="369"/>
      <c r="AP70" s="366"/>
      <c r="AQ70" s="366"/>
      <c r="AR70" s="369"/>
      <c r="AS70" s="369"/>
      <c r="AT70" s="370"/>
      <c r="AU70" s="366"/>
      <c r="AV70" s="369"/>
      <c r="AW70" s="366"/>
      <c r="AX70" s="366"/>
      <c r="AY70" s="366"/>
      <c r="AZ70" s="366"/>
      <c r="BA70" s="366"/>
    </row>
    <row r="71" spans="1:53" s="371" customFormat="1" x14ac:dyDescent="0.25">
      <c r="A71" s="1013"/>
      <c r="B71" s="309" t="s">
        <v>1178</v>
      </c>
      <c r="C71" s="310">
        <f>C51</f>
        <v>33.667709452234185</v>
      </c>
      <c r="D71" s="336"/>
      <c r="E71" s="300" t="s">
        <v>2187</v>
      </c>
      <c r="F71" s="301" t="s">
        <v>1</v>
      </c>
      <c r="G71" s="302">
        <v>6.3E-2</v>
      </c>
      <c r="H71" s="301">
        <v>5</v>
      </c>
      <c r="I71" s="303">
        <f>G71*H71</f>
        <v>0.315</v>
      </c>
      <c r="J71" s="290" t="s">
        <v>1445</v>
      </c>
      <c r="K71" s="292">
        <v>2</v>
      </c>
      <c r="L71" s="311">
        <v>95</v>
      </c>
      <c r="M71" s="304">
        <v>2</v>
      </c>
      <c r="N71" s="433">
        <f>L71/'Исп. коэффициенты'!E52*(C74+C75)</f>
        <v>2.6862209982856822E-2</v>
      </c>
      <c r="O71" s="291" t="s">
        <v>1668</v>
      </c>
      <c r="P71" s="291">
        <v>6750</v>
      </c>
      <c r="Q71" s="291">
        <v>19.670000000000002</v>
      </c>
      <c r="R71" s="291">
        <v>1327.73</v>
      </c>
      <c r="S71" s="433">
        <f>R71/'Исп. коэффициенты'!E52*C74</f>
        <v>0.18771453716072889</v>
      </c>
      <c r="T71" s="291"/>
      <c r="U71" s="291"/>
      <c r="V71" s="291"/>
      <c r="W71" s="372"/>
      <c r="X71" s="291"/>
      <c r="Y71" s="291"/>
      <c r="Z71" s="291"/>
      <c r="AA71" s="284"/>
      <c r="AB71" s="284"/>
      <c r="AC71" s="377"/>
      <c r="AD71" s="263"/>
      <c r="AE71" s="261"/>
      <c r="AF71" s="365"/>
      <c r="AG71" s="366"/>
      <c r="AH71" s="366"/>
      <c r="AI71" s="366"/>
      <c r="AJ71" s="367"/>
      <c r="AK71" s="366"/>
      <c r="AL71" s="368"/>
      <c r="AM71" s="373"/>
      <c r="AN71" s="366"/>
      <c r="AO71" s="369"/>
      <c r="AP71" s="366"/>
      <c r="AQ71" s="366"/>
      <c r="AR71" s="369"/>
      <c r="AS71" s="369"/>
      <c r="AT71" s="366"/>
      <c r="AU71" s="366"/>
      <c r="AV71" s="369"/>
      <c r="AW71" s="366"/>
      <c r="AX71" s="366"/>
      <c r="AY71" s="366"/>
      <c r="AZ71" s="366"/>
      <c r="BA71" s="366"/>
    </row>
    <row r="72" spans="1:53" s="371" customFormat="1" ht="12.75" customHeight="1" x14ac:dyDescent="0.25">
      <c r="A72" s="1013"/>
      <c r="B72" s="286" t="s">
        <v>1179</v>
      </c>
      <c r="C72" s="277">
        <f>C62</f>
        <v>19.495759833054819</v>
      </c>
      <c r="D72" s="336"/>
      <c r="E72" s="300" t="s">
        <v>2112</v>
      </c>
      <c r="F72" s="301" t="s">
        <v>1</v>
      </c>
      <c r="G72" s="302">
        <v>0.47</v>
      </c>
      <c r="H72" s="302">
        <v>10</v>
      </c>
      <c r="I72" s="303">
        <f>G72*H72</f>
        <v>4.6999999999999993</v>
      </c>
      <c r="J72" s="290" t="s">
        <v>1513</v>
      </c>
      <c r="K72" s="292">
        <v>2</v>
      </c>
      <c r="L72" s="292">
        <v>25</v>
      </c>
      <c r="M72" s="304">
        <v>0.5</v>
      </c>
      <c r="N72" s="433">
        <f>L72/'Исп. коэффициенты'!E52*(C74+C75)</f>
        <v>7.0690026270675849E-3</v>
      </c>
      <c r="O72" s="291"/>
      <c r="P72" s="291"/>
      <c r="Q72" s="372"/>
      <c r="R72" s="291"/>
      <c r="S72" s="291"/>
      <c r="T72" s="291"/>
      <c r="U72" s="291"/>
      <c r="V72" s="291"/>
      <c r="W72" s="372"/>
      <c r="X72" s="291"/>
      <c r="Y72" s="291"/>
      <c r="Z72" s="291"/>
      <c r="AA72" s="284"/>
      <c r="AB72" s="284"/>
      <c r="AC72" s="377"/>
      <c r="AD72" s="263"/>
      <c r="AE72" s="261"/>
      <c r="AF72" s="365"/>
      <c r="AG72" s="366"/>
      <c r="AH72" s="366"/>
      <c r="AI72" s="366"/>
      <c r="AJ72" s="367"/>
      <c r="AK72" s="366"/>
      <c r="AL72" s="368"/>
      <c r="AM72" s="366"/>
      <c r="AN72" s="366"/>
      <c r="AO72" s="369"/>
      <c r="AP72" s="366"/>
      <c r="AQ72" s="366"/>
      <c r="AR72" s="369"/>
      <c r="AS72" s="369"/>
      <c r="AT72" s="366"/>
      <c r="AU72" s="366"/>
      <c r="AV72" s="369"/>
      <c r="AW72" s="366"/>
      <c r="AX72" s="366"/>
      <c r="AY72" s="366"/>
      <c r="AZ72" s="366"/>
      <c r="BA72" s="366"/>
    </row>
    <row r="73" spans="1:53" s="371" customFormat="1" ht="12.75" customHeight="1" x14ac:dyDescent="0.25">
      <c r="A73" s="1013"/>
      <c r="B73" s="286" t="s">
        <v>831</v>
      </c>
      <c r="C73" s="313"/>
      <c r="D73" s="336"/>
      <c r="E73" s="300" t="s">
        <v>9</v>
      </c>
      <c r="F73" s="376" t="s">
        <v>1441</v>
      </c>
      <c r="G73" s="302">
        <v>0.68</v>
      </c>
      <c r="H73" s="301">
        <v>1</v>
      </c>
      <c r="I73" s="303">
        <f t="shared" ref="I73" si="6">G73*H73</f>
        <v>0.68</v>
      </c>
      <c r="J73" s="290"/>
      <c r="K73" s="374"/>
      <c r="L73" s="292"/>
      <c r="M73" s="292"/>
      <c r="N73" s="292"/>
      <c r="O73" s="291"/>
      <c r="P73" s="291"/>
      <c r="Q73" s="372"/>
      <c r="R73" s="291"/>
      <c r="S73" s="291"/>
      <c r="T73" s="291"/>
      <c r="U73" s="291"/>
      <c r="V73" s="291"/>
      <c r="W73" s="372"/>
      <c r="X73" s="291"/>
      <c r="Y73" s="291"/>
      <c r="Z73" s="291"/>
      <c r="AA73" s="284"/>
      <c r="AB73" s="284"/>
      <c r="AC73" s="377"/>
      <c r="AD73" s="263"/>
      <c r="AE73" s="261"/>
      <c r="AF73" s="365"/>
      <c r="AG73" s="366"/>
      <c r="AH73" s="366"/>
      <c r="AI73" s="366"/>
      <c r="AJ73" s="367"/>
      <c r="AK73" s="366"/>
      <c r="AL73" s="368"/>
      <c r="AM73" s="366"/>
      <c r="AN73" s="366"/>
      <c r="AO73" s="369"/>
      <c r="AP73" s="366"/>
      <c r="AQ73" s="366"/>
      <c r="AR73" s="369"/>
      <c r="AS73" s="369"/>
      <c r="AT73" s="366"/>
      <c r="AU73" s="366"/>
      <c r="AV73" s="369"/>
      <c r="AW73" s="366"/>
      <c r="AX73" s="366"/>
      <c r="AY73" s="366"/>
      <c r="AZ73" s="366"/>
      <c r="BA73" s="366"/>
    </row>
    <row r="74" spans="1:53" s="371" customFormat="1" ht="12.75" customHeight="1" x14ac:dyDescent="0.25">
      <c r="A74" s="1013"/>
      <c r="B74" s="309" t="s">
        <v>1178</v>
      </c>
      <c r="C74" s="314">
        <v>1.5</v>
      </c>
      <c r="D74" s="336"/>
      <c r="E74" s="300"/>
      <c r="F74" s="301"/>
      <c r="G74" s="302"/>
      <c r="H74" s="301"/>
      <c r="I74" s="303"/>
      <c r="J74" s="290"/>
      <c r="K74" s="374"/>
      <c r="L74" s="292"/>
      <c r="M74" s="292"/>
      <c r="N74" s="292"/>
      <c r="O74" s="291"/>
      <c r="P74" s="291"/>
      <c r="Q74" s="372"/>
      <c r="R74" s="291"/>
      <c r="S74" s="291"/>
      <c r="T74" s="291"/>
      <c r="U74" s="291"/>
      <c r="V74" s="291"/>
      <c r="W74" s="372"/>
      <c r="X74" s="291"/>
      <c r="Y74" s="291"/>
      <c r="Z74" s="291"/>
      <c r="AA74" s="284"/>
      <c r="AB74" s="284"/>
      <c r="AC74" s="377"/>
      <c r="AD74" s="263"/>
      <c r="AE74" s="261"/>
      <c r="AF74" s="365"/>
      <c r="AG74" s="366"/>
      <c r="AH74" s="366"/>
      <c r="AI74" s="366"/>
      <c r="AJ74" s="375"/>
      <c r="AK74" s="366"/>
      <c r="AL74" s="368"/>
      <c r="AM74" s="366"/>
      <c r="AN74" s="366"/>
      <c r="AO74" s="369"/>
      <c r="AP74" s="366"/>
      <c r="AQ74" s="366"/>
      <c r="AR74" s="369"/>
      <c r="AS74" s="369"/>
      <c r="AT74" s="366"/>
      <c r="AU74" s="366"/>
      <c r="AV74" s="369"/>
      <c r="AW74" s="366"/>
      <c r="AX74" s="366"/>
      <c r="AY74" s="366"/>
      <c r="AZ74" s="366"/>
      <c r="BA74" s="366"/>
    </row>
    <row r="75" spans="1:53" s="371" customFormat="1" ht="12.75" customHeight="1" x14ac:dyDescent="0.25">
      <c r="A75" s="1013"/>
      <c r="B75" s="286" t="s">
        <v>1179</v>
      </c>
      <c r="C75" s="314">
        <v>1.5</v>
      </c>
      <c r="D75" s="336"/>
      <c r="E75" s="300"/>
      <c r="F75" s="376"/>
      <c r="G75" s="302"/>
      <c r="H75" s="301"/>
      <c r="I75" s="303"/>
      <c r="J75" s="290"/>
      <c r="K75" s="374"/>
      <c r="L75" s="292"/>
      <c r="M75" s="292"/>
      <c r="N75" s="292"/>
      <c r="O75" s="291"/>
      <c r="P75" s="291"/>
      <c r="Q75" s="372"/>
      <c r="R75" s="291"/>
      <c r="S75" s="291"/>
      <c r="T75" s="291"/>
      <c r="U75" s="291"/>
      <c r="V75" s="291"/>
      <c r="W75" s="372"/>
      <c r="X75" s="291"/>
      <c r="Y75" s="291"/>
      <c r="Z75" s="291"/>
      <c r="AA75" s="284"/>
      <c r="AB75" s="284"/>
      <c r="AC75" s="377"/>
      <c r="AD75" s="263"/>
      <c r="AE75" s="261"/>
      <c r="AF75" s="365"/>
      <c r="AG75" s="366"/>
      <c r="AH75" s="366"/>
      <c r="AI75" s="366"/>
      <c r="AJ75" s="375"/>
      <c r="AK75" s="366"/>
      <c r="AL75" s="368"/>
      <c r="AM75" s="366"/>
      <c r="AN75" s="366"/>
      <c r="AO75" s="369"/>
      <c r="AP75" s="366"/>
      <c r="AQ75" s="366"/>
      <c r="AR75" s="369"/>
      <c r="AS75" s="369"/>
      <c r="AT75" s="366"/>
      <c r="AU75" s="366"/>
      <c r="AV75" s="369"/>
      <c r="AW75" s="366"/>
      <c r="AX75" s="366"/>
      <c r="AY75" s="366"/>
      <c r="AZ75" s="366"/>
      <c r="BA75" s="366"/>
    </row>
    <row r="76" spans="1:53" s="371" customFormat="1" ht="12.75" customHeight="1" x14ac:dyDescent="0.25">
      <c r="A76" s="1013"/>
      <c r="B76" s="315" t="s">
        <v>1181</v>
      </c>
      <c r="C76" s="277">
        <f>C71*C74+C72*C75</f>
        <v>79.745203927933503</v>
      </c>
      <c r="D76" s="336"/>
      <c r="E76" s="300"/>
      <c r="F76" s="376"/>
      <c r="G76" s="302"/>
      <c r="H76" s="301"/>
      <c r="I76" s="303"/>
      <c r="J76" s="290"/>
      <c r="K76" s="374"/>
      <c r="L76" s="292"/>
      <c r="M76" s="292"/>
      <c r="N76" s="292"/>
      <c r="O76" s="291"/>
      <c r="P76" s="291"/>
      <c r="Q76" s="372"/>
      <c r="R76" s="291"/>
      <c r="S76" s="291"/>
      <c r="T76" s="291"/>
      <c r="U76" s="291"/>
      <c r="V76" s="291"/>
      <c r="W76" s="372"/>
      <c r="X76" s="291"/>
      <c r="Y76" s="291"/>
      <c r="Z76" s="291"/>
      <c r="AA76" s="284"/>
      <c r="AB76" s="284"/>
      <c r="AC76" s="377"/>
      <c r="AD76" s="263"/>
      <c r="AE76" s="261"/>
      <c r="AF76" s="365"/>
      <c r="AG76" s="366"/>
      <c r="AH76" s="366"/>
      <c r="AI76" s="366"/>
      <c r="AJ76" s="367"/>
      <c r="AK76" s="366"/>
      <c r="AL76" s="368"/>
      <c r="AM76" s="366"/>
      <c r="AN76" s="366"/>
      <c r="AO76" s="369"/>
      <c r="AP76" s="366"/>
      <c r="AQ76" s="366"/>
      <c r="AR76" s="369"/>
      <c r="AS76" s="369"/>
      <c r="AT76" s="366"/>
      <c r="AU76" s="366"/>
      <c r="AV76" s="369"/>
      <c r="AW76" s="366"/>
      <c r="AX76" s="366"/>
      <c r="AY76" s="366"/>
      <c r="AZ76" s="366"/>
      <c r="BA76" s="366"/>
    </row>
    <row r="77" spans="1:53" s="371" customFormat="1" ht="12.75" customHeight="1" x14ac:dyDescent="0.25">
      <c r="A77" s="1014"/>
      <c r="B77" s="315"/>
      <c r="C77" s="314"/>
      <c r="D77" s="337"/>
      <c r="E77" s="300"/>
      <c r="F77" s="376"/>
      <c r="G77" s="302"/>
      <c r="H77" s="301"/>
      <c r="I77" s="303"/>
      <c r="J77" s="290"/>
      <c r="K77" s="374"/>
      <c r="L77" s="292"/>
      <c r="M77" s="292"/>
      <c r="N77" s="292"/>
      <c r="O77" s="291"/>
      <c r="P77" s="291"/>
      <c r="Q77" s="372"/>
      <c r="R77" s="291"/>
      <c r="S77" s="291"/>
      <c r="T77" s="291"/>
      <c r="U77" s="291"/>
      <c r="V77" s="291"/>
      <c r="W77" s="372"/>
      <c r="X77" s="291"/>
      <c r="Y77" s="291"/>
      <c r="Z77" s="291"/>
      <c r="AA77" s="284"/>
      <c r="AB77" s="284"/>
      <c r="AC77" s="377"/>
      <c r="AD77" s="263"/>
      <c r="AE77" s="261"/>
      <c r="AF77" s="365"/>
      <c r="AG77" s="366"/>
      <c r="AH77" s="366"/>
      <c r="AI77" s="366"/>
      <c r="AJ77" s="375"/>
      <c r="AK77" s="366"/>
      <c r="AL77" s="368"/>
      <c r="AM77" s="366"/>
      <c r="AN77" s="366"/>
      <c r="AO77" s="369"/>
      <c r="AP77" s="366"/>
      <c r="AQ77" s="366"/>
      <c r="AR77" s="369"/>
      <c r="AS77" s="369"/>
      <c r="AT77" s="366"/>
      <c r="AU77" s="366"/>
      <c r="AV77" s="369"/>
      <c r="AW77" s="366"/>
      <c r="AX77" s="366"/>
      <c r="AY77" s="366"/>
      <c r="AZ77" s="366"/>
      <c r="BA77" s="366"/>
    </row>
    <row r="78" spans="1:53" s="270" customFormat="1" ht="21.75" customHeight="1" x14ac:dyDescent="0.25">
      <c r="A78" s="1111" t="s">
        <v>829</v>
      </c>
      <c r="B78" s="1112"/>
      <c r="C78" s="1112"/>
      <c r="D78" s="1112"/>
      <c r="E78" s="1112"/>
      <c r="F78" s="1112"/>
      <c r="G78" s="1112"/>
      <c r="H78" s="1112"/>
      <c r="I78" s="1112"/>
      <c r="J78" s="1112"/>
      <c r="K78" s="1112"/>
      <c r="L78" s="1112"/>
      <c r="M78" s="1112"/>
      <c r="N78" s="1112"/>
      <c r="O78" s="1112"/>
      <c r="P78" s="1112"/>
      <c r="Q78" s="1112"/>
      <c r="R78" s="1112"/>
      <c r="S78" s="1112"/>
      <c r="T78" s="1112"/>
      <c r="U78" s="1112"/>
      <c r="V78" s="1112"/>
      <c r="W78" s="1112"/>
      <c r="X78" s="1112"/>
      <c r="Y78" s="1112"/>
      <c r="Z78" s="1112"/>
      <c r="AA78" s="1112"/>
      <c r="AB78" s="1112"/>
      <c r="AC78" s="1113"/>
      <c r="AD78" s="272"/>
      <c r="AF78" s="274"/>
      <c r="AG78" s="272"/>
      <c r="AH78" s="272"/>
      <c r="AI78" s="272"/>
      <c r="AJ78" s="380"/>
      <c r="AK78" s="272"/>
      <c r="AL78" s="273"/>
      <c r="AM78" s="272"/>
      <c r="AN78" s="272"/>
      <c r="AO78" s="274"/>
      <c r="AP78" s="272"/>
      <c r="AQ78" s="272"/>
      <c r="AR78" s="274"/>
      <c r="AS78" s="274"/>
      <c r="AT78" s="272"/>
      <c r="AU78" s="272"/>
      <c r="AV78" s="274"/>
      <c r="AW78" s="272"/>
      <c r="AX78" s="272"/>
      <c r="AY78" s="272"/>
      <c r="AZ78" s="272"/>
      <c r="BA78" s="272"/>
    </row>
    <row r="79" spans="1:53" ht="56.25" customHeight="1" x14ac:dyDescent="0.25">
      <c r="A79" s="1012" t="s">
        <v>232</v>
      </c>
      <c r="B79" s="353" t="s">
        <v>1266</v>
      </c>
      <c r="C79" s="277"/>
      <c r="D79" s="287"/>
      <c r="E79" s="278" t="s">
        <v>488</v>
      </c>
      <c r="F79" s="279" t="s">
        <v>837</v>
      </c>
      <c r="G79" s="277" t="s">
        <v>489</v>
      </c>
      <c r="H79" s="278" t="s">
        <v>1170</v>
      </c>
      <c r="I79" s="279" t="s">
        <v>838</v>
      </c>
      <c r="J79" s="280" t="s">
        <v>1171</v>
      </c>
      <c r="K79" s="280" t="s">
        <v>490</v>
      </c>
      <c r="L79" s="281" t="s">
        <v>489</v>
      </c>
      <c r="M79" s="280" t="s">
        <v>1172</v>
      </c>
      <c r="N79" s="354" t="s">
        <v>838</v>
      </c>
      <c r="O79" s="280" t="s">
        <v>1171</v>
      </c>
      <c r="P79" s="280" t="s">
        <v>826</v>
      </c>
      <c r="Q79" s="282" t="s">
        <v>1173</v>
      </c>
      <c r="R79" s="280" t="s">
        <v>1174</v>
      </c>
      <c r="S79" s="280" t="s">
        <v>839</v>
      </c>
      <c r="T79" s="280" t="s">
        <v>1171</v>
      </c>
      <c r="U79" s="280" t="s">
        <v>1392</v>
      </c>
      <c r="V79" s="282" t="s">
        <v>1173</v>
      </c>
      <c r="W79" s="280" t="s">
        <v>841</v>
      </c>
      <c r="X79" s="280" t="s">
        <v>1394</v>
      </c>
      <c r="Y79" s="280" t="s">
        <v>839</v>
      </c>
      <c r="Z79" s="283"/>
      <c r="AA79" s="284"/>
      <c r="AB79" s="284"/>
      <c r="AC79" s="284"/>
      <c r="AD79" s="263"/>
      <c r="AQ79" s="355"/>
      <c r="AR79" s="355"/>
      <c r="AS79" s="355"/>
    </row>
    <row r="80" spans="1:53" s="270" customFormat="1" ht="12" customHeight="1" x14ac:dyDescent="0.25">
      <c r="A80" s="1013"/>
      <c r="B80" s="285" t="s">
        <v>1175</v>
      </c>
      <c r="C80" s="277">
        <f>C87</f>
        <v>58.479816213817912</v>
      </c>
      <c r="D80" s="336">
        <f>C80*$D$5</f>
        <v>11.812922875191219</v>
      </c>
      <c r="E80" s="286" t="s">
        <v>1176</v>
      </c>
      <c r="F80" s="356"/>
      <c r="G80" s="288"/>
      <c r="H80" s="288"/>
      <c r="I80" s="289">
        <f>SUM(I81:I88)</f>
        <v>11.055</v>
      </c>
      <c r="J80" s="290" t="s">
        <v>1176</v>
      </c>
      <c r="K80" s="357"/>
      <c r="L80" s="291"/>
      <c r="M80" s="291"/>
      <c r="N80" s="433">
        <f>SUM(N81:N88)</f>
        <v>0.18040094704276477</v>
      </c>
      <c r="O80" s="291" t="s">
        <v>1176</v>
      </c>
      <c r="P80" s="291"/>
      <c r="Q80" s="372"/>
      <c r="R80" s="294"/>
      <c r="S80" s="433">
        <f>SUM(S81:S88)</f>
        <v>0.229428533156318</v>
      </c>
      <c r="T80" s="291" t="s">
        <v>1176</v>
      </c>
      <c r="U80" s="307"/>
      <c r="V80" s="308"/>
      <c r="W80" s="306"/>
      <c r="X80" s="292"/>
      <c r="Y80" s="433">
        <f>SUM(Y81:Y88)</f>
        <v>9.5676221164548636</v>
      </c>
      <c r="Z80" s="296">
        <f>(C80+D80+I80+N80+Y80+S80)*$Z$5</f>
        <v>118.73988897163568</v>
      </c>
      <c r="AA80" s="297">
        <f>C80+D80+I80+N80+S80+Y80+Z80</f>
        <v>210.06507965729878</v>
      </c>
      <c r="AB80" s="298">
        <v>0.25</v>
      </c>
      <c r="AC80" s="358">
        <f>AA80*(1+AB80)</f>
        <v>262.58134957162349</v>
      </c>
      <c r="AD80" s="265"/>
      <c r="AE80" s="261"/>
      <c r="AF80" s="262"/>
      <c r="AG80" s="263"/>
      <c r="AH80" s="263"/>
      <c r="AI80" s="355"/>
      <c r="AJ80" s="359"/>
      <c r="AK80" s="360"/>
      <c r="AL80" s="264"/>
      <c r="AM80" s="361"/>
      <c r="AN80" s="143"/>
      <c r="AO80" s="362"/>
      <c r="AP80" s="363"/>
      <c r="AQ80" s="363"/>
      <c r="AR80" s="363"/>
      <c r="AS80" s="363"/>
      <c r="AT80" s="363"/>
      <c r="AU80" s="362"/>
      <c r="AV80" s="362"/>
      <c r="AW80" s="364"/>
      <c r="AX80" s="272"/>
      <c r="AY80" s="272"/>
      <c r="AZ80" s="272"/>
      <c r="BA80" s="272"/>
    </row>
    <row r="81" spans="1:53" s="371" customFormat="1" ht="12.75" customHeight="1" x14ac:dyDescent="0.25">
      <c r="A81" s="1013"/>
      <c r="B81" s="299" t="s">
        <v>830</v>
      </c>
      <c r="C81" s="277"/>
      <c r="D81" s="336"/>
      <c r="E81" s="300" t="s">
        <v>2186</v>
      </c>
      <c r="F81" s="301" t="s">
        <v>1441</v>
      </c>
      <c r="G81" s="302">
        <v>5.36</v>
      </c>
      <c r="H81" s="301">
        <v>1</v>
      </c>
      <c r="I81" s="303">
        <f>G81*H81</f>
        <v>5.36</v>
      </c>
      <c r="J81" s="290" t="s">
        <v>1291</v>
      </c>
      <c r="K81" s="304">
        <v>2</v>
      </c>
      <c r="L81" s="305">
        <v>750</v>
      </c>
      <c r="M81" s="304">
        <v>2</v>
      </c>
      <c r="N81" s="433">
        <f>L81/'Исп. коэффициенты'!E52*(C85+C86)</f>
        <v>0.15551805779548689</v>
      </c>
      <c r="O81" s="291" t="s">
        <v>1667</v>
      </c>
      <c r="P81" s="291">
        <v>4500</v>
      </c>
      <c r="Q81" s="291">
        <v>19.670000000000002</v>
      </c>
      <c r="R81" s="291">
        <v>885.15</v>
      </c>
      <c r="S81" s="433">
        <f>R81/'Исп. коэффициенты'!E52*C85</f>
        <v>9.1771205905116796E-2</v>
      </c>
      <c r="T81" s="306" t="s">
        <v>1435</v>
      </c>
      <c r="U81" s="307">
        <v>6785401.3499999996</v>
      </c>
      <c r="V81" s="308">
        <v>1.3599999999999999E-2</v>
      </c>
      <c r="W81" s="306">
        <f>'Исп. коэффициенты'!E124</f>
        <v>2978.5</v>
      </c>
      <c r="X81" s="433">
        <f>U81*V81</f>
        <v>92281.45835999999</v>
      </c>
      <c r="Y81" s="295">
        <f>X81/'Исп. коэффициенты'!E52*C85</f>
        <v>9.5676221164548636</v>
      </c>
      <c r="Z81" s="291"/>
      <c r="AA81" s="284"/>
      <c r="AB81" s="284"/>
      <c r="AC81" s="377"/>
      <c r="AD81" s="263"/>
      <c r="AE81" s="261"/>
      <c r="AF81" s="365"/>
      <c r="AG81" s="366"/>
      <c r="AH81" s="366"/>
      <c r="AI81" s="366"/>
      <c r="AJ81" s="367"/>
      <c r="AK81" s="366"/>
      <c r="AL81" s="368"/>
      <c r="AM81" s="366"/>
      <c r="AN81" s="366"/>
      <c r="AO81" s="369"/>
      <c r="AP81" s="366"/>
      <c r="AQ81" s="366"/>
      <c r="AR81" s="369"/>
      <c r="AS81" s="369"/>
      <c r="AT81" s="370"/>
      <c r="AU81" s="366"/>
      <c r="AV81" s="369"/>
      <c r="AW81" s="366"/>
      <c r="AX81" s="366"/>
      <c r="AY81" s="366"/>
      <c r="AZ81" s="366"/>
      <c r="BA81" s="366"/>
    </row>
    <row r="82" spans="1:53" s="371" customFormat="1" x14ac:dyDescent="0.25">
      <c r="A82" s="1013"/>
      <c r="B82" s="309" t="s">
        <v>1178</v>
      </c>
      <c r="C82" s="310">
        <f>C71</f>
        <v>33.667709452234185</v>
      </c>
      <c r="D82" s="336"/>
      <c r="E82" s="300" t="s">
        <v>2187</v>
      </c>
      <c r="F82" s="301" t="s">
        <v>1</v>
      </c>
      <c r="G82" s="302">
        <v>6.3E-2</v>
      </c>
      <c r="H82" s="301">
        <v>5</v>
      </c>
      <c r="I82" s="303">
        <f>G82*H82</f>
        <v>0.315</v>
      </c>
      <c r="J82" s="290" t="s">
        <v>1445</v>
      </c>
      <c r="K82" s="292">
        <v>2</v>
      </c>
      <c r="L82" s="311">
        <v>95</v>
      </c>
      <c r="M82" s="304">
        <v>2</v>
      </c>
      <c r="N82" s="433">
        <f>L82/'Исп. коэффициенты'!E52*(C85+C86)</f>
        <v>1.9698953987428339E-2</v>
      </c>
      <c r="O82" s="291" t="s">
        <v>1668</v>
      </c>
      <c r="P82" s="291">
        <v>6750</v>
      </c>
      <c r="Q82" s="291">
        <v>19.670000000000002</v>
      </c>
      <c r="R82" s="291">
        <v>1327.73</v>
      </c>
      <c r="S82" s="433">
        <f>R82/'Исп. коэффициенты'!E52*C85</f>
        <v>0.13765732725120119</v>
      </c>
      <c r="T82" s="291"/>
      <c r="U82" s="291"/>
      <c r="V82" s="291"/>
      <c r="W82" s="372"/>
      <c r="X82" s="291"/>
      <c r="Y82" s="291"/>
      <c r="Z82" s="291"/>
      <c r="AA82" s="284"/>
      <c r="AB82" s="284"/>
      <c r="AC82" s="377"/>
      <c r="AD82" s="263"/>
      <c r="AE82" s="261"/>
      <c r="AF82" s="365"/>
      <c r="AG82" s="366"/>
      <c r="AH82" s="366"/>
      <c r="AI82" s="366"/>
      <c r="AJ82" s="367"/>
      <c r="AK82" s="366"/>
      <c r="AL82" s="368"/>
      <c r="AM82" s="373"/>
      <c r="AN82" s="366"/>
      <c r="AO82" s="369"/>
      <c r="AP82" s="366"/>
      <c r="AQ82" s="366"/>
      <c r="AR82" s="369"/>
      <c r="AS82" s="369"/>
      <c r="AT82" s="366"/>
      <c r="AU82" s="366"/>
      <c r="AV82" s="369"/>
      <c r="AW82" s="366"/>
      <c r="AX82" s="366"/>
      <c r="AY82" s="366"/>
      <c r="AZ82" s="366"/>
      <c r="BA82" s="366"/>
    </row>
    <row r="83" spans="1:53" s="371" customFormat="1" ht="12.75" customHeight="1" x14ac:dyDescent="0.25">
      <c r="A83" s="1013"/>
      <c r="B83" s="286" t="s">
        <v>1179</v>
      </c>
      <c r="C83" s="277">
        <f>C72</f>
        <v>19.495759833054819</v>
      </c>
      <c r="D83" s="336"/>
      <c r="E83" s="300" t="s">
        <v>2112</v>
      </c>
      <c r="F83" s="301" t="s">
        <v>1</v>
      </c>
      <c r="G83" s="302">
        <v>0.47</v>
      </c>
      <c r="H83" s="302">
        <v>10</v>
      </c>
      <c r="I83" s="303">
        <f>G83*H83</f>
        <v>4.6999999999999993</v>
      </c>
      <c r="J83" s="290" t="s">
        <v>1513</v>
      </c>
      <c r="K83" s="292">
        <v>2</v>
      </c>
      <c r="L83" s="292">
        <v>25</v>
      </c>
      <c r="M83" s="304">
        <v>0.5</v>
      </c>
      <c r="N83" s="433">
        <f>L83/'Исп. коэффициенты'!E52*(C85+C86)</f>
        <v>5.1839352598495626E-3</v>
      </c>
      <c r="O83" s="291"/>
      <c r="P83" s="291"/>
      <c r="Q83" s="372"/>
      <c r="R83" s="291"/>
      <c r="S83" s="291"/>
      <c r="T83" s="291"/>
      <c r="U83" s="291"/>
      <c r="V83" s="291"/>
      <c r="W83" s="372"/>
      <c r="X83" s="291"/>
      <c r="Y83" s="291"/>
      <c r="Z83" s="291"/>
      <c r="AA83" s="284"/>
      <c r="AB83" s="284"/>
      <c r="AC83" s="377"/>
      <c r="AD83" s="263"/>
      <c r="AE83" s="261"/>
      <c r="AF83" s="365"/>
      <c r="AG83" s="366"/>
      <c r="AH83" s="366"/>
      <c r="AI83" s="366"/>
      <c r="AJ83" s="367"/>
      <c r="AK83" s="366"/>
      <c r="AL83" s="368"/>
      <c r="AM83" s="366"/>
      <c r="AN83" s="366"/>
      <c r="AO83" s="369"/>
      <c r="AP83" s="366"/>
      <c r="AQ83" s="366"/>
      <c r="AR83" s="369"/>
      <c r="AS83" s="369"/>
      <c r="AT83" s="366"/>
      <c r="AU83" s="366"/>
      <c r="AV83" s="369"/>
      <c r="AW83" s="366"/>
      <c r="AX83" s="366"/>
      <c r="AY83" s="366"/>
      <c r="AZ83" s="366"/>
      <c r="BA83" s="366"/>
    </row>
    <row r="84" spans="1:53" s="371" customFormat="1" ht="12.75" customHeight="1" x14ac:dyDescent="0.25">
      <c r="A84" s="1013"/>
      <c r="B84" s="286" t="s">
        <v>831</v>
      </c>
      <c r="C84" s="313"/>
      <c r="D84" s="336"/>
      <c r="E84" s="300" t="s">
        <v>9</v>
      </c>
      <c r="F84" s="376" t="s">
        <v>1441</v>
      </c>
      <c r="G84" s="302">
        <v>0.68</v>
      </c>
      <c r="H84" s="301">
        <v>1</v>
      </c>
      <c r="I84" s="303">
        <f t="shared" ref="I84" si="7">G84*H84</f>
        <v>0.68</v>
      </c>
      <c r="J84" s="290"/>
      <c r="K84" s="374"/>
      <c r="L84" s="292"/>
      <c r="M84" s="292"/>
      <c r="N84" s="292"/>
      <c r="O84" s="291"/>
      <c r="P84" s="291"/>
      <c r="Q84" s="372"/>
      <c r="R84" s="291"/>
      <c r="S84" s="291"/>
      <c r="T84" s="291"/>
      <c r="U84" s="291"/>
      <c r="V84" s="291"/>
      <c r="W84" s="372"/>
      <c r="X84" s="291"/>
      <c r="Y84" s="291"/>
      <c r="Z84" s="291"/>
      <c r="AA84" s="284"/>
      <c r="AB84" s="284"/>
      <c r="AC84" s="377"/>
      <c r="AD84" s="263"/>
      <c r="AE84" s="261"/>
      <c r="AF84" s="365"/>
      <c r="AG84" s="366"/>
      <c r="AH84" s="366"/>
      <c r="AI84" s="366"/>
      <c r="AJ84" s="367"/>
      <c r="AK84" s="366"/>
      <c r="AL84" s="368"/>
      <c r="AM84" s="366"/>
      <c r="AN84" s="366"/>
      <c r="AO84" s="369"/>
      <c r="AP84" s="366"/>
      <c r="AQ84" s="366"/>
      <c r="AR84" s="369"/>
      <c r="AS84" s="369"/>
      <c r="AT84" s="366"/>
      <c r="AU84" s="366"/>
      <c r="AV84" s="369"/>
      <c r="AW84" s="366"/>
      <c r="AX84" s="366"/>
      <c r="AY84" s="366"/>
      <c r="AZ84" s="366"/>
      <c r="BA84" s="366"/>
    </row>
    <row r="85" spans="1:53" s="371" customFormat="1" ht="12.75" customHeight="1" x14ac:dyDescent="0.25">
      <c r="A85" s="1013"/>
      <c r="B85" s="309" t="s">
        <v>1178</v>
      </c>
      <c r="C85" s="314">
        <v>1.1000000000000001</v>
      </c>
      <c r="D85" s="336"/>
      <c r="E85" s="300"/>
      <c r="F85" s="301"/>
      <c r="G85" s="302"/>
      <c r="H85" s="301"/>
      <c r="I85" s="303"/>
      <c r="J85" s="290"/>
      <c r="K85" s="374"/>
      <c r="L85" s="292"/>
      <c r="M85" s="292"/>
      <c r="N85" s="292"/>
      <c r="O85" s="291"/>
      <c r="P85" s="291"/>
      <c r="Q85" s="372"/>
      <c r="R85" s="291"/>
      <c r="S85" s="291"/>
      <c r="T85" s="291"/>
      <c r="U85" s="291"/>
      <c r="V85" s="291"/>
      <c r="W85" s="372"/>
      <c r="X85" s="291"/>
      <c r="Y85" s="291"/>
      <c r="Z85" s="291"/>
      <c r="AA85" s="284"/>
      <c r="AB85" s="284"/>
      <c r="AC85" s="377"/>
      <c r="AD85" s="263"/>
      <c r="AE85" s="261"/>
      <c r="AF85" s="365"/>
      <c r="AG85" s="366"/>
      <c r="AH85" s="366"/>
      <c r="AI85" s="366"/>
      <c r="AJ85" s="375"/>
      <c r="AK85" s="366"/>
      <c r="AL85" s="368"/>
      <c r="AM85" s="366"/>
      <c r="AN85" s="366"/>
      <c r="AO85" s="369"/>
      <c r="AP85" s="366"/>
      <c r="AQ85" s="366"/>
      <c r="AR85" s="369"/>
      <c r="AS85" s="369"/>
      <c r="AT85" s="366"/>
      <c r="AU85" s="366"/>
      <c r="AV85" s="369"/>
      <c r="AW85" s="366"/>
      <c r="AX85" s="366"/>
      <c r="AY85" s="366"/>
      <c r="AZ85" s="366"/>
      <c r="BA85" s="366"/>
    </row>
    <row r="86" spans="1:53" s="371" customFormat="1" ht="12.75" customHeight="1" x14ac:dyDescent="0.25">
      <c r="A86" s="1013"/>
      <c r="B86" s="286" t="s">
        <v>1179</v>
      </c>
      <c r="C86" s="314">
        <v>1.1000000000000001</v>
      </c>
      <c r="D86" s="336"/>
      <c r="E86" s="300"/>
      <c r="F86" s="376"/>
      <c r="G86" s="302"/>
      <c r="H86" s="301"/>
      <c r="I86" s="303"/>
      <c r="J86" s="290"/>
      <c r="K86" s="374"/>
      <c r="L86" s="292"/>
      <c r="M86" s="292"/>
      <c r="N86" s="292"/>
      <c r="O86" s="291"/>
      <c r="P86" s="291"/>
      <c r="Q86" s="372"/>
      <c r="R86" s="291"/>
      <c r="S86" s="291"/>
      <c r="T86" s="291"/>
      <c r="U86" s="291"/>
      <c r="V86" s="291"/>
      <c r="W86" s="372"/>
      <c r="X86" s="291"/>
      <c r="Y86" s="291"/>
      <c r="Z86" s="291"/>
      <c r="AA86" s="284"/>
      <c r="AB86" s="284"/>
      <c r="AC86" s="377"/>
      <c r="AD86" s="263"/>
      <c r="AE86" s="261"/>
      <c r="AF86" s="365"/>
      <c r="AG86" s="366"/>
      <c r="AH86" s="366"/>
      <c r="AI86" s="366"/>
      <c r="AJ86" s="375"/>
      <c r="AK86" s="366"/>
      <c r="AL86" s="368"/>
      <c r="AM86" s="366"/>
      <c r="AN86" s="366"/>
      <c r="AO86" s="369"/>
      <c r="AP86" s="366"/>
      <c r="AQ86" s="366"/>
      <c r="AR86" s="369"/>
      <c r="AS86" s="369"/>
      <c r="AT86" s="366"/>
      <c r="AU86" s="366"/>
      <c r="AV86" s="369"/>
      <c r="AW86" s="366"/>
      <c r="AX86" s="366"/>
      <c r="AY86" s="366"/>
      <c r="AZ86" s="366"/>
      <c r="BA86" s="366"/>
    </row>
    <row r="87" spans="1:53" s="371" customFormat="1" ht="12.75" customHeight="1" x14ac:dyDescent="0.25">
      <c r="A87" s="1013"/>
      <c r="B87" s="315" t="s">
        <v>1181</v>
      </c>
      <c r="C87" s="277">
        <f>C82*C85+C83*C86</f>
        <v>58.479816213817912</v>
      </c>
      <c r="D87" s="336"/>
      <c r="E87" s="300"/>
      <c r="F87" s="376"/>
      <c r="G87" s="302"/>
      <c r="H87" s="301"/>
      <c r="I87" s="303"/>
      <c r="J87" s="290"/>
      <c r="K87" s="374"/>
      <c r="L87" s="292"/>
      <c r="M87" s="292"/>
      <c r="N87" s="292"/>
      <c r="O87" s="291"/>
      <c r="P87" s="291"/>
      <c r="Q87" s="372"/>
      <c r="R87" s="291"/>
      <c r="S87" s="291"/>
      <c r="T87" s="291"/>
      <c r="U87" s="291"/>
      <c r="V87" s="291"/>
      <c r="W87" s="372"/>
      <c r="X87" s="291"/>
      <c r="Y87" s="291"/>
      <c r="Z87" s="291"/>
      <c r="AA87" s="284"/>
      <c r="AB87" s="284"/>
      <c r="AC87" s="377"/>
      <c r="AD87" s="263"/>
      <c r="AE87" s="261"/>
      <c r="AF87" s="365"/>
      <c r="AG87" s="366"/>
      <c r="AH87" s="366"/>
      <c r="AI87" s="366"/>
      <c r="AJ87" s="367"/>
      <c r="AK87" s="366"/>
      <c r="AL87" s="368"/>
      <c r="AM87" s="366"/>
      <c r="AN87" s="366"/>
      <c r="AO87" s="369"/>
      <c r="AP87" s="366"/>
      <c r="AQ87" s="366"/>
      <c r="AR87" s="369"/>
      <c r="AS87" s="369"/>
      <c r="AT87" s="366"/>
      <c r="AU87" s="366"/>
      <c r="AV87" s="369"/>
      <c r="AW87" s="366"/>
      <c r="AX87" s="366"/>
      <c r="AY87" s="366"/>
      <c r="AZ87" s="366"/>
      <c r="BA87" s="366"/>
    </row>
    <row r="88" spans="1:53" s="371" customFormat="1" ht="12.75" customHeight="1" x14ac:dyDescent="0.25">
      <c r="A88" s="1014"/>
      <c r="B88" s="315"/>
      <c r="C88" s="314"/>
      <c r="D88" s="337"/>
      <c r="E88" s="300"/>
      <c r="F88" s="376"/>
      <c r="G88" s="302"/>
      <c r="H88" s="301"/>
      <c r="I88" s="303"/>
      <c r="J88" s="290"/>
      <c r="K88" s="374"/>
      <c r="L88" s="292"/>
      <c r="M88" s="292"/>
      <c r="N88" s="292"/>
      <c r="O88" s="291"/>
      <c r="P88" s="291"/>
      <c r="Q88" s="372"/>
      <c r="R88" s="291"/>
      <c r="S88" s="291"/>
      <c r="T88" s="291"/>
      <c r="U88" s="291"/>
      <c r="V88" s="291"/>
      <c r="W88" s="372"/>
      <c r="X88" s="291"/>
      <c r="Y88" s="291"/>
      <c r="Z88" s="291"/>
      <c r="AA88" s="284"/>
      <c r="AB88" s="284"/>
      <c r="AC88" s="377"/>
      <c r="AD88" s="263"/>
      <c r="AE88" s="261"/>
      <c r="AF88" s="365"/>
      <c r="AG88" s="366"/>
      <c r="AH88" s="366"/>
      <c r="AI88" s="366"/>
      <c r="AJ88" s="375"/>
      <c r="AK88" s="366"/>
      <c r="AL88" s="368"/>
      <c r="AM88" s="366"/>
      <c r="AN88" s="366"/>
      <c r="AO88" s="369"/>
      <c r="AP88" s="366"/>
      <c r="AQ88" s="366"/>
      <c r="AR88" s="369"/>
      <c r="AS88" s="369"/>
      <c r="AT88" s="366"/>
      <c r="AU88" s="366"/>
      <c r="AV88" s="369"/>
      <c r="AW88" s="366"/>
      <c r="AX88" s="366"/>
      <c r="AY88" s="366"/>
      <c r="AZ88" s="366"/>
      <c r="BA88" s="366"/>
    </row>
    <row r="89" spans="1:53" ht="56.25" customHeight="1" x14ac:dyDescent="0.25">
      <c r="A89" s="1012" t="s">
        <v>233</v>
      </c>
      <c r="B89" s="353" t="s">
        <v>1264</v>
      </c>
      <c r="C89" s="277"/>
      <c r="D89" s="287"/>
      <c r="E89" s="278" t="s">
        <v>488</v>
      </c>
      <c r="F89" s="279" t="s">
        <v>837</v>
      </c>
      <c r="G89" s="277" t="s">
        <v>489</v>
      </c>
      <c r="H89" s="278" t="s">
        <v>1170</v>
      </c>
      <c r="I89" s="279" t="s">
        <v>838</v>
      </c>
      <c r="J89" s="280" t="s">
        <v>1171</v>
      </c>
      <c r="K89" s="280" t="s">
        <v>490</v>
      </c>
      <c r="L89" s="281" t="s">
        <v>489</v>
      </c>
      <c r="M89" s="280" t="s">
        <v>1172</v>
      </c>
      <c r="N89" s="354" t="s">
        <v>838</v>
      </c>
      <c r="O89" s="280" t="s">
        <v>1171</v>
      </c>
      <c r="P89" s="280" t="s">
        <v>826</v>
      </c>
      <c r="Q89" s="282" t="s">
        <v>1173</v>
      </c>
      <c r="R89" s="280" t="s">
        <v>1174</v>
      </c>
      <c r="S89" s="280" t="s">
        <v>839</v>
      </c>
      <c r="T89" s="280" t="s">
        <v>1171</v>
      </c>
      <c r="U89" s="280" t="s">
        <v>1392</v>
      </c>
      <c r="V89" s="282" t="s">
        <v>1173</v>
      </c>
      <c r="W89" s="280" t="s">
        <v>841</v>
      </c>
      <c r="X89" s="280" t="s">
        <v>1394</v>
      </c>
      <c r="Y89" s="280" t="s">
        <v>839</v>
      </c>
      <c r="Z89" s="283"/>
      <c r="AA89" s="284"/>
      <c r="AB89" s="284"/>
      <c r="AC89" s="377"/>
      <c r="AD89" s="263"/>
      <c r="AQ89" s="355"/>
      <c r="AR89" s="355"/>
      <c r="AS89" s="355"/>
    </row>
    <row r="90" spans="1:53" s="270" customFormat="1" ht="12" customHeight="1" x14ac:dyDescent="0.25">
      <c r="A90" s="1013"/>
      <c r="B90" s="285" t="s">
        <v>1175</v>
      </c>
      <c r="C90" s="277">
        <f>C97</f>
        <v>58.479816213817912</v>
      </c>
      <c r="D90" s="336">
        <f>C90*$D$5</f>
        <v>11.812922875191219</v>
      </c>
      <c r="E90" s="286" t="s">
        <v>1176</v>
      </c>
      <c r="F90" s="356"/>
      <c r="G90" s="288"/>
      <c r="H90" s="288"/>
      <c r="I90" s="289">
        <f>SUM(I91:I98)</f>
        <v>11.055</v>
      </c>
      <c r="J90" s="290" t="s">
        <v>1176</v>
      </c>
      <c r="K90" s="357"/>
      <c r="L90" s="291"/>
      <c r="M90" s="291"/>
      <c r="N90" s="433">
        <f>SUM(N91:N98)</f>
        <v>0.18040094704276477</v>
      </c>
      <c r="O90" s="291" t="s">
        <v>1176</v>
      </c>
      <c r="P90" s="291"/>
      <c r="Q90" s="372"/>
      <c r="R90" s="294"/>
      <c r="S90" s="433">
        <f>SUM(S91:S98)</f>
        <v>0.229428533156318</v>
      </c>
      <c r="T90" s="291" t="s">
        <v>1176</v>
      </c>
      <c r="U90" s="307"/>
      <c r="V90" s="308"/>
      <c r="W90" s="306"/>
      <c r="X90" s="292"/>
      <c r="Y90" s="433">
        <f>SUM(Y91:Y98)</f>
        <v>9.5676221164548636</v>
      </c>
      <c r="Z90" s="296">
        <f>(C90+D90+I90+N90+Y90+S90)*$Z$5</f>
        <v>118.73988897163568</v>
      </c>
      <c r="AA90" s="297">
        <f>C90+D90+I90+N90+S90+Y90+Z90</f>
        <v>210.06507965729878</v>
      </c>
      <c r="AB90" s="298">
        <v>0.25</v>
      </c>
      <c r="AC90" s="358">
        <f>AA90*(1+AB90)</f>
        <v>262.58134957162349</v>
      </c>
      <c r="AD90" s="265"/>
      <c r="AE90" s="261"/>
      <c r="AF90" s="262"/>
      <c r="AG90" s="263"/>
      <c r="AH90" s="263"/>
      <c r="AI90" s="355"/>
      <c r="AJ90" s="359"/>
      <c r="AK90" s="360"/>
      <c r="AL90" s="264"/>
      <c r="AM90" s="361"/>
      <c r="AN90" s="143"/>
      <c r="AO90" s="362"/>
      <c r="AP90" s="363"/>
      <c r="AQ90" s="363"/>
      <c r="AR90" s="363"/>
      <c r="AS90" s="363"/>
      <c r="AT90" s="363"/>
      <c r="AU90" s="362"/>
      <c r="AV90" s="362"/>
      <c r="AW90" s="364"/>
      <c r="AX90" s="272"/>
      <c r="AY90" s="272"/>
      <c r="AZ90" s="272"/>
      <c r="BA90" s="272"/>
    </row>
    <row r="91" spans="1:53" s="371" customFormat="1" ht="12.75" customHeight="1" x14ac:dyDescent="0.25">
      <c r="A91" s="1013"/>
      <c r="B91" s="299" t="s">
        <v>830</v>
      </c>
      <c r="C91" s="277"/>
      <c r="D91" s="336"/>
      <c r="E91" s="300" t="s">
        <v>2186</v>
      </c>
      <c r="F91" s="301" t="s">
        <v>1441</v>
      </c>
      <c r="G91" s="302">
        <v>5.36</v>
      </c>
      <c r="H91" s="301">
        <v>1</v>
      </c>
      <c r="I91" s="303">
        <f>G91*H91</f>
        <v>5.36</v>
      </c>
      <c r="J91" s="290" t="s">
        <v>1291</v>
      </c>
      <c r="K91" s="304">
        <v>2</v>
      </c>
      <c r="L91" s="305">
        <v>750</v>
      </c>
      <c r="M91" s="304">
        <v>2</v>
      </c>
      <c r="N91" s="433">
        <f>L91/'Исп. коэффициенты'!E52*(C95+C96)</f>
        <v>0.15551805779548689</v>
      </c>
      <c r="O91" s="291" t="s">
        <v>1667</v>
      </c>
      <c r="P91" s="291">
        <v>4500</v>
      </c>
      <c r="Q91" s="291">
        <v>19.670000000000002</v>
      </c>
      <c r="R91" s="291">
        <v>885.15</v>
      </c>
      <c r="S91" s="433">
        <f>R91/'Исп. коэффициенты'!E52*C95</f>
        <v>9.1771205905116796E-2</v>
      </c>
      <c r="T91" s="306" t="s">
        <v>1435</v>
      </c>
      <c r="U91" s="307">
        <v>6785401.3499999996</v>
      </c>
      <c r="V91" s="308">
        <v>1.3599999999999999E-2</v>
      </c>
      <c r="W91" s="306">
        <f>'Исп. коэффициенты'!E124</f>
        <v>2978.5</v>
      </c>
      <c r="X91" s="433">
        <f>U91*V91</f>
        <v>92281.45835999999</v>
      </c>
      <c r="Y91" s="295">
        <f>X91/'Исп. коэффициенты'!E52*C95</f>
        <v>9.5676221164548636</v>
      </c>
      <c r="Z91" s="291"/>
      <c r="AA91" s="284"/>
      <c r="AB91" s="284"/>
      <c r="AC91" s="377"/>
      <c r="AD91" s="263"/>
      <c r="AE91" s="261"/>
      <c r="AF91" s="365"/>
      <c r="AG91" s="366"/>
      <c r="AH91" s="366"/>
      <c r="AI91" s="366"/>
      <c r="AJ91" s="367"/>
      <c r="AK91" s="366"/>
      <c r="AL91" s="368"/>
      <c r="AM91" s="366"/>
      <c r="AN91" s="366"/>
      <c r="AO91" s="369"/>
      <c r="AP91" s="366"/>
      <c r="AQ91" s="366"/>
      <c r="AR91" s="369"/>
      <c r="AS91" s="369"/>
      <c r="AT91" s="370"/>
      <c r="AU91" s="366"/>
      <c r="AV91" s="369"/>
      <c r="AW91" s="366"/>
      <c r="AX91" s="366"/>
      <c r="AY91" s="366"/>
      <c r="AZ91" s="366"/>
      <c r="BA91" s="366"/>
    </row>
    <row r="92" spans="1:53" s="371" customFormat="1" x14ac:dyDescent="0.25">
      <c r="A92" s="1013"/>
      <c r="B92" s="309" t="s">
        <v>1178</v>
      </c>
      <c r="C92" s="310">
        <f>C82</f>
        <v>33.667709452234185</v>
      </c>
      <c r="D92" s="336"/>
      <c r="E92" s="300" t="s">
        <v>2187</v>
      </c>
      <c r="F92" s="301" t="s">
        <v>1</v>
      </c>
      <c r="G92" s="302">
        <v>6.3E-2</v>
      </c>
      <c r="H92" s="301">
        <v>5</v>
      </c>
      <c r="I92" s="303">
        <f>G92*H92</f>
        <v>0.315</v>
      </c>
      <c r="J92" s="290" t="s">
        <v>1445</v>
      </c>
      <c r="K92" s="292">
        <v>2</v>
      </c>
      <c r="L92" s="311">
        <v>95</v>
      </c>
      <c r="M92" s="304">
        <v>2</v>
      </c>
      <c r="N92" s="433">
        <f>L92/'Исп. коэффициенты'!E52*(C95+C96)</f>
        <v>1.9698953987428339E-2</v>
      </c>
      <c r="O92" s="291" t="s">
        <v>1668</v>
      </c>
      <c r="P92" s="291">
        <v>6750</v>
      </c>
      <c r="Q92" s="291">
        <v>19.670000000000002</v>
      </c>
      <c r="R92" s="291">
        <v>1327.73</v>
      </c>
      <c r="S92" s="433">
        <f>R92/'Исп. коэффициенты'!E52*C95</f>
        <v>0.13765732725120119</v>
      </c>
      <c r="T92" s="291"/>
      <c r="U92" s="291"/>
      <c r="V92" s="291"/>
      <c r="W92" s="372"/>
      <c r="X92" s="291"/>
      <c r="Y92" s="291"/>
      <c r="Z92" s="291"/>
      <c r="AA92" s="284"/>
      <c r="AB92" s="284"/>
      <c r="AC92" s="377"/>
      <c r="AD92" s="263"/>
      <c r="AE92" s="261"/>
      <c r="AF92" s="365"/>
      <c r="AG92" s="366"/>
      <c r="AH92" s="366"/>
      <c r="AI92" s="366"/>
      <c r="AJ92" s="367"/>
      <c r="AK92" s="366"/>
      <c r="AL92" s="368"/>
      <c r="AM92" s="373"/>
      <c r="AN92" s="366"/>
      <c r="AO92" s="369"/>
      <c r="AP92" s="366"/>
      <c r="AQ92" s="366"/>
      <c r="AR92" s="369"/>
      <c r="AS92" s="369"/>
      <c r="AT92" s="366"/>
      <c r="AU92" s="366"/>
      <c r="AV92" s="369"/>
      <c r="AW92" s="366"/>
      <c r="AX92" s="366"/>
      <c r="AY92" s="366"/>
      <c r="AZ92" s="366"/>
      <c r="BA92" s="366"/>
    </row>
    <row r="93" spans="1:53" s="371" customFormat="1" ht="12.75" customHeight="1" x14ac:dyDescent="0.25">
      <c r="A93" s="1013"/>
      <c r="B93" s="286" t="s">
        <v>1179</v>
      </c>
      <c r="C93" s="277">
        <f>C83</f>
        <v>19.495759833054819</v>
      </c>
      <c r="D93" s="336"/>
      <c r="E93" s="300" t="s">
        <v>2112</v>
      </c>
      <c r="F93" s="301" t="s">
        <v>1</v>
      </c>
      <c r="G93" s="302">
        <v>0.47</v>
      </c>
      <c r="H93" s="302">
        <v>10</v>
      </c>
      <c r="I93" s="303">
        <f>G93*H93</f>
        <v>4.6999999999999993</v>
      </c>
      <c r="J93" s="290" t="s">
        <v>1513</v>
      </c>
      <c r="K93" s="292">
        <v>2</v>
      </c>
      <c r="L93" s="292">
        <v>25</v>
      </c>
      <c r="M93" s="304">
        <v>0.5</v>
      </c>
      <c r="N93" s="433">
        <f>L93/'Исп. коэффициенты'!E52*(C95+C96)</f>
        <v>5.1839352598495626E-3</v>
      </c>
      <c r="O93" s="291"/>
      <c r="P93" s="291"/>
      <c r="Q93" s="372"/>
      <c r="R93" s="291"/>
      <c r="S93" s="291"/>
      <c r="T93" s="291"/>
      <c r="U93" s="291"/>
      <c r="V93" s="291"/>
      <c r="W93" s="372"/>
      <c r="X93" s="291"/>
      <c r="Y93" s="291"/>
      <c r="Z93" s="291"/>
      <c r="AA93" s="284"/>
      <c r="AB93" s="284"/>
      <c r="AC93" s="377"/>
      <c r="AD93" s="263"/>
      <c r="AE93" s="261"/>
      <c r="AF93" s="365"/>
      <c r="AG93" s="366"/>
      <c r="AH93" s="366"/>
      <c r="AI93" s="366"/>
      <c r="AJ93" s="367"/>
      <c r="AK93" s="366"/>
      <c r="AL93" s="368"/>
      <c r="AM93" s="366"/>
      <c r="AN93" s="366"/>
      <c r="AO93" s="369"/>
      <c r="AP93" s="366"/>
      <c r="AQ93" s="366"/>
      <c r="AR93" s="369"/>
      <c r="AS93" s="369"/>
      <c r="AT93" s="366"/>
      <c r="AU93" s="366"/>
      <c r="AV93" s="369"/>
      <c r="AW93" s="366"/>
      <c r="AX93" s="366"/>
      <c r="AY93" s="366"/>
      <c r="AZ93" s="366"/>
      <c r="BA93" s="366"/>
    </row>
    <row r="94" spans="1:53" s="371" customFormat="1" ht="12.75" customHeight="1" x14ac:dyDescent="0.25">
      <c r="A94" s="1013"/>
      <c r="B94" s="286" t="s">
        <v>831</v>
      </c>
      <c r="C94" s="313"/>
      <c r="D94" s="336"/>
      <c r="E94" s="300" t="s">
        <v>9</v>
      </c>
      <c r="F94" s="376" t="s">
        <v>1441</v>
      </c>
      <c r="G94" s="302">
        <v>0.68</v>
      </c>
      <c r="H94" s="301">
        <v>1</v>
      </c>
      <c r="I94" s="303">
        <f t="shared" ref="I94" si="8">G94*H94</f>
        <v>0.68</v>
      </c>
      <c r="J94" s="290"/>
      <c r="K94" s="374"/>
      <c r="L94" s="292"/>
      <c r="M94" s="292"/>
      <c r="N94" s="292"/>
      <c r="O94" s="291"/>
      <c r="P94" s="291"/>
      <c r="Q94" s="372"/>
      <c r="R94" s="291"/>
      <c r="S94" s="291"/>
      <c r="T94" s="291"/>
      <c r="U94" s="291"/>
      <c r="V94" s="291"/>
      <c r="W94" s="372"/>
      <c r="X94" s="291"/>
      <c r="Y94" s="291"/>
      <c r="Z94" s="291"/>
      <c r="AA94" s="284"/>
      <c r="AB94" s="284"/>
      <c r="AC94" s="377"/>
      <c r="AD94" s="263"/>
      <c r="AE94" s="261"/>
      <c r="AF94" s="365"/>
      <c r="AG94" s="366"/>
      <c r="AH94" s="366"/>
      <c r="AI94" s="366"/>
      <c r="AJ94" s="367"/>
      <c r="AK94" s="366"/>
      <c r="AL94" s="368"/>
      <c r="AM94" s="366"/>
      <c r="AN94" s="366"/>
      <c r="AO94" s="369"/>
      <c r="AP94" s="366"/>
      <c r="AQ94" s="366"/>
      <c r="AR94" s="369"/>
      <c r="AS94" s="369"/>
      <c r="AT94" s="366"/>
      <c r="AU94" s="366"/>
      <c r="AV94" s="369"/>
      <c r="AW94" s="366"/>
      <c r="AX94" s="366"/>
      <c r="AY94" s="366"/>
      <c r="AZ94" s="366"/>
      <c r="BA94" s="366"/>
    </row>
    <row r="95" spans="1:53" s="371" customFormat="1" ht="12.75" customHeight="1" x14ac:dyDescent="0.25">
      <c r="A95" s="1013"/>
      <c r="B95" s="309" t="s">
        <v>1178</v>
      </c>
      <c r="C95" s="314">
        <v>1.1000000000000001</v>
      </c>
      <c r="D95" s="336"/>
      <c r="E95" s="300"/>
      <c r="F95" s="301"/>
      <c r="G95" s="302"/>
      <c r="H95" s="301"/>
      <c r="I95" s="303"/>
      <c r="J95" s="290"/>
      <c r="K95" s="374"/>
      <c r="L95" s="292"/>
      <c r="M95" s="292"/>
      <c r="N95" s="292"/>
      <c r="O95" s="291"/>
      <c r="P95" s="291"/>
      <c r="Q95" s="372"/>
      <c r="R95" s="291"/>
      <c r="S95" s="291"/>
      <c r="T95" s="291"/>
      <c r="U95" s="291"/>
      <c r="V95" s="291"/>
      <c r="W95" s="372"/>
      <c r="X95" s="291"/>
      <c r="Y95" s="291"/>
      <c r="Z95" s="291"/>
      <c r="AA95" s="284"/>
      <c r="AB95" s="284"/>
      <c r="AC95" s="377"/>
      <c r="AD95" s="263"/>
      <c r="AE95" s="261"/>
      <c r="AF95" s="365"/>
      <c r="AG95" s="366"/>
      <c r="AH95" s="366"/>
      <c r="AI95" s="366"/>
      <c r="AJ95" s="375"/>
      <c r="AK95" s="366"/>
      <c r="AL95" s="368"/>
      <c r="AM95" s="366"/>
      <c r="AN95" s="366"/>
      <c r="AO95" s="369"/>
      <c r="AP95" s="366"/>
      <c r="AQ95" s="366"/>
      <c r="AR95" s="369"/>
      <c r="AS95" s="369"/>
      <c r="AT95" s="366"/>
      <c r="AU95" s="366"/>
      <c r="AV95" s="369"/>
      <c r="AW95" s="366"/>
      <c r="AX95" s="366"/>
      <c r="AY95" s="366"/>
      <c r="AZ95" s="366"/>
      <c r="BA95" s="366"/>
    </row>
    <row r="96" spans="1:53" s="371" customFormat="1" ht="12.75" customHeight="1" x14ac:dyDescent="0.25">
      <c r="A96" s="1013"/>
      <c r="B96" s="286" t="s">
        <v>1179</v>
      </c>
      <c r="C96" s="314">
        <v>1.1000000000000001</v>
      </c>
      <c r="D96" s="336"/>
      <c r="E96" s="300"/>
      <c r="F96" s="376"/>
      <c r="G96" s="302"/>
      <c r="H96" s="301"/>
      <c r="I96" s="303"/>
      <c r="J96" s="290"/>
      <c r="K96" s="374"/>
      <c r="L96" s="292"/>
      <c r="M96" s="292"/>
      <c r="N96" s="292"/>
      <c r="O96" s="291"/>
      <c r="P96" s="291"/>
      <c r="Q96" s="372"/>
      <c r="R96" s="291"/>
      <c r="S96" s="291"/>
      <c r="T96" s="291"/>
      <c r="U96" s="291"/>
      <c r="V96" s="291"/>
      <c r="W96" s="372"/>
      <c r="X96" s="291"/>
      <c r="Y96" s="291"/>
      <c r="Z96" s="291"/>
      <c r="AA96" s="284"/>
      <c r="AB96" s="284"/>
      <c r="AC96" s="377"/>
      <c r="AD96" s="263"/>
      <c r="AE96" s="261"/>
      <c r="AF96" s="365"/>
      <c r="AG96" s="366"/>
      <c r="AH96" s="366"/>
      <c r="AI96" s="366"/>
      <c r="AJ96" s="375"/>
      <c r="AK96" s="366"/>
      <c r="AL96" s="368"/>
      <c r="AM96" s="366"/>
      <c r="AN96" s="366"/>
      <c r="AO96" s="369"/>
      <c r="AP96" s="366"/>
      <c r="AQ96" s="366"/>
      <c r="AR96" s="369"/>
      <c r="AS96" s="369"/>
      <c r="AT96" s="366"/>
      <c r="AU96" s="366"/>
      <c r="AV96" s="369"/>
      <c r="AW96" s="366"/>
      <c r="AX96" s="366"/>
      <c r="AY96" s="366"/>
      <c r="AZ96" s="366"/>
      <c r="BA96" s="366"/>
    </row>
    <row r="97" spans="1:53" s="371" customFormat="1" ht="12.75" customHeight="1" x14ac:dyDescent="0.25">
      <c r="A97" s="1013"/>
      <c r="B97" s="315" t="s">
        <v>1181</v>
      </c>
      <c r="C97" s="277">
        <f>C92*C95+C93*C96</f>
        <v>58.479816213817912</v>
      </c>
      <c r="D97" s="336"/>
      <c r="E97" s="300"/>
      <c r="F97" s="376"/>
      <c r="G97" s="302"/>
      <c r="H97" s="301"/>
      <c r="I97" s="303"/>
      <c r="J97" s="290"/>
      <c r="K97" s="374"/>
      <c r="L97" s="292"/>
      <c r="M97" s="292"/>
      <c r="N97" s="292"/>
      <c r="O97" s="291"/>
      <c r="P97" s="291"/>
      <c r="Q97" s="372"/>
      <c r="R97" s="291"/>
      <c r="S97" s="291"/>
      <c r="T97" s="291"/>
      <c r="U97" s="291"/>
      <c r="V97" s="291"/>
      <c r="W97" s="372"/>
      <c r="X97" s="291"/>
      <c r="Y97" s="291"/>
      <c r="Z97" s="291"/>
      <c r="AA97" s="284"/>
      <c r="AB97" s="284"/>
      <c r="AC97" s="377"/>
      <c r="AD97" s="263"/>
      <c r="AE97" s="261"/>
      <c r="AF97" s="365"/>
      <c r="AG97" s="366"/>
      <c r="AH97" s="366"/>
      <c r="AI97" s="366"/>
      <c r="AJ97" s="367"/>
      <c r="AK97" s="366"/>
      <c r="AL97" s="368"/>
      <c r="AM97" s="366"/>
      <c r="AN97" s="366"/>
      <c r="AO97" s="369"/>
      <c r="AP97" s="366"/>
      <c r="AQ97" s="366"/>
      <c r="AR97" s="369"/>
      <c r="AS97" s="369"/>
      <c r="AT97" s="366"/>
      <c r="AU97" s="366"/>
      <c r="AV97" s="369"/>
      <c r="AW97" s="366"/>
      <c r="AX97" s="366"/>
      <c r="AY97" s="366"/>
      <c r="AZ97" s="366"/>
      <c r="BA97" s="366"/>
    </row>
    <row r="98" spans="1:53" s="371" customFormat="1" ht="12.75" customHeight="1" x14ac:dyDescent="0.25">
      <c r="A98" s="1014"/>
      <c r="B98" s="315"/>
      <c r="C98" s="314"/>
      <c r="D98" s="337"/>
      <c r="E98" s="300"/>
      <c r="F98" s="376"/>
      <c r="G98" s="302"/>
      <c r="H98" s="301"/>
      <c r="I98" s="303"/>
      <c r="J98" s="290"/>
      <c r="K98" s="374"/>
      <c r="L98" s="292"/>
      <c r="M98" s="292"/>
      <c r="N98" s="292"/>
      <c r="O98" s="291"/>
      <c r="P98" s="291"/>
      <c r="Q98" s="372"/>
      <c r="R98" s="291"/>
      <c r="S98" s="291"/>
      <c r="T98" s="291"/>
      <c r="U98" s="291"/>
      <c r="V98" s="291"/>
      <c r="W98" s="372"/>
      <c r="X98" s="291"/>
      <c r="Y98" s="291"/>
      <c r="Z98" s="291"/>
      <c r="AA98" s="284"/>
      <c r="AB98" s="284"/>
      <c r="AC98" s="377"/>
      <c r="AD98" s="263"/>
      <c r="AE98" s="261"/>
      <c r="AF98" s="365"/>
      <c r="AG98" s="366"/>
      <c r="AH98" s="366"/>
      <c r="AI98" s="366"/>
      <c r="AJ98" s="375"/>
      <c r="AK98" s="366"/>
      <c r="AL98" s="368"/>
      <c r="AM98" s="366"/>
      <c r="AN98" s="366"/>
      <c r="AO98" s="369"/>
      <c r="AP98" s="366"/>
      <c r="AQ98" s="366"/>
      <c r="AR98" s="369"/>
      <c r="AS98" s="369"/>
      <c r="AT98" s="366"/>
      <c r="AU98" s="366"/>
      <c r="AV98" s="369"/>
      <c r="AW98" s="366"/>
      <c r="AX98" s="366"/>
      <c r="AY98" s="366"/>
      <c r="AZ98" s="366"/>
      <c r="BA98" s="366"/>
    </row>
    <row r="99" spans="1:53" ht="56.25" customHeight="1" x14ac:dyDescent="0.25">
      <c r="A99" s="1012" t="s">
        <v>227</v>
      </c>
      <c r="B99" s="353" t="s">
        <v>1258</v>
      </c>
      <c r="C99" s="277"/>
      <c r="D99" s="287"/>
      <c r="E99" s="278" t="s">
        <v>488</v>
      </c>
      <c r="F99" s="279" t="s">
        <v>837</v>
      </c>
      <c r="G99" s="277" t="s">
        <v>489</v>
      </c>
      <c r="H99" s="278" t="s">
        <v>1170</v>
      </c>
      <c r="I99" s="279" t="s">
        <v>838</v>
      </c>
      <c r="J99" s="280" t="s">
        <v>1171</v>
      </c>
      <c r="K99" s="280" t="s">
        <v>490</v>
      </c>
      <c r="L99" s="281" t="s">
        <v>489</v>
      </c>
      <c r="M99" s="280" t="s">
        <v>1172</v>
      </c>
      <c r="N99" s="354" t="s">
        <v>838</v>
      </c>
      <c r="O99" s="280" t="s">
        <v>1171</v>
      </c>
      <c r="P99" s="280" t="s">
        <v>826</v>
      </c>
      <c r="Q99" s="282" t="s">
        <v>1173</v>
      </c>
      <c r="R99" s="280" t="s">
        <v>1174</v>
      </c>
      <c r="S99" s="280" t="s">
        <v>839</v>
      </c>
      <c r="T99" s="280" t="s">
        <v>1171</v>
      </c>
      <c r="U99" s="280" t="s">
        <v>1392</v>
      </c>
      <c r="V99" s="282" t="s">
        <v>1173</v>
      </c>
      <c r="W99" s="280" t="s">
        <v>841</v>
      </c>
      <c r="X99" s="280" t="s">
        <v>1394</v>
      </c>
      <c r="Y99" s="280" t="s">
        <v>839</v>
      </c>
      <c r="Z99" s="283"/>
      <c r="AA99" s="284"/>
      <c r="AB99" s="284"/>
      <c r="AC99" s="377"/>
      <c r="AD99" s="263"/>
      <c r="AQ99" s="355"/>
      <c r="AR99" s="355"/>
      <c r="AS99" s="355"/>
    </row>
    <row r="100" spans="1:53" s="270" customFormat="1" ht="12" customHeight="1" x14ac:dyDescent="0.25">
      <c r="A100" s="1013"/>
      <c r="B100" s="285" t="s">
        <v>1175</v>
      </c>
      <c r="C100" s="277">
        <f>C107</f>
        <v>53.163469285289004</v>
      </c>
      <c r="D100" s="336">
        <f>C100*$D$5</f>
        <v>10.739020795628379</v>
      </c>
      <c r="E100" s="286" t="s">
        <v>1176</v>
      </c>
      <c r="F100" s="356"/>
      <c r="G100" s="288"/>
      <c r="H100" s="288"/>
      <c r="I100" s="289">
        <f>SUM(I101:I108)</f>
        <v>11.055</v>
      </c>
      <c r="J100" s="290" t="s">
        <v>1176</v>
      </c>
      <c r="K100" s="357"/>
      <c r="L100" s="291"/>
      <c r="M100" s="291"/>
      <c r="N100" s="433">
        <f>SUM(N101:N108)</f>
        <v>0.16400086094796795</v>
      </c>
      <c r="O100" s="291" t="s">
        <v>1176</v>
      </c>
      <c r="P100" s="291"/>
      <c r="Q100" s="372"/>
      <c r="R100" s="294"/>
      <c r="S100" s="433">
        <f>SUM(S101:S108)</f>
        <v>0.20857139377847089</v>
      </c>
      <c r="T100" s="291" t="s">
        <v>1176</v>
      </c>
      <c r="U100" s="307"/>
      <c r="V100" s="308"/>
      <c r="W100" s="306"/>
      <c r="X100" s="292"/>
      <c r="Y100" s="433">
        <f>SUM(Y101:Y108)</f>
        <v>8.6978382876862383</v>
      </c>
      <c r="Z100" s="296">
        <f>(C100+D100+I100+N100+Y100+S100)*$Z$5</f>
        <v>109.25204224183659</v>
      </c>
      <c r="AA100" s="297">
        <f>C100+D100+I100+N100+S100+Y100+Z100</f>
        <v>193.27994286516665</v>
      </c>
      <c r="AB100" s="298">
        <v>0.25</v>
      </c>
      <c r="AC100" s="358">
        <f>AA100*(1+AB100)</f>
        <v>241.5999285814583</v>
      </c>
      <c r="AD100" s="265"/>
      <c r="AE100" s="261"/>
      <c r="AF100" s="262"/>
      <c r="AG100" s="263"/>
      <c r="AH100" s="263"/>
      <c r="AI100" s="355"/>
      <c r="AJ100" s="359"/>
      <c r="AK100" s="360"/>
      <c r="AL100" s="264"/>
      <c r="AM100" s="361"/>
      <c r="AN100" s="143"/>
      <c r="AO100" s="362"/>
      <c r="AP100" s="363"/>
      <c r="AQ100" s="363"/>
      <c r="AR100" s="363"/>
      <c r="AS100" s="363"/>
      <c r="AT100" s="363"/>
      <c r="AU100" s="362"/>
      <c r="AV100" s="362"/>
      <c r="AW100" s="364"/>
      <c r="AX100" s="272"/>
      <c r="AY100" s="272"/>
      <c r="AZ100" s="272"/>
      <c r="BA100" s="272"/>
    </row>
    <row r="101" spans="1:53" s="371" customFormat="1" ht="12.75" customHeight="1" x14ac:dyDescent="0.25">
      <c r="A101" s="1013"/>
      <c r="B101" s="299" t="s">
        <v>830</v>
      </c>
      <c r="C101" s="277"/>
      <c r="D101" s="336"/>
      <c r="E101" s="300" t="s">
        <v>2186</v>
      </c>
      <c r="F101" s="301" t="s">
        <v>1441</v>
      </c>
      <c r="G101" s="302">
        <v>5.36</v>
      </c>
      <c r="H101" s="301">
        <v>1</v>
      </c>
      <c r="I101" s="303">
        <f>G101*H101</f>
        <v>5.36</v>
      </c>
      <c r="J101" s="290" t="s">
        <v>1291</v>
      </c>
      <c r="K101" s="304">
        <v>2</v>
      </c>
      <c r="L101" s="305">
        <v>750</v>
      </c>
      <c r="M101" s="304">
        <v>2</v>
      </c>
      <c r="N101" s="433">
        <f>L101/'Исп. коэффициенты'!E52*(C105+C106)</f>
        <v>0.14138005254135169</v>
      </c>
      <c r="O101" s="291" t="s">
        <v>1667</v>
      </c>
      <c r="P101" s="291">
        <v>4500</v>
      </c>
      <c r="Q101" s="291">
        <v>19.670000000000002</v>
      </c>
      <c r="R101" s="291">
        <v>885.15</v>
      </c>
      <c r="S101" s="433">
        <f>R101/'Исп. коэффициенты'!E52*C105</f>
        <v>8.3428369004651629E-2</v>
      </c>
      <c r="T101" s="306" t="s">
        <v>1435</v>
      </c>
      <c r="U101" s="307">
        <v>6785401.3499999996</v>
      </c>
      <c r="V101" s="308">
        <v>1.3599999999999999E-2</v>
      </c>
      <c r="W101" s="306">
        <f>'Исп. коэффициенты'!E124</f>
        <v>2978.5</v>
      </c>
      <c r="X101" s="433">
        <f>U101*V101</f>
        <v>92281.45835999999</v>
      </c>
      <c r="Y101" s="295">
        <f>X101/'Исп. коэффициенты'!E52*C105</f>
        <v>8.6978382876862383</v>
      </c>
      <c r="Z101" s="291"/>
      <c r="AA101" s="284"/>
      <c r="AB101" s="284"/>
      <c r="AC101" s="377"/>
      <c r="AD101" s="263"/>
      <c r="AE101" s="261"/>
      <c r="AF101" s="365"/>
      <c r="AG101" s="366"/>
      <c r="AH101" s="366"/>
      <c r="AI101" s="366"/>
      <c r="AJ101" s="367"/>
      <c r="AK101" s="366"/>
      <c r="AL101" s="368"/>
      <c r="AM101" s="366"/>
      <c r="AN101" s="366"/>
      <c r="AO101" s="369"/>
      <c r="AP101" s="366"/>
      <c r="AQ101" s="366"/>
      <c r="AR101" s="369"/>
      <c r="AS101" s="369"/>
      <c r="AT101" s="370"/>
      <c r="AU101" s="366"/>
      <c r="AV101" s="369"/>
      <c r="AW101" s="366"/>
      <c r="AX101" s="366"/>
      <c r="AY101" s="366"/>
      <c r="AZ101" s="366"/>
      <c r="BA101" s="366"/>
    </row>
    <row r="102" spans="1:53" s="371" customFormat="1" x14ac:dyDescent="0.25">
      <c r="A102" s="1013"/>
      <c r="B102" s="309" t="s">
        <v>1178</v>
      </c>
      <c r="C102" s="310">
        <f>C92</f>
        <v>33.667709452234185</v>
      </c>
      <c r="D102" s="336"/>
      <c r="E102" s="300" t="s">
        <v>2187</v>
      </c>
      <c r="F102" s="301" t="s">
        <v>1</v>
      </c>
      <c r="G102" s="302">
        <v>6.3E-2</v>
      </c>
      <c r="H102" s="301">
        <v>5</v>
      </c>
      <c r="I102" s="303">
        <f>G102*H102</f>
        <v>0.315</v>
      </c>
      <c r="J102" s="290" t="s">
        <v>1445</v>
      </c>
      <c r="K102" s="292">
        <v>2</v>
      </c>
      <c r="L102" s="311">
        <v>95</v>
      </c>
      <c r="M102" s="304">
        <v>2</v>
      </c>
      <c r="N102" s="433">
        <f>L102/'Исп. коэффициенты'!E52*(C105+C106)</f>
        <v>1.7908139988571214E-2</v>
      </c>
      <c r="O102" s="291" t="s">
        <v>1668</v>
      </c>
      <c r="P102" s="291">
        <v>6750</v>
      </c>
      <c r="Q102" s="291">
        <v>19.670000000000002</v>
      </c>
      <c r="R102" s="291">
        <v>1327.73</v>
      </c>
      <c r="S102" s="433">
        <f>R102/'Исп. коэффициенты'!E52*C105</f>
        <v>0.12514302477381925</v>
      </c>
      <c r="T102" s="291"/>
      <c r="U102" s="291"/>
      <c r="V102" s="291"/>
      <c r="W102" s="372"/>
      <c r="X102" s="291"/>
      <c r="Y102" s="291"/>
      <c r="Z102" s="291"/>
      <c r="AA102" s="284"/>
      <c r="AB102" s="284"/>
      <c r="AC102" s="377"/>
      <c r="AD102" s="263"/>
      <c r="AE102" s="261"/>
      <c r="AF102" s="365"/>
      <c r="AG102" s="366"/>
      <c r="AH102" s="366"/>
      <c r="AI102" s="366"/>
      <c r="AJ102" s="367"/>
      <c r="AK102" s="366"/>
      <c r="AL102" s="368"/>
      <c r="AM102" s="373"/>
      <c r="AN102" s="366"/>
      <c r="AO102" s="369"/>
      <c r="AP102" s="366"/>
      <c r="AQ102" s="366"/>
      <c r="AR102" s="369"/>
      <c r="AS102" s="369"/>
      <c r="AT102" s="366"/>
      <c r="AU102" s="366"/>
      <c r="AV102" s="369"/>
      <c r="AW102" s="366"/>
      <c r="AX102" s="366"/>
      <c r="AY102" s="366"/>
      <c r="AZ102" s="366"/>
      <c r="BA102" s="366"/>
    </row>
    <row r="103" spans="1:53" s="371" customFormat="1" ht="12.75" customHeight="1" x14ac:dyDescent="0.25">
      <c r="A103" s="1013"/>
      <c r="B103" s="286" t="s">
        <v>1179</v>
      </c>
      <c r="C103" s="277">
        <f>C93</f>
        <v>19.495759833054819</v>
      </c>
      <c r="D103" s="336"/>
      <c r="E103" s="300" t="s">
        <v>2112</v>
      </c>
      <c r="F103" s="301" t="s">
        <v>1</v>
      </c>
      <c r="G103" s="302">
        <v>0.47</v>
      </c>
      <c r="H103" s="302">
        <v>10</v>
      </c>
      <c r="I103" s="303">
        <f>G103*H103</f>
        <v>4.6999999999999993</v>
      </c>
      <c r="J103" s="290" t="s">
        <v>1513</v>
      </c>
      <c r="K103" s="292">
        <v>2</v>
      </c>
      <c r="L103" s="292">
        <v>25</v>
      </c>
      <c r="M103" s="304">
        <v>0.5</v>
      </c>
      <c r="N103" s="433">
        <f>L103/'Исп. коэффициенты'!E52*(C105+C106)</f>
        <v>4.7126684180450566E-3</v>
      </c>
      <c r="O103" s="291"/>
      <c r="P103" s="291"/>
      <c r="Q103" s="372"/>
      <c r="R103" s="291"/>
      <c r="S103" s="291"/>
      <c r="T103" s="291"/>
      <c r="U103" s="291"/>
      <c r="V103" s="291"/>
      <c r="W103" s="372"/>
      <c r="X103" s="291"/>
      <c r="Y103" s="291"/>
      <c r="Z103" s="291"/>
      <c r="AA103" s="284"/>
      <c r="AB103" s="284"/>
      <c r="AC103" s="377"/>
      <c r="AD103" s="263"/>
      <c r="AE103" s="261"/>
      <c r="AF103" s="365"/>
      <c r="AG103" s="366"/>
      <c r="AH103" s="366"/>
      <c r="AI103" s="366"/>
      <c r="AJ103" s="367"/>
      <c r="AK103" s="366"/>
      <c r="AL103" s="368"/>
      <c r="AM103" s="366"/>
      <c r="AN103" s="366"/>
      <c r="AO103" s="369"/>
      <c r="AP103" s="366"/>
      <c r="AQ103" s="366"/>
      <c r="AR103" s="369"/>
      <c r="AS103" s="369"/>
      <c r="AT103" s="366"/>
      <c r="AU103" s="366"/>
      <c r="AV103" s="369"/>
      <c r="AW103" s="366"/>
      <c r="AX103" s="366"/>
      <c r="AY103" s="366"/>
      <c r="AZ103" s="366"/>
      <c r="BA103" s="366"/>
    </row>
    <row r="104" spans="1:53" s="371" customFormat="1" ht="12.75" customHeight="1" x14ac:dyDescent="0.25">
      <c r="A104" s="1013"/>
      <c r="B104" s="286" t="s">
        <v>831</v>
      </c>
      <c r="C104" s="313"/>
      <c r="D104" s="336"/>
      <c r="E104" s="300" t="s">
        <v>9</v>
      </c>
      <c r="F104" s="376" t="s">
        <v>1441</v>
      </c>
      <c r="G104" s="302">
        <v>0.68</v>
      </c>
      <c r="H104" s="301">
        <v>1</v>
      </c>
      <c r="I104" s="303">
        <f t="shared" ref="I104" si="9">G104*H104</f>
        <v>0.68</v>
      </c>
      <c r="J104" s="290"/>
      <c r="K104" s="374"/>
      <c r="L104" s="292"/>
      <c r="M104" s="292"/>
      <c r="N104" s="292"/>
      <c r="O104" s="291"/>
      <c r="P104" s="291"/>
      <c r="Q104" s="372"/>
      <c r="R104" s="291"/>
      <c r="S104" s="291"/>
      <c r="T104" s="291"/>
      <c r="U104" s="291"/>
      <c r="V104" s="291"/>
      <c r="W104" s="372"/>
      <c r="X104" s="291"/>
      <c r="Y104" s="291"/>
      <c r="Z104" s="291"/>
      <c r="AA104" s="284"/>
      <c r="AB104" s="284"/>
      <c r="AC104" s="377"/>
      <c r="AD104" s="263"/>
      <c r="AE104" s="261"/>
      <c r="AF104" s="365"/>
      <c r="AG104" s="366"/>
      <c r="AH104" s="366"/>
      <c r="AI104" s="366"/>
      <c r="AJ104" s="367"/>
      <c r="AK104" s="366"/>
      <c r="AL104" s="368"/>
      <c r="AM104" s="366"/>
      <c r="AN104" s="366"/>
      <c r="AO104" s="369"/>
      <c r="AP104" s="366"/>
      <c r="AQ104" s="366"/>
      <c r="AR104" s="369"/>
      <c r="AS104" s="369"/>
      <c r="AT104" s="366"/>
      <c r="AU104" s="366"/>
      <c r="AV104" s="369"/>
      <c r="AW104" s="366"/>
      <c r="AX104" s="366"/>
      <c r="AY104" s="366"/>
      <c r="AZ104" s="366"/>
      <c r="BA104" s="366"/>
    </row>
    <row r="105" spans="1:53" s="371" customFormat="1" ht="12.75" customHeight="1" x14ac:dyDescent="0.25">
      <c r="A105" s="1013"/>
      <c r="B105" s="309" t="s">
        <v>1178</v>
      </c>
      <c r="C105" s="314">
        <v>1</v>
      </c>
      <c r="D105" s="336"/>
      <c r="E105" s="300"/>
      <c r="F105" s="301"/>
      <c r="G105" s="302"/>
      <c r="H105" s="301"/>
      <c r="I105" s="303"/>
      <c r="J105" s="290"/>
      <c r="K105" s="374"/>
      <c r="L105" s="292"/>
      <c r="M105" s="292"/>
      <c r="N105" s="292"/>
      <c r="O105" s="291"/>
      <c r="P105" s="291"/>
      <c r="Q105" s="372"/>
      <c r="R105" s="291"/>
      <c r="S105" s="291"/>
      <c r="T105" s="291"/>
      <c r="U105" s="291"/>
      <c r="V105" s="291"/>
      <c r="W105" s="372"/>
      <c r="X105" s="291"/>
      <c r="Y105" s="291"/>
      <c r="Z105" s="291"/>
      <c r="AA105" s="284"/>
      <c r="AB105" s="284"/>
      <c r="AC105" s="377"/>
      <c r="AD105" s="263"/>
      <c r="AE105" s="261"/>
      <c r="AF105" s="365"/>
      <c r="AG105" s="366"/>
      <c r="AH105" s="366"/>
      <c r="AI105" s="366"/>
      <c r="AJ105" s="375"/>
      <c r="AK105" s="366"/>
      <c r="AL105" s="368"/>
      <c r="AM105" s="366"/>
      <c r="AN105" s="366"/>
      <c r="AO105" s="369"/>
      <c r="AP105" s="366"/>
      <c r="AQ105" s="366"/>
      <c r="AR105" s="369"/>
      <c r="AS105" s="369"/>
      <c r="AT105" s="366"/>
      <c r="AU105" s="366"/>
      <c r="AV105" s="369"/>
      <c r="AW105" s="366"/>
      <c r="AX105" s="366"/>
      <c r="AY105" s="366"/>
      <c r="AZ105" s="366"/>
      <c r="BA105" s="366"/>
    </row>
    <row r="106" spans="1:53" s="371" customFormat="1" ht="12.75" customHeight="1" x14ac:dyDescent="0.25">
      <c r="A106" s="1013"/>
      <c r="B106" s="286" t="s">
        <v>1179</v>
      </c>
      <c r="C106" s="314">
        <v>1</v>
      </c>
      <c r="D106" s="336"/>
      <c r="E106" s="300"/>
      <c r="F106" s="376"/>
      <c r="G106" s="302"/>
      <c r="H106" s="301"/>
      <c r="I106" s="303"/>
      <c r="J106" s="290"/>
      <c r="K106" s="374"/>
      <c r="L106" s="292"/>
      <c r="M106" s="292"/>
      <c r="N106" s="292"/>
      <c r="O106" s="291"/>
      <c r="P106" s="291"/>
      <c r="Q106" s="372"/>
      <c r="R106" s="291"/>
      <c r="S106" s="291"/>
      <c r="T106" s="291"/>
      <c r="U106" s="291"/>
      <c r="V106" s="291"/>
      <c r="W106" s="372"/>
      <c r="X106" s="291"/>
      <c r="Y106" s="291"/>
      <c r="Z106" s="291"/>
      <c r="AA106" s="284"/>
      <c r="AB106" s="284"/>
      <c r="AC106" s="377"/>
      <c r="AD106" s="263"/>
      <c r="AE106" s="261"/>
      <c r="AF106" s="365"/>
      <c r="AG106" s="366"/>
      <c r="AH106" s="366"/>
      <c r="AI106" s="366"/>
      <c r="AJ106" s="375"/>
      <c r="AK106" s="366"/>
      <c r="AL106" s="368"/>
      <c r="AM106" s="366"/>
      <c r="AN106" s="366"/>
      <c r="AO106" s="369"/>
      <c r="AP106" s="366"/>
      <c r="AQ106" s="366"/>
      <c r="AR106" s="369"/>
      <c r="AS106" s="369"/>
      <c r="AT106" s="366"/>
      <c r="AU106" s="366"/>
      <c r="AV106" s="369"/>
      <c r="AW106" s="366"/>
      <c r="AX106" s="366"/>
      <c r="AY106" s="366"/>
      <c r="AZ106" s="366"/>
      <c r="BA106" s="366"/>
    </row>
    <row r="107" spans="1:53" s="371" customFormat="1" ht="12.75" customHeight="1" x14ac:dyDescent="0.25">
      <c r="A107" s="1013"/>
      <c r="B107" s="315" t="s">
        <v>1181</v>
      </c>
      <c r="C107" s="277">
        <f>C102*C105+C103*C106</f>
        <v>53.163469285289004</v>
      </c>
      <c r="D107" s="336"/>
      <c r="E107" s="300"/>
      <c r="F107" s="376"/>
      <c r="G107" s="302"/>
      <c r="H107" s="301"/>
      <c r="I107" s="303"/>
      <c r="J107" s="290"/>
      <c r="K107" s="374"/>
      <c r="L107" s="292"/>
      <c r="M107" s="292"/>
      <c r="N107" s="292"/>
      <c r="O107" s="291"/>
      <c r="P107" s="291"/>
      <c r="Q107" s="372"/>
      <c r="R107" s="291"/>
      <c r="S107" s="291"/>
      <c r="T107" s="291"/>
      <c r="U107" s="291"/>
      <c r="V107" s="291"/>
      <c r="W107" s="372"/>
      <c r="X107" s="291"/>
      <c r="Y107" s="291"/>
      <c r="Z107" s="291"/>
      <c r="AA107" s="284"/>
      <c r="AB107" s="284"/>
      <c r="AC107" s="377"/>
      <c r="AD107" s="263"/>
      <c r="AE107" s="261"/>
      <c r="AF107" s="365"/>
      <c r="AG107" s="366"/>
      <c r="AH107" s="366"/>
      <c r="AI107" s="366"/>
      <c r="AJ107" s="367"/>
      <c r="AK107" s="366"/>
      <c r="AL107" s="368"/>
      <c r="AM107" s="366"/>
      <c r="AN107" s="366"/>
      <c r="AO107" s="369"/>
      <c r="AP107" s="366"/>
      <c r="AQ107" s="366"/>
      <c r="AR107" s="369"/>
      <c r="AS107" s="369"/>
      <c r="AT107" s="366"/>
      <c r="AU107" s="366"/>
      <c r="AV107" s="369"/>
      <c r="AW107" s="366"/>
      <c r="AX107" s="366"/>
      <c r="AY107" s="366"/>
      <c r="AZ107" s="366"/>
      <c r="BA107" s="366"/>
    </row>
    <row r="108" spans="1:53" s="371" customFormat="1" ht="12.75" customHeight="1" x14ac:dyDescent="0.25">
      <c r="A108" s="1014"/>
      <c r="B108" s="315"/>
      <c r="C108" s="314"/>
      <c r="D108" s="337"/>
      <c r="E108" s="300"/>
      <c r="F108" s="376"/>
      <c r="G108" s="302"/>
      <c r="H108" s="301"/>
      <c r="I108" s="303"/>
      <c r="J108" s="290"/>
      <c r="K108" s="374"/>
      <c r="L108" s="292"/>
      <c r="M108" s="292"/>
      <c r="N108" s="292"/>
      <c r="O108" s="291"/>
      <c r="P108" s="291"/>
      <c r="Q108" s="372"/>
      <c r="R108" s="291"/>
      <c r="S108" s="291"/>
      <c r="T108" s="291"/>
      <c r="U108" s="291"/>
      <c r="V108" s="291"/>
      <c r="W108" s="372"/>
      <c r="X108" s="291"/>
      <c r="Y108" s="291"/>
      <c r="Z108" s="291"/>
      <c r="AA108" s="284"/>
      <c r="AB108" s="284"/>
      <c r="AC108" s="377"/>
      <c r="AD108" s="263"/>
      <c r="AE108" s="261"/>
      <c r="AF108" s="365"/>
      <c r="AG108" s="366"/>
      <c r="AH108" s="366"/>
      <c r="AI108" s="366"/>
      <c r="AJ108" s="375"/>
      <c r="AK108" s="366"/>
      <c r="AL108" s="368"/>
      <c r="AM108" s="366"/>
      <c r="AN108" s="366"/>
      <c r="AO108" s="369"/>
      <c r="AP108" s="366"/>
      <c r="AQ108" s="366"/>
      <c r="AR108" s="369"/>
      <c r="AS108" s="369"/>
      <c r="AT108" s="366"/>
      <c r="AU108" s="366"/>
      <c r="AV108" s="369"/>
      <c r="AW108" s="366"/>
      <c r="AX108" s="366"/>
      <c r="AY108" s="366"/>
      <c r="AZ108" s="366"/>
      <c r="BA108" s="366"/>
    </row>
    <row r="109" spans="1:53" ht="56.25" customHeight="1" x14ac:dyDescent="0.25">
      <c r="A109" s="1012" t="s">
        <v>228</v>
      </c>
      <c r="B109" s="353" t="s">
        <v>1262</v>
      </c>
      <c r="C109" s="277"/>
      <c r="D109" s="287"/>
      <c r="E109" s="278" t="s">
        <v>488</v>
      </c>
      <c r="F109" s="279" t="s">
        <v>837</v>
      </c>
      <c r="G109" s="277" t="s">
        <v>489</v>
      </c>
      <c r="H109" s="278" t="s">
        <v>1170</v>
      </c>
      <c r="I109" s="279" t="s">
        <v>838</v>
      </c>
      <c r="J109" s="280" t="s">
        <v>1171</v>
      </c>
      <c r="K109" s="280" t="s">
        <v>490</v>
      </c>
      <c r="L109" s="281" t="s">
        <v>489</v>
      </c>
      <c r="M109" s="280" t="s">
        <v>1172</v>
      </c>
      <c r="N109" s="354" t="s">
        <v>838</v>
      </c>
      <c r="O109" s="280" t="s">
        <v>1171</v>
      </c>
      <c r="P109" s="280" t="s">
        <v>826</v>
      </c>
      <c r="Q109" s="282" t="s">
        <v>1173</v>
      </c>
      <c r="R109" s="280" t="s">
        <v>1174</v>
      </c>
      <c r="S109" s="280" t="s">
        <v>839</v>
      </c>
      <c r="T109" s="280" t="s">
        <v>1171</v>
      </c>
      <c r="U109" s="280" t="s">
        <v>1392</v>
      </c>
      <c r="V109" s="282" t="s">
        <v>1173</v>
      </c>
      <c r="W109" s="280" t="s">
        <v>841</v>
      </c>
      <c r="X109" s="280" t="s">
        <v>1394</v>
      </c>
      <c r="Y109" s="280" t="s">
        <v>839</v>
      </c>
      <c r="Z109" s="283"/>
      <c r="AA109" s="284"/>
      <c r="AB109" s="284"/>
      <c r="AC109" s="377"/>
      <c r="AD109" s="263"/>
      <c r="AQ109" s="355"/>
      <c r="AR109" s="355"/>
      <c r="AS109" s="355"/>
    </row>
    <row r="110" spans="1:53" s="270" customFormat="1" ht="12" customHeight="1" x14ac:dyDescent="0.25">
      <c r="A110" s="1013"/>
      <c r="B110" s="285" t="s">
        <v>1175</v>
      </c>
      <c r="C110" s="277">
        <f>C117</f>
        <v>85.061550856462404</v>
      </c>
      <c r="D110" s="336">
        <f>C110*$D$5</f>
        <v>17.182433273005408</v>
      </c>
      <c r="E110" s="286" t="s">
        <v>1176</v>
      </c>
      <c r="F110" s="356"/>
      <c r="G110" s="288"/>
      <c r="H110" s="288"/>
      <c r="I110" s="289">
        <f>SUM(I111:I118)</f>
        <v>11.055</v>
      </c>
      <c r="J110" s="290" t="s">
        <v>1176</v>
      </c>
      <c r="K110" s="357"/>
      <c r="L110" s="291"/>
      <c r="M110" s="291"/>
      <c r="N110" s="433">
        <f>SUM(N111:N118)</f>
        <v>0.26240137751674875</v>
      </c>
      <c r="O110" s="291" t="s">
        <v>1176</v>
      </c>
      <c r="P110" s="291"/>
      <c r="Q110" s="372"/>
      <c r="R110" s="294"/>
      <c r="S110" s="433">
        <f>SUM(S111:S118)</f>
        <v>0.33371423004555345</v>
      </c>
      <c r="T110" s="291" t="s">
        <v>1176</v>
      </c>
      <c r="U110" s="307"/>
      <c r="V110" s="308"/>
      <c r="W110" s="306"/>
      <c r="X110" s="292"/>
      <c r="Y110" s="433">
        <f>SUM(Y111:Y118)</f>
        <v>13.916541260297983</v>
      </c>
      <c r="Z110" s="296">
        <f>(C110+D110+I110+N110+Y110+S110)*$Z$5</f>
        <v>166.17912262063081</v>
      </c>
      <c r="AA110" s="297">
        <f>C110+D110+I110+N110+S110+Y110+Z110</f>
        <v>293.99076361795892</v>
      </c>
      <c r="AB110" s="298">
        <v>0.25</v>
      </c>
      <c r="AC110" s="358">
        <f>AA110*(1+AB110)</f>
        <v>367.48845452244865</v>
      </c>
      <c r="AD110" s="265"/>
      <c r="AE110" s="261"/>
      <c r="AF110" s="262"/>
      <c r="AG110" s="263"/>
      <c r="AH110" s="263"/>
      <c r="AI110" s="355"/>
      <c r="AJ110" s="359"/>
      <c r="AK110" s="360"/>
      <c r="AL110" s="264"/>
      <c r="AM110" s="361"/>
      <c r="AN110" s="143"/>
      <c r="AO110" s="362"/>
      <c r="AP110" s="363"/>
      <c r="AQ110" s="363"/>
      <c r="AR110" s="363"/>
      <c r="AS110" s="363"/>
      <c r="AT110" s="363"/>
      <c r="AU110" s="362"/>
      <c r="AV110" s="362"/>
      <c r="AW110" s="364"/>
      <c r="AX110" s="272"/>
      <c r="AY110" s="272"/>
      <c r="AZ110" s="272"/>
      <c r="BA110" s="272"/>
    </row>
    <row r="111" spans="1:53" s="371" customFormat="1" ht="12.75" customHeight="1" x14ac:dyDescent="0.25">
      <c r="A111" s="1013"/>
      <c r="B111" s="299" t="s">
        <v>830</v>
      </c>
      <c r="C111" s="277"/>
      <c r="D111" s="336"/>
      <c r="E111" s="300" t="s">
        <v>2186</v>
      </c>
      <c r="F111" s="301" t="s">
        <v>1441</v>
      </c>
      <c r="G111" s="302">
        <v>5.36</v>
      </c>
      <c r="H111" s="301">
        <v>1</v>
      </c>
      <c r="I111" s="303">
        <f>G111*H111</f>
        <v>5.36</v>
      </c>
      <c r="J111" s="290" t="s">
        <v>1291</v>
      </c>
      <c r="K111" s="304">
        <v>2</v>
      </c>
      <c r="L111" s="305">
        <v>750</v>
      </c>
      <c r="M111" s="304">
        <v>2</v>
      </c>
      <c r="N111" s="433">
        <f>L111/'Исп. коэффициенты'!E52*(C115+C116)</f>
        <v>0.22620808406616272</v>
      </c>
      <c r="O111" s="291" t="s">
        <v>1667</v>
      </c>
      <c r="P111" s="291">
        <v>4500</v>
      </c>
      <c r="Q111" s="291">
        <v>19.670000000000002</v>
      </c>
      <c r="R111" s="291">
        <v>885.15</v>
      </c>
      <c r="S111" s="433">
        <f>R111/'Исп. коэффициенты'!E52*C115</f>
        <v>0.13348539040744262</v>
      </c>
      <c r="T111" s="306" t="s">
        <v>1435</v>
      </c>
      <c r="U111" s="307">
        <v>6785401.3499999996</v>
      </c>
      <c r="V111" s="308">
        <v>1.3599999999999999E-2</v>
      </c>
      <c r="W111" s="306">
        <f>'Исп. коэффициенты'!E124</f>
        <v>2978.5</v>
      </c>
      <c r="X111" s="433">
        <f>U111*V111</f>
        <v>92281.45835999999</v>
      </c>
      <c r="Y111" s="295">
        <f>X111/'Исп. коэффициенты'!E52*C115</f>
        <v>13.916541260297983</v>
      </c>
      <c r="Z111" s="291"/>
      <c r="AA111" s="284"/>
      <c r="AB111" s="284"/>
      <c r="AC111" s="377"/>
      <c r="AD111" s="263"/>
      <c r="AE111" s="261"/>
      <c r="AF111" s="365"/>
      <c r="AG111" s="366"/>
      <c r="AH111" s="366"/>
      <c r="AI111" s="366"/>
      <c r="AJ111" s="367"/>
      <c r="AK111" s="366"/>
      <c r="AL111" s="368"/>
      <c r="AM111" s="366"/>
      <c r="AN111" s="366"/>
      <c r="AO111" s="369"/>
      <c r="AP111" s="366"/>
      <c r="AQ111" s="366"/>
      <c r="AR111" s="369"/>
      <c r="AS111" s="369"/>
      <c r="AT111" s="370"/>
      <c r="AU111" s="366"/>
      <c r="AV111" s="369"/>
      <c r="AW111" s="366"/>
      <c r="AX111" s="366"/>
      <c r="AY111" s="366"/>
      <c r="AZ111" s="366"/>
      <c r="BA111" s="366"/>
    </row>
    <row r="112" spans="1:53" s="371" customFormat="1" x14ac:dyDescent="0.25">
      <c r="A112" s="1013"/>
      <c r="B112" s="309" t="s">
        <v>1178</v>
      </c>
      <c r="C112" s="310">
        <f>C102</f>
        <v>33.667709452234185</v>
      </c>
      <c r="D112" s="336"/>
      <c r="E112" s="300" t="s">
        <v>2187</v>
      </c>
      <c r="F112" s="301" t="s">
        <v>1</v>
      </c>
      <c r="G112" s="302">
        <v>6.3E-2</v>
      </c>
      <c r="H112" s="301">
        <v>5</v>
      </c>
      <c r="I112" s="303">
        <f>G112*H112</f>
        <v>0.315</v>
      </c>
      <c r="J112" s="290" t="s">
        <v>1445</v>
      </c>
      <c r="K112" s="292">
        <v>2</v>
      </c>
      <c r="L112" s="311">
        <v>95</v>
      </c>
      <c r="M112" s="304">
        <v>2</v>
      </c>
      <c r="N112" s="433">
        <f>L112/'Исп. коэффициенты'!E52*(C115+C116)</f>
        <v>2.8653023981713946E-2</v>
      </c>
      <c r="O112" s="291" t="s">
        <v>1668</v>
      </c>
      <c r="P112" s="291">
        <v>6750</v>
      </c>
      <c r="Q112" s="291">
        <v>19.670000000000002</v>
      </c>
      <c r="R112" s="291">
        <v>1327.73</v>
      </c>
      <c r="S112" s="433">
        <f>R112/'Исп. коэффициенты'!E52*C115</f>
        <v>0.20022883963811081</v>
      </c>
      <c r="T112" s="291"/>
      <c r="U112" s="291"/>
      <c r="V112" s="291"/>
      <c r="W112" s="372"/>
      <c r="X112" s="291"/>
      <c r="Y112" s="291"/>
      <c r="Z112" s="291"/>
      <c r="AA112" s="284"/>
      <c r="AB112" s="284"/>
      <c r="AC112" s="377"/>
      <c r="AD112" s="263"/>
      <c r="AE112" s="261"/>
      <c r="AF112" s="365"/>
      <c r="AG112" s="366"/>
      <c r="AH112" s="366"/>
      <c r="AI112" s="366"/>
      <c r="AJ112" s="367"/>
      <c r="AK112" s="366"/>
      <c r="AL112" s="368"/>
      <c r="AM112" s="373"/>
      <c r="AN112" s="366"/>
      <c r="AO112" s="369"/>
      <c r="AP112" s="366"/>
      <c r="AQ112" s="366"/>
      <c r="AR112" s="369"/>
      <c r="AS112" s="369"/>
      <c r="AT112" s="366"/>
      <c r="AU112" s="366"/>
      <c r="AV112" s="369"/>
      <c r="AW112" s="366"/>
      <c r="AX112" s="366"/>
      <c r="AY112" s="366"/>
      <c r="AZ112" s="366"/>
      <c r="BA112" s="366"/>
    </row>
    <row r="113" spans="1:53" s="371" customFormat="1" ht="12.75" customHeight="1" x14ac:dyDescent="0.25">
      <c r="A113" s="1013"/>
      <c r="B113" s="286" t="s">
        <v>1179</v>
      </c>
      <c r="C113" s="277">
        <f>C103</f>
        <v>19.495759833054819</v>
      </c>
      <c r="D113" s="336"/>
      <c r="E113" s="300" t="s">
        <v>2112</v>
      </c>
      <c r="F113" s="301" t="s">
        <v>1</v>
      </c>
      <c r="G113" s="302">
        <v>0.47</v>
      </c>
      <c r="H113" s="302">
        <v>10</v>
      </c>
      <c r="I113" s="303">
        <f>G113*H113</f>
        <v>4.6999999999999993</v>
      </c>
      <c r="J113" s="290" t="s">
        <v>1513</v>
      </c>
      <c r="K113" s="292">
        <v>2</v>
      </c>
      <c r="L113" s="292">
        <v>25</v>
      </c>
      <c r="M113" s="304">
        <v>0.5</v>
      </c>
      <c r="N113" s="433">
        <f>L113/'Исп. коэффициенты'!E52*(C115+C116)</f>
        <v>7.5402694688720909E-3</v>
      </c>
      <c r="O113" s="291"/>
      <c r="P113" s="291"/>
      <c r="Q113" s="372"/>
      <c r="R113" s="291"/>
      <c r="S113" s="291"/>
      <c r="T113" s="291"/>
      <c r="U113" s="291"/>
      <c r="V113" s="291"/>
      <c r="W113" s="372"/>
      <c r="X113" s="291"/>
      <c r="Y113" s="291"/>
      <c r="Z113" s="291"/>
      <c r="AA113" s="284"/>
      <c r="AB113" s="284"/>
      <c r="AC113" s="377"/>
      <c r="AD113" s="263"/>
      <c r="AE113" s="261"/>
      <c r="AF113" s="365"/>
      <c r="AG113" s="366"/>
      <c r="AH113" s="366"/>
      <c r="AI113" s="366"/>
      <c r="AJ113" s="367"/>
      <c r="AK113" s="366"/>
      <c r="AL113" s="368"/>
      <c r="AM113" s="366"/>
      <c r="AN113" s="366"/>
      <c r="AO113" s="369"/>
      <c r="AP113" s="366"/>
      <c r="AQ113" s="366"/>
      <c r="AR113" s="369"/>
      <c r="AS113" s="369"/>
      <c r="AT113" s="366"/>
      <c r="AU113" s="366"/>
      <c r="AV113" s="369"/>
      <c r="AW113" s="366"/>
      <c r="AX113" s="366"/>
      <c r="AY113" s="366"/>
      <c r="AZ113" s="366"/>
      <c r="BA113" s="366"/>
    </row>
    <row r="114" spans="1:53" s="371" customFormat="1" ht="12.75" customHeight="1" x14ac:dyDescent="0.25">
      <c r="A114" s="1013"/>
      <c r="B114" s="286" t="s">
        <v>831</v>
      </c>
      <c r="C114" s="313"/>
      <c r="D114" s="336"/>
      <c r="E114" s="300" t="s">
        <v>9</v>
      </c>
      <c r="F114" s="376" t="s">
        <v>1441</v>
      </c>
      <c r="G114" s="302">
        <v>0.68</v>
      </c>
      <c r="H114" s="301">
        <v>1</v>
      </c>
      <c r="I114" s="303">
        <f t="shared" ref="I114" si="10">G114*H114</f>
        <v>0.68</v>
      </c>
      <c r="J114" s="290"/>
      <c r="K114" s="374"/>
      <c r="L114" s="292"/>
      <c r="M114" s="292"/>
      <c r="N114" s="292"/>
      <c r="O114" s="291"/>
      <c r="P114" s="291"/>
      <c r="Q114" s="372"/>
      <c r="R114" s="291"/>
      <c r="S114" s="291"/>
      <c r="T114" s="291"/>
      <c r="U114" s="291"/>
      <c r="V114" s="291"/>
      <c r="W114" s="372"/>
      <c r="X114" s="291"/>
      <c r="Y114" s="291"/>
      <c r="Z114" s="291"/>
      <c r="AA114" s="284"/>
      <c r="AB114" s="284"/>
      <c r="AC114" s="377"/>
      <c r="AD114" s="263"/>
      <c r="AE114" s="261"/>
      <c r="AF114" s="365"/>
      <c r="AG114" s="366"/>
      <c r="AH114" s="366"/>
      <c r="AI114" s="366"/>
      <c r="AJ114" s="367"/>
      <c r="AK114" s="366"/>
      <c r="AL114" s="368"/>
      <c r="AM114" s="366"/>
      <c r="AN114" s="366"/>
      <c r="AO114" s="369"/>
      <c r="AP114" s="366"/>
      <c r="AQ114" s="366"/>
      <c r="AR114" s="369"/>
      <c r="AS114" s="369"/>
      <c r="AT114" s="366"/>
      <c r="AU114" s="366"/>
      <c r="AV114" s="369"/>
      <c r="AW114" s="366"/>
      <c r="AX114" s="366"/>
      <c r="AY114" s="366"/>
      <c r="AZ114" s="366"/>
      <c r="BA114" s="366"/>
    </row>
    <row r="115" spans="1:53" s="371" customFormat="1" ht="12.75" customHeight="1" x14ac:dyDescent="0.25">
      <c r="A115" s="1013"/>
      <c r="B115" s="309" t="s">
        <v>1178</v>
      </c>
      <c r="C115" s="314">
        <v>1.6</v>
      </c>
      <c r="D115" s="336"/>
      <c r="E115" s="300"/>
      <c r="F115" s="301"/>
      <c r="G115" s="302"/>
      <c r="H115" s="301"/>
      <c r="I115" s="303"/>
      <c r="J115" s="290"/>
      <c r="K115" s="374"/>
      <c r="L115" s="292"/>
      <c r="M115" s="292"/>
      <c r="N115" s="292"/>
      <c r="O115" s="291"/>
      <c r="P115" s="291"/>
      <c r="Q115" s="372"/>
      <c r="R115" s="291"/>
      <c r="S115" s="291"/>
      <c r="T115" s="291"/>
      <c r="U115" s="291"/>
      <c r="V115" s="291"/>
      <c r="W115" s="372"/>
      <c r="X115" s="291"/>
      <c r="Y115" s="291"/>
      <c r="Z115" s="291"/>
      <c r="AA115" s="284"/>
      <c r="AB115" s="284"/>
      <c r="AC115" s="377"/>
      <c r="AD115" s="263"/>
      <c r="AE115" s="261"/>
      <c r="AF115" s="365"/>
      <c r="AG115" s="366"/>
      <c r="AH115" s="366"/>
      <c r="AI115" s="366"/>
      <c r="AJ115" s="375"/>
      <c r="AK115" s="366"/>
      <c r="AL115" s="368"/>
      <c r="AM115" s="366"/>
      <c r="AN115" s="366"/>
      <c r="AO115" s="369"/>
      <c r="AP115" s="366"/>
      <c r="AQ115" s="366"/>
      <c r="AR115" s="369"/>
      <c r="AS115" s="369"/>
      <c r="AT115" s="366"/>
      <c r="AU115" s="366"/>
      <c r="AV115" s="369"/>
      <c r="AW115" s="366"/>
      <c r="AX115" s="366"/>
      <c r="AY115" s="366"/>
      <c r="AZ115" s="366"/>
      <c r="BA115" s="366"/>
    </row>
    <row r="116" spans="1:53" s="371" customFormat="1" ht="12.75" customHeight="1" x14ac:dyDescent="0.25">
      <c r="A116" s="1013"/>
      <c r="B116" s="286" t="s">
        <v>1179</v>
      </c>
      <c r="C116" s="314">
        <v>1.6</v>
      </c>
      <c r="D116" s="336"/>
      <c r="E116" s="300"/>
      <c r="F116" s="376"/>
      <c r="G116" s="302"/>
      <c r="H116" s="301"/>
      <c r="I116" s="303"/>
      <c r="J116" s="290"/>
      <c r="K116" s="374"/>
      <c r="L116" s="292"/>
      <c r="M116" s="292"/>
      <c r="N116" s="292"/>
      <c r="O116" s="291"/>
      <c r="P116" s="291"/>
      <c r="Q116" s="372"/>
      <c r="R116" s="291"/>
      <c r="S116" s="291"/>
      <c r="T116" s="291"/>
      <c r="U116" s="291"/>
      <c r="V116" s="291"/>
      <c r="W116" s="372"/>
      <c r="X116" s="291"/>
      <c r="Y116" s="291"/>
      <c r="Z116" s="291"/>
      <c r="AA116" s="284"/>
      <c r="AB116" s="284"/>
      <c r="AC116" s="377"/>
      <c r="AD116" s="263"/>
      <c r="AE116" s="261"/>
      <c r="AF116" s="365"/>
      <c r="AG116" s="366"/>
      <c r="AH116" s="366"/>
      <c r="AI116" s="366"/>
      <c r="AJ116" s="375"/>
      <c r="AK116" s="366"/>
      <c r="AL116" s="368"/>
      <c r="AM116" s="366"/>
      <c r="AN116" s="366"/>
      <c r="AO116" s="369"/>
      <c r="AP116" s="366"/>
      <c r="AQ116" s="366"/>
      <c r="AR116" s="369"/>
      <c r="AS116" s="369"/>
      <c r="AT116" s="366"/>
      <c r="AU116" s="366"/>
      <c r="AV116" s="369"/>
      <c r="AW116" s="366"/>
      <c r="AX116" s="366"/>
      <c r="AY116" s="366"/>
      <c r="AZ116" s="366"/>
      <c r="BA116" s="366"/>
    </row>
    <row r="117" spans="1:53" s="371" customFormat="1" ht="12.75" customHeight="1" x14ac:dyDescent="0.25">
      <c r="A117" s="1013"/>
      <c r="B117" s="315" t="s">
        <v>1181</v>
      </c>
      <c r="C117" s="277">
        <f>C112*C115+C113*C116</f>
        <v>85.061550856462404</v>
      </c>
      <c r="D117" s="336"/>
      <c r="E117" s="300"/>
      <c r="F117" s="376"/>
      <c r="G117" s="302"/>
      <c r="H117" s="301"/>
      <c r="I117" s="303"/>
      <c r="J117" s="290"/>
      <c r="K117" s="374"/>
      <c r="L117" s="292"/>
      <c r="M117" s="292"/>
      <c r="N117" s="292"/>
      <c r="O117" s="291"/>
      <c r="P117" s="291"/>
      <c r="Q117" s="372"/>
      <c r="R117" s="291"/>
      <c r="S117" s="291"/>
      <c r="T117" s="291"/>
      <c r="U117" s="291"/>
      <c r="V117" s="291"/>
      <c r="W117" s="372"/>
      <c r="X117" s="291"/>
      <c r="Y117" s="291"/>
      <c r="Z117" s="291"/>
      <c r="AA117" s="284"/>
      <c r="AB117" s="284"/>
      <c r="AC117" s="377"/>
      <c r="AD117" s="263"/>
      <c r="AE117" s="261"/>
      <c r="AF117" s="365"/>
      <c r="AG117" s="366"/>
      <c r="AH117" s="366"/>
      <c r="AI117" s="366"/>
      <c r="AJ117" s="367"/>
      <c r="AK117" s="366"/>
      <c r="AL117" s="368"/>
      <c r="AM117" s="366"/>
      <c r="AN117" s="366"/>
      <c r="AO117" s="369"/>
      <c r="AP117" s="366"/>
      <c r="AQ117" s="366"/>
      <c r="AR117" s="369"/>
      <c r="AS117" s="369"/>
      <c r="AT117" s="366"/>
      <c r="AU117" s="366"/>
      <c r="AV117" s="369"/>
      <c r="AW117" s="366"/>
      <c r="AX117" s="366"/>
      <c r="AY117" s="366"/>
      <c r="AZ117" s="366"/>
      <c r="BA117" s="366"/>
    </row>
    <row r="118" spans="1:53" s="371" customFormat="1" ht="12.75" customHeight="1" x14ac:dyDescent="0.25">
      <c r="A118" s="1014"/>
      <c r="B118" s="315"/>
      <c r="C118" s="314"/>
      <c r="D118" s="337"/>
      <c r="E118" s="300"/>
      <c r="F118" s="376"/>
      <c r="G118" s="302"/>
      <c r="H118" s="301"/>
      <c r="I118" s="303"/>
      <c r="J118" s="290"/>
      <c r="K118" s="374"/>
      <c r="L118" s="292"/>
      <c r="M118" s="292"/>
      <c r="N118" s="292"/>
      <c r="O118" s="291"/>
      <c r="P118" s="291"/>
      <c r="Q118" s="372"/>
      <c r="R118" s="291"/>
      <c r="S118" s="291"/>
      <c r="T118" s="291"/>
      <c r="U118" s="291"/>
      <c r="V118" s="291"/>
      <c r="W118" s="372"/>
      <c r="X118" s="291"/>
      <c r="Y118" s="291"/>
      <c r="Z118" s="291"/>
      <c r="AA118" s="284"/>
      <c r="AB118" s="284"/>
      <c r="AC118" s="377"/>
      <c r="AD118" s="263"/>
      <c r="AE118" s="261"/>
      <c r="AF118" s="365"/>
      <c r="AG118" s="366"/>
      <c r="AH118" s="366"/>
      <c r="AI118" s="366"/>
      <c r="AJ118" s="375"/>
      <c r="AK118" s="366"/>
      <c r="AL118" s="368"/>
      <c r="AM118" s="366"/>
      <c r="AN118" s="366"/>
      <c r="AO118" s="369"/>
      <c r="AP118" s="366"/>
      <c r="AQ118" s="366"/>
      <c r="AR118" s="369"/>
      <c r="AS118" s="369"/>
      <c r="AT118" s="366"/>
      <c r="AU118" s="366"/>
      <c r="AV118" s="369"/>
      <c r="AW118" s="366"/>
      <c r="AX118" s="366"/>
      <c r="AY118" s="366"/>
      <c r="AZ118" s="366"/>
      <c r="BA118" s="366"/>
    </row>
    <row r="119" spans="1:53" ht="56.25" customHeight="1" x14ac:dyDescent="0.25">
      <c r="A119" s="1012" t="s">
        <v>229</v>
      </c>
      <c r="B119" s="353" t="s">
        <v>1260</v>
      </c>
      <c r="C119" s="277"/>
      <c r="D119" s="287"/>
      <c r="E119" s="278" t="s">
        <v>488</v>
      </c>
      <c r="F119" s="279" t="s">
        <v>837</v>
      </c>
      <c r="G119" s="277" t="s">
        <v>489</v>
      </c>
      <c r="H119" s="278" t="s">
        <v>1170</v>
      </c>
      <c r="I119" s="279" t="s">
        <v>838</v>
      </c>
      <c r="J119" s="280" t="s">
        <v>1171</v>
      </c>
      <c r="K119" s="280" t="s">
        <v>490</v>
      </c>
      <c r="L119" s="281" t="s">
        <v>489</v>
      </c>
      <c r="M119" s="280" t="s">
        <v>1172</v>
      </c>
      <c r="N119" s="354" t="s">
        <v>838</v>
      </c>
      <c r="O119" s="280" t="s">
        <v>1171</v>
      </c>
      <c r="P119" s="280" t="s">
        <v>826</v>
      </c>
      <c r="Q119" s="282" t="s">
        <v>1173</v>
      </c>
      <c r="R119" s="280" t="s">
        <v>1174</v>
      </c>
      <c r="S119" s="280" t="s">
        <v>839</v>
      </c>
      <c r="T119" s="280" t="s">
        <v>1171</v>
      </c>
      <c r="U119" s="280" t="s">
        <v>1392</v>
      </c>
      <c r="V119" s="282" t="s">
        <v>1173</v>
      </c>
      <c r="W119" s="280" t="s">
        <v>841</v>
      </c>
      <c r="X119" s="280" t="s">
        <v>1394</v>
      </c>
      <c r="Y119" s="280" t="s">
        <v>839</v>
      </c>
      <c r="Z119" s="283"/>
      <c r="AA119" s="284"/>
      <c r="AB119" s="284"/>
      <c r="AC119" s="377"/>
      <c r="AD119" s="263"/>
      <c r="AQ119" s="355"/>
      <c r="AR119" s="355"/>
      <c r="AS119" s="355"/>
    </row>
    <row r="120" spans="1:53" s="270" customFormat="1" ht="12" customHeight="1" x14ac:dyDescent="0.25">
      <c r="A120" s="1013"/>
      <c r="B120" s="285" t="s">
        <v>1175</v>
      </c>
      <c r="C120" s="277">
        <f>C127</f>
        <v>31.8980815711734</v>
      </c>
      <c r="D120" s="336">
        <f>C120*$D$5</f>
        <v>6.4434124773770272</v>
      </c>
      <c r="E120" s="286" t="s">
        <v>1176</v>
      </c>
      <c r="F120" s="356"/>
      <c r="G120" s="288"/>
      <c r="H120" s="288"/>
      <c r="I120" s="289">
        <f>SUM(I121:I128)</f>
        <v>11.055</v>
      </c>
      <c r="J120" s="290" t="s">
        <v>1176</v>
      </c>
      <c r="K120" s="357"/>
      <c r="L120" s="291"/>
      <c r="M120" s="291"/>
      <c r="N120" s="433">
        <f>SUM(N121:N128)</f>
        <v>9.840051656878078E-2</v>
      </c>
      <c r="O120" s="291" t="s">
        <v>1176</v>
      </c>
      <c r="P120" s="291"/>
      <c r="Q120" s="372"/>
      <c r="R120" s="294"/>
      <c r="S120" s="433">
        <f>SUM(S121:S128)</f>
        <v>0.1251428362670825</v>
      </c>
      <c r="T120" s="291" t="s">
        <v>1176</v>
      </c>
      <c r="U120" s="307"/>
      <c r="V120" s="308"/>
      <c r="W120" s="306"/>
      <c r="X120" s="292"/>
      <c r="Y120" s="433">
        <f>SUM(Y121:Y128)</f>
        <v>5.2187029726117427</v>
      </c>
      <c r="Z120" s="296">
        <f>(C120+D120+I120+N120+Y120+S120)*$Z$5</f>
        <v>71.30065532264048</v>
      </c>
      <c r="AA120" s="297">
        <f>C120+D120+I120+N120+S120+Y120+Z120</f>
        <v>126.13939569663852</v>
      </c>
      <c r="AB120" s="298">
        <v>0.25</v>
      </c>
      <c r="AC120" s="358">
        <f>AA120*(1+AB120)</f>
        <v>157.67424462079813</v>
      </c>
      <c r="AD120" s="265"/>
      <c r="AE120" s="261"/>
      <c r="AF120" s="262"/>
      <c r="AG120" s="263"/>
      <c r="AH120" s="263"/>
      <c r="AI120" s="355"/>
      <c r="AJ120" s="359"/>
      <c r="AK120" s="360"/>
      <c r="AL120" s="264"/>
      <c r="AM120" s="361"/>
      <c r="AN120" s="143"/>
      <c r="AO120" s="362"/>
      <c r="AP120" s="363"/>
      <c r="AQ120" s="363"/>
      <c r="AR120" s="363"/>
      <c r="AS120" s="363"/>
      <c r="AT120" s="363"/>
      <c r="AU120" s="362"/>
      <c r="AV120" s="362"/>
      <c r="AW120" s="364"/>
      <c r="AX120" s="272"/>
      <c r="AY120" s="272"/>
      <c r="AZ120" s="272"/>
      <c r="BA120" s="272"/>
    </row>
    <row r="121" spans="1:53" s="371" customFormat="1" ht="12.75" customHeight="1" x14ac:dyDescent="0.25">
      <c r="A121" s="1013"/>
      <c r="B121" s="299" t="s">
        <v>830</v>
      </c>
      <c r="C121" s="277"/>
      <c r="D121" s="336"/>
      <c r="E121" s="300" t="s">
        <v>2186</v>
      </c>
      <c r="F121" s="301" t="s">
        <v>1441</v>
      </c>
      <c r="G121" s="302">
        <v>5.36</v>
      </c>
      <c r="H121" s="301">
        <v>1</v>
      </c>
      <c r="I121" s="303">
        <f>G121*H121</f>
        <v>5.36</v>
      </c>
      <c r="J121" s="290" t="s">
        <v>1291</v>
      </c>
      <c r="K121" s="304">
        <v>2</v>
      </c>
      <c r="L121" s="305">
        <v>750</v>
      </c>
      <c r="M121" s="304">
        <v>2</v>
      </c>
      <c r="N121" s="433">
        <f>L121/'Исп. коэффициенты'!E52*(C125+C126)</f>
        <v>8.4828031524811012E-2</v>
      </c>
      <c r="O121" s="291" t="s">
        <v>1667</v>
      </c>
      <c r="P121" s="291">
        <v>4500</v>
      </c>
      <c r="Q121" s="291">
        <v>19.670000000000002</v>
      </c>
      <c r="R121" s="291">
        <v>885.15</v>
      </c>
      <c r="S121" s="433">
        <f>R121/'Исп. коэффициенты'!E52*C125</f>
        <v>5.0057021402790974E-2</v>
      </c>
      <c r="T121" s="306" t="s">
        <v>1435</v>
      </c>
      <c r="U121" s="307">
        <v>6785401.3499999996</v>
      </c>
      <c r="V121" s="308">
        <v>1.3599999999999999E-2</v>
      </c>
      <c r="W121" s="306">
        <f>'Исп. коэффициенты'!E124</f>
        <v>2978.5</v>
      </c>
      <c r="X121" s="433">
        <f>U121*V121</f>
        <v>92281.45835999999</v>
      </c>
      <c r="Y121" s="295">
        <f>X121/'Исп. коэффициенты'!E52*C125</f>
        <v>5.2187029726117427</v>
      </c>
      <c r="Z121" s="291"/>
      <c r="AA121" s="284"/>
      <c r="AB121" s="284"/>
      <c r="AC121" s="377"/>
      <c r="AD121" s="263"/>
      <c r="AE121" s="261"/>
      <c r="AF121" s="365"/>
      <c r="AG121" s="366"/>
      <c r="AH121" s="366"/>
      <c r="AI121" s="366"/>
      <c r="AJ121" s="367"/>
      <c r="AK121" s="366"/>
      <c r="AL121" s="368"/>
      <c r="AM121" s="366"/>
      <c r="AN121" s="366"/>
      <c r="AO121" s="369"/>
      <c r="AP121" s="366"/>
      <c r="AQ121" s="366"/>
      <c r="AR121" s="369"/>
      <c r="AS121" s="369"/>
      <c r="AT121" s="370"/>
      <c r="AU121" s="366"/>
      <c r="AV121" s="369"/>
      <c r="AW121" s="366"/>
      <c r="AX121" s="366"/>
      <c r="AY121" s="366"/>
      <c r="AZ121" s="366"/>
      <c r="BA121" s="366"/>
    </row>
    <row r="122" spans="1:53" s="371" customFormat="1" x14ac:dyDescent="0.25">
      <c r="A122" s="1013"/>
      <c r="B122" s="309" t="s">
        <v>1178</v>
      </c>
      <c r="C122" s="310">
        <f>C112</f>
        <v>33.667709452234185</v>
      </c>
      <c r="D122" s="336"/>
      <c r="E122" s="300" t="s">
        <v>2187</v>
      </c>
      <c r="F122" s="301" t="s">
        <v>1</v>
      </c>
      <c r="G122" s="302">
        <v>6.3E-2</v>
      </c>
      <c r="H122" s="301">
        <v>5</v>
      </c>
      <c r="I122" s="303">
        <f>G122*H122</f>
        <v>0.315</v>
      </c>
      <c r="J122" s="290" t="s">
        <v>1445</v>
      </c>
      <c r="K122" s="292">
        <v>2</v>
      </c>
      <c r="L122" s="311">
        <v>95</v>
      </c>
      <c r="M122" s="304">
        <v>2</v>
      </c>
      <c r="N122" s="433">
        <f>L122/'Исп. коэффициенты'!E52*(C125+C126)</f>
        <v>1.0744883993142728E-2</v>
      </c>
      <c r="O122" s="291" t="s">
        <v>1668</v>
      </c>
      <c r="P122" s="291">
        <v>6750</v>
      </c>
      <c r="Q122" s="291">
        <v>19.670000000000002</v>
      </c>
      <c r="R122" s="291">
        <v>1327.73</v>
      </c>
      <c r="S122" s="433">
        <f>R122/'Исп. коэффициенты'!E52*C125</f>
        <v>7.5085814864291542E-2</v>
      </c>
      <c r="T122" s="291"/>
      <c r="U122" s="291"/>
      <c r="V122" s="291"/>
      <c r="W122" s="372"/>
      <c r="X122" s="291"/>
      <c r="Y122" s="291"/>
      <c r="Z122" s="291"/>
      <c r="AA122" s="284"/>
      <c r="AB122" s="284"/>
      <c r="AC122" s="377"/>
      <c r="AD122" s="263"/>
      <c r="AE122" s="261"/>
      <c r="AF122" s="365"/>
      <c r="AG122" s="366"/>
      <c r="AH122" s="366"/>
      <c r="AI122" s="366"/>
      <c r="AJ122" s="367"/>
      <c r="AK122" s="366"/>
      <c r="AL122" s="368"/>
      <c r="AM122" s="373"/>
      <c r="AN122" s="366"/>
      <c r="AO122" s="369"/>
      <c r="AP122" s="366"/>
      <c r="AQ122" s="366"/>
      <c r="AR122" s="369"/>
      <c r="AS122" s="369"/>
      <c r="AT122" s="366"/>
      <c r="AU122" s="366"/>
      <c r="AV122" s="369"/>
      <c r="AW122" s="366"/>
      <c r="AX122" s="366"/>
      <c r="AY122" s="366"/>
      <c r="AZ122" s="366"/>
      <c r="BA122" s="366"/>
    </row>
    <row r="123" spans="1:53" s="371" customFormat="1" ht="12.75" customHeight="1" x14ac:dyDescent="0.25">
      <c r="A123" s="1013"/>
      <c r="B123" s="286" t="s">
        <v>1179</v>
      </c>
      <c r="C123" s="277">
        <f>C113</f>
        <v>19.495759833054819</v>
      </c>
      <c r="D123" s="336"/>
      <c r="E123" s="300" t="s">
        <v>2112</v>
      </c>
      <c r="F123" s="301" t="s">
        <v>1</v>
      </c>
      <c r="G123" s="302">
        <v>0.47</v>
      </c>
      <c r="H123" s="302">
        <v>10</v>
      </c>
      <c r="I123" s="303">
        <f>G123*H123</f>
        <v>4.6999999999999993</v>
      </c>
      <c r="J123" s="290" t="s">
        <v>1513</v>
      </c>
      <c r="K123" s="292">
        <v>2</v>
      </c>
      <c r="L123" s="292">
        <v>25</v>
      </c>
      <c r="M123" s="304">
        <v>0.5</v>
      </c>
      <c r="N123" s="433">
        <f>L123/'Исп. коэффициенты'!E52*(C125+C126)</f>
        <v>2.8276010508270339E-3</v>
      </c>
      <c r="O123" s="291"/>
      <c r="P123" s="291"/>
      <c r="Q123" s="372"/>
      <c r="R123" s="291"/>
      <c r="S123" s="291"/>
      <c r="T123" s="291"/>
      <c r="U123" s="291"/>
      <c r="V123" s="291"/>
      <c r="W123" s="372"/>
      <c r="X123" s="291"/>
      <c r="Y123" s="291"/>
      <c r="Z123" s="291"/>
      <c r="AA123" s="284"/>
      <c r="AB123" s="284"/>
      <c r="AC123" s="377"/>
      <c r="AD123" s="263"/>
      <c r="AE123" s="261"/>
      <c r="AF123" s="365"/>
      <c r="AG123" s="366"/>
      <c r="AH123" s="366"/>
      <c r="AI123" s="366"/>
      <c r="AJ123" s="367"/>
      <c r="AK123" s="366"/>
      <c r="AL123" s="368"/>
      <c r="AM123" s="366"/>
      <c r="AN123" s="366"/>
      <c r="AO123" s="369"/>
      <c r="AP123" s="366"/>
      <c r="AQ123" s="366"/>
      <c r="AR123" s="369"/>
      <c r="AS123" s="369"/>
      <c r="AT123" s="366"/>
      <c r="AU123" s="366"/>
      <c r="AV123" s="369"/>
      <c r="AW123" s="366"/>
      <c r="AX123" s="366"/>
      <c r="AY123" s="366"/>
      <c r="AZ123" s="366"/>
      <c r="BA123" s="366"/>
    </row>
    <row r="124" spans="1:53" s="371" customFormat="1" ht="12.75" customHeight="1" x14ac:dyDescent="0.25">
      <c r="A124" s="1013"/>
      <c r="B124" s="286" t="s">
        <v>831</v>
      </c>
      <c r="C124" s="313"/>
      <c r="D124" s="336"/>
      <c r="E124" s="300" t="s">
        <v>9</v>
      </c>
      <c r="F124" s="376" t="s">
        <v>1441</v>
      </c>
      <c r="G124" s="302">
        <v>0.68</v>
      </c>
      <c r="H124" s="301">
        <v>1</v>
      </c>
      <c r="I124" s="303">
        <f t="shared" ref="I124" si="11">G124*H124</f>
        <v>0.68</v>
      </c>
      <c r="J124" s="290"/>
      <c r="K124" s="374"/>
      <c r="L124" s="292"/>
      <c r="M124" s="292"/>
      <c r="N124" s="292"/>
      <c r="O124" s="291"/>
      <c r="P124" s="291"/>
      <c r="Q124" s="372"/>
      <c r="R124" s="291"/>
      <c r="S124" s="291"/>
      <c r="T124" s="291"/>
      <c r="U124" s="291"/>
      <c r="V124" s="291"/>
      <c r="W124" s="372"/>
      <c r="X124" s="291"/>
      <c r="Y124" s="291"/>
      <c r="Z124" s="291"/>
      <c r="AA124" s="284"/>
      <c r="AB124" s="284"/>
      <c r="AC124" s="377"/>
      <c r="AD124" s="263"/>
      <c r="AE124" s="261"/>
      <c r="AF124" s="365"/>
      <c r="AG124" s="366"/>
      <c r="AH124" s="366"/>
      <c r="AI124" s="366"/>
      <c r="AJ124" s="367"/>
      <c r="AK124" s="366"/>
      <c r="AL124" s="368"/>
      <c r="AM124" s="366"/>
      <c r="AN124" s="366"/>
      <c r="AO124" s="369"/>
      <c r="AP124" s="366"/>
      <c r="AQ124" s="366"/>
      <c r="AR124" s="369"/>
      <c r="AS124" s="369"/>
      <c r="AT124" s="366"/>
      <c r="AU124" s="366"/>
      <c r="AV124" s="369"/>
      <c r="AW124" s="366"/>
      <c r="AX124" s="366"/>
      <c r="AY124" s="366"/>
      <c r="AZ124" s="366"/>
      <c r="BA124" s="366"/>
    </row>
    <row r="125" spans="1:53" s="371" customFormat="1" ht="12.75" customHeight="1" x14ac:dyDescent="0.25">
      <c r="A125" s="1013"/>
      <c r="B125" s="309" t="s">
        <v>1178</v>
      </c>
      <c r="C125" s="314">
        <v>0.6</v>
      </c>
      <c r="D125" s="336"/>
      <c r="E125" s="300"/>
      <c r="F125" s="301"/>
      <c r="G125" s="302"/>
      <c r="H125" s="301"/>
      <c r="I125" s="303"/>
      <c r="J125" s="290"/>
      <c r="K125" s="374"/>
      <c r="L125" s="292"/>
      <c r="M125" s="292"/>
      <c r="N125" s="292"/>
      <c r="O125" s="291"/>
      <c r="P125" s="291"/>
      <c r="Q125" s="372"/>
      <c r="R125" s="291"/>
      <c r="S125" s="291"/>
      <c r="T125" s="291"/>
      <c r="U125" s="291"/>
      <c r="V125" s="291"/>
      <c r="W125" s="372"/>
      <c r="X125" s="291"/>
      <c r="Y125" s="291"/>
      <c r="Z125" s="291"/>
      <c r="AA125" s="284"/>
      <c r="AB125" s="284"/>
      <c r="AC125" s="377"/>
      <c r="AD125" s="263"/>
      <c r="AE125" s="261"/>
      <c r="AF125" s="365"/>
      <c r="AG125" s="366"/>
      <c r="AH125" s="366"/>
      <c r="AI125" s="366"/>
      <c r="AJ125" s="375"/>
      <c r="AK125" s="366"/>
      <c r="AL125" s="368"/>
      <c r="AM125" s="366"/>
      <c r="AN125" s="366"/>
      <c r="AO125" s="369"/>
      <c r="AP125" s="366"/>
      <c r="AQ125" s="366"/>
      <c r="AR125" s="369"/>
      <c r="AS125" s="369"/>
      <c r="AT125" s="366"/>
      <c r="AU125" s="366"/>
      <c r="AV125" s="369"/>
      <c r="AW125" s="366"/>
      <c r="AX125" s="366"/>
      <c r="AY125" s="366"/>
      <c r="AZ125" s="366"/>
      <c r="BA125" s="366"/>
    </row>
    <row r="126" spans="1:53" s="371" customFormat="1" ht="12.75" customHeight="1" x14ac:dyDescent="0.25">
      <c r="A126" s="1013"/>
      <c r="B126" s="286" t="s">
        <v>1179</v>
      </c>
      <c r="C126" s="314">
        <v>0.6</v>
      </c>
      <c r="D126" s="336"/>
      <c r="E126" s="300"/>
      <c r="F126" s="376"/>
      <c r="G126" s="302"/>
      <c r="H126" s="301"/>
      <c r="I126" s="303"/>
      <c r="J126" s="290"/>
      <c r="K126" s="374"/>
      <c r="L126" s="292"/>
      <c r="M126" s="292"/>
      <c r="N126" s="292"/>
      <c r="O126" s="291"/>
      <c r="P126" s="291"/>
      <c r="Q126" s="372"/>
      <c r="R126" s="291"/>
      <c r="S126" s="291"/>
      <c r="T126" s="291"/>
      <c r="U126" s="291"/>
      <c r="V126" s="291"/>
      <c r="W126" s="372"/>
      <c r="X126" s="291"/>
      <c r="Y126" s="291"/>
      <c r="Z126" s="291"/>
      <c r="AA126" s="284"/>
      <c r="AB126" s="284"/>
      <c r="AC126" s="377"/>
      <c r="AD126" s="263"/>
      <c r="AE126" s="261"/>
      <c r="AF126" s="365"/>
      <c r="AG126" s="366"/>
      <c r="AH126" s="366"/>
      <c r="AI126" s="366"/>
      <c r="AJ126" s="375"/>
      <c r="AK126" s="366"/>
      <c r="AL126" s="368"/>
      <c r="AM126" s="366"/>
      <c r="AN126" s="366"/>
      <c r="AO126" s="369"/>
      <c r="AP126" s="366"/>
      <c r="AQ126" s="366"/>
      <c r="AR126" s="369"/>
      <c r="AS126" s="369"/>
      <c r="AT126" s="366"/>
      <c r="AU126" s="366"/>
      <c r="AV126" s="369"/>
      <c r="AW126" s="366"/>
      <c r="AX126" s="366"/>
      <c r="AY126" s="366"/>
      <c r="AZ126" s="366"/>
      <c r="BA126" s="366"/>
    </row>
    <row r="127" spans="1:53" s="371" customFormat="1" ht="12.75" customHeight="1" x14ac:dyDescent="0.25">
      <c r="A127" s="1013"/>
      <c r="B127" s="315" t="s">
        <v>1181</v>
      </c>
      <c r="C127" s="277">
        <f>C122*C125+C123*C126</f>
        <v>31.8980815711734</v>
      </c>
      <c r="D127" s="336"/>
      <c r="E127" s="300"/>
      <c r="F127" s="376"/>
      <c r="G127" s="302"/>
      <c r="H127" s="301"/>
      <c r="I127" s="303"/>
      <c r="J127" s="290"/>
      <c r="K127" s="374"/>
      <c r="L127" s="292"/>
      <c r="M127" s="292"/>
      <c r="N127" s="292"/>
      <c r="O127" s="291"/>
      <c r="P127" s="291"/>
      <c r="Q127" s="372"/>
      <c r="R127" s="291"/>
      <c r="S127" s="291"/>
      <c r="T127" s="291"/>
      <c r="U127" s="291"/>
      <c r="V127" s="291"/>
      <c r="W127" s="372"/>
      <c r="X127" s="291"/>
      <c r="Y127" s="291"/>
      <c r="Z127" s="291"/>
      <c r="AA127" s="284"/>
      <c r="AB127" s="284"/>
      <c r="AC127" s="377"/>
      <c r="AD127" s="263"/>
      <c r="AE127" s="261"/>
      <c r="AF127" s="365"/>
      <c r="AG127" s="366"/>
      <c r="AH127" s="366"/>
      <c r="AI127" s="366"/>
      <c r="AJ127" s="367"/>
      <c r="AK127" s="366"/>
      <c r="AL127" s="368"/>
      <c r="AM127" s="366"/>
      <c r="AN127" s="366"/>
      <c r="AO127" s="369"/>
      <c r="AP127" s="366"/>
      <c r="AQ127" s="366"/>
      <c r="AR127" s="369"/>
      <c r="AS127" s="369"/>
      <c r="AT127" s="366"/>
      <c r="AU127" s="366"/>
      <c r="AV127" s="369"/>
      <c r="AW127" s="366"/>
      <c r="AX127" s="366"/>
      <c r="AY127" s="366"/>
      <c r="AZ127" s="366"/>
      <c r="BA127" s="366"/>
    </row>
    <row r="128" spans="1:53" s="371" customFormat="1" ht="12.75" customHeight="1" x14ac:dyDescent="0.25">
      <c r="A128" s="1014"/>
      <c r="B128" s="315"/>
      <c r="C128" s="314"/>
      <c r="D128" s="337"/>
      <c r="E128" s="300"/>
      <c r="F128" s="376"/>
      <c r="G128" s="302"/>
      <c r="H128" s="301"/>
      <c r="I128" s="303"/>
      <c r="J128" s="290"/>
      <c r="K128" s="374"/>
      <c r="L128" s="292"/>
      <c r="M128" s="292"/>
      <c r="N128" s="292"/>
      <c r="O128" s="291"/>
      <c r="P128" s="291"/>
      <c r="Q128" s="372"/>
      <c r="R128" s="291"/>
      <c r="S128" s="291"/>
      <c r="T128" s="291"/>
      <c r="U128" s="291"/>
      <c r="V128" s="291"/>
      <c r="W128" s="372"/>
      <c r="X128" s="291"/>
      <c r="Y128" s="291"/>
      <c r="Z128" s="291"/>
      <c r="AA128" s="284"/>
      <c r="AB128" s="284"/>
      <c r="AC128" s="377"/>
      <c r="AD128" s="263"/>
      <c r="AE128" s="261"/>
      <c r="AF128" s="365"/>
      <c r="AG128" s="366"/>
      <c r="AH128" s="366"/>
      <c r="AI128" s="366"/>
      <c r="AJ128" s="375"/>
      <c r="AK128" s="366"/>
      <c r="AL128" s="368"/>
      <c r="AM128" s="366"/>
      <c r="AN128" s="366"/>
      <c r="AO128" s="369"/>
      <c r="AP128" s="366"/>
      <c r="AQ128" s="366"/>
      <c r="AR128" s="369"/>
      <c r="AS128" s="369"/>
      <c r="AT128" s="366"/>
      <c r="AU128" s="366"/>
      <c r="AV128" s="369"/>
      <c r="AW128" s="366"/>
      <c r="AX128" s="366"/>
      <c r="AY128" s="366"/>
      <c r="AZ128" s="366"/>
      <c r="BA128" s="366"/>
    </row>
    <row r="129" spans="1:53" ht="56.25" customHeight="1" x14ac:dyDescent="0.25">
      <c r="A129" s="1012" t="s">
        <v>234</v>
      </c>
      <c r="B129" s="353" t="s">
        <v>1256</v>
      </c>
      <c r="C129" s="277"/>
      <c r="D129" s="287"/>
      <c r="E129" s="278" t="s">
        <v>488</v>
      </c>
      <c r="F129" s="279" t="s">
        <v>837</v>
      </c>
      <c r="G129" s="277" t="s">
        <v>489</v>
      </c>
      <c r="H129" s="278" t="s">
        <v>1170</v>
      </c>
      <c r="I129" s="279" t="s">
        <v>838</v>
      </c>
      <c r="J129" s="280" t="s">
        <v>1171</v>
      </c>
      <c r="K129" s="280" t="s">
        <v>490</v>
      </c>
      <c r="L129" s="281" t="s">
        <v>489</v>
      </c>
      <c r="M129" s="280" t="s">
        <v>1172</v>
      </c>
      <c r="N129" s="354" t="s">
        <v>838</v>
      </c>
      <c r="O129" s="280" t="s">
        <v>1171</v>
      </c>
      <c r="P129" s="280" t="s">
        <v>826</v>
      </c>
      <c r="Q129" s="282" t="s">
        <v>1173</v>
      </c>
      <c r="R129" s="280" t="s">
        <v>1174</v>
      </c>
      <c r="S129" s="280" t="s">
        <v>839</v>
      </c>
      <c r="T129" s="280" t="s">
        <v>1171</v>
      </c>
      <c r="U129" s="280" t="s">
        <v>1392</v>
      </c>
      <c r="V129" s="282" t="s">
        <v>1173</v>
      </c>
      <c r="W129" s="280" t="s">
        <v>841</v>
      </c>
      <c r="X129" s="280" t="s">
        <v>1394</v>
      </c>
      <c r="Y129" s="280" t="s">
        <v>839</v>
      </c>
      <c r="Z129" s="283"/>
      <c r="AA129" s="284"/>
      <c r="AB129" s="284"/>
      <c r="AC129" s="377"/>
      <c r="AD129" s="263"/>
      <c r="AQ129" s="355"/>
      <c r="AR129" s="355"/>
      <c r="AS129" s="355"/>
    </row>
    <row r="130" spans="1:53" s="270" customFormat="1" ht="12" customHeight="1" x14ac:dyDescent="0.25">
      <c r="A130" s="1013"/>
      <c r="B130" s="285" t="s">
        <v>1175</v>
      </c>
      <c r="C130" s="277">
        <f>C137</f>
        <v>23.285450281249652</v>
      </c>
      <c r="D130" s="336">
        <f>C130*$D$5</f>
        <v>4.7036609568124303</v>
      </c>
      <c r="E130" s="286" t="s">
        <v>1176</v>
      </c>
      <c r="F130" s="356"/>
      <c r="G130" s="288"/>
      <c r="H130" s="288"/>
      <c r="I130" s="289">
        <f>SUM(I131:I138)</f>
        <v>11.055</v>
      </c>
      <c r="J130" s="290" t="s">
        <v>1176</v>
      </c>
      <c r="K130" s="357"/>
      <c r="L130" s="291"/>
      <c r="M130" s="291"/>
      <c r="N130" s="433">
        <f>SUM(N131:N138)</f>
        <v>6.5600344379187187E-2</v>
      </c>
      <c r="O130" s="291" t="s">
        <v>1176</v>
      </c>
      <c r="P130" s="291"/>
      <c r="Q130" s="372"/>
      <c r="R130" s="294"/>
      <c r="S130" s="433">
        <f>SUM(S131:S138)</f>
        <v>8.3428557511388363E-2</v>
      </c>
      <c r="T130" s="291" t="s">
        <v>1176</v>
      </c>
      <c r="U130" s="307"/>
      <c r="V130" s="308"/>
      <c r="W130" s="306"/>
      <c r="X130" s="292"/>
      <c r="Y130" s="433">
        <f>SUM(Y131:Y138)</f>
        <v>3.4791353150744957</v>
      </c>
      <c r="Z130" s="296">
        <f>(C130+D130+I130+N130+Y130+S130)*$Z$5</f>
        <v>55.481967370175092</v>
      </c>
      <c r="AA130" s="297">
        <f>C130+D130+I130+N130+S130+Y130+Z130</f>
        <v>98.154242825202246</v>
      </c>
      <c r="AB130" s="298">
        <v>0.25</v>
      </c>
      <c r="AC130" s="358">
        <f>AA130*(1+AB130)</f>
        <v>122.6928035315028</v>
      </c>
      <c r="AD130" s="265"/>
      <c r="AE130" s="261"/>
      <c r="AF130" s="262"/>
      <c r="AG130" s="263"/>
      <c r="AH130" s="263"/>
      <c r="AI130" s="355"/>
      <c r="AJ130" s="359"/>
      <c r="AK130" s="360"/>
      <c r="AL130" s="264"/>
      <c r="AM130" s="361"/>
      <c r="AN130" s="143"/>
      <c r="AO130" s="362"/>
      <c r="AP130" s="363"/>
      <c r="AQ130" s="363"/>
      <c r="AR130" s="363"/>
      <c r="AS130" s="363"/>
      <c r="AT130" s="363"/>
      <c r="AU130" s="362"/>
      <c r="AV130" s="362"/>
      <c r="AW130" s="364"/>
      <c r="AX130" s="272"/>
      <c r="AY130" s="272"/>
      <c r="AZ130" s="272"/>
      <c r="BA130" s="272"/>
    </row>
    <row r="131" spans="1:53" s="371" customFormat="1" ht="12.75" customHeight="1" x14ac:dyDescent="0.25">
      <c r="A131" s="1013"/>
      <c r="B131" s="299" t="s">
        <v>830</v>
      </c>
      <c r="C131" s="277"/>
      <c r="D131" s="336"/>
      <c r="E131" s="300" t="s">
        <v>2186</v>
      </c>
      <c r="F131" s="301" t="s">
        <v>1441</v>
      </c>
      <c r="G131" s="302">
        <v>5.36</v>
      </c>
      <c r="H131" s="301">
        <v>1</v>
      </c>
      <c r="I131" s="303">
        <f>G131*H131</f>
        <v>5.36</v>
      </c>
      <c r="J131" s="290" t="s">
        <v>1291</v>
      </c>
      <c r="K131" s="304">
        <v>2</v>
      </c>
      <c r="L131" s="305">
        <v>750</v>
      </c>
      <c r="M131" s="304">
        <v>2</v>
      </c>
      <c r="N131" s="433">
        <f>L131/'Исп. коэффициенты'!E52*(C135+C136)</f>
        <v>5.6552021016540679E-2</v>
      </c>
      <c r="O131" s="291" t="s">
        <v>1667</v>
      </c>
      <c r="P131" s="291">
        <v>4500</v>
      </c>
      <c r="Q131" s="291">
        <v>19.670000000000002</v>
      </c>
      <c r="R131" s="291">
        <v>885.15</v>
      </c>
      <c r="S131" s="433">
        <f>R131/'Исп. коэффициенты'!E52*C135</f>
        <v>3.3371347601860654E-2</v>
      </c>
      <c r="T131" s="306" t="s">
        <v>1435</v>
      </c>
      <c r="U131" s="307">
        <v>6785401.3499999996</v>
      </c>
      <c r="V131" s="308">
        <v>1.3599999999999999E-2</v>
      </c>
      <c r="W131" s="306">
        <f>'Исп. коэффициенты'!E124</f>
        <v>2978.5</v>
      </c>
      <c r="X131" s="433">
        <f>U131*V131</f>
        <v>92281.45835999999</v>
      </c>
      <c r="Y131" s="295">
        <f>X131/'Исп. коэффициенты'!E52*C135</f>
        <v>3.4791353150744957</v>
      </c>
      <c r="Z131" s="291"/>
      <c r="AA131" s="284"/>
      <c r="AB131" s="284"/>
      <c r="AC131" s="377"/>
      <c r="AD131" s="263"/>
      <c r="AE131" s="261"/>
      <c r="AF131" s="365"/>
      <c r="AG131" s="366"/>
      <c r="AH131" s="366"/>
      <c r="AI131" s="366"/>
      <c r="AJ131" s="367"/>
      <c r="AK131" s="366"/>
      <c r="AL131" s="368"/>
      <c r="AM131" s="366"/>
      <c r="AN131" s="366"/>
      <c r="AO131" s="369"/>
      <c r="AP131" s="366"/>
      <c r="AQ131" s="366"/>
      <c r="AR131" s="369"/>
      <c r="AS131" s="369"/>
      <c r="AT131" s="370"/>
      <c r="AU131" s="366"/>
      <c r="AV131" s="369"/>
      <c r="AW131" s="366"/>
      <c r="AX131" s="366"/>
      <c r="AY131" s="366"/>
      <c r="AZ131" s="366"/>
      <c r="BA131" s="366"/>
    </row>
    <row r="132" spans="1:53" s="371" customFormat="1" x14ac:dyDescent="0.25">
      <c r="A132" s="1013"/>
      <c r="B132" s="309" t="s">
        <v>1178</v>
      </c>
      <c r="C132" s="310">
        <f>C61</f>
        <v>38.717865870069311</v>
      </c>
      <c r="D132" s="336"/>
      <c r="E132" s="300" t="s">
        <v>2187</v>
      </c>
      <c r="F132" s="301" t="s">
        <v>1</v>
      </c>
      <c r="G132" s="302">
        <v>6.3E-2</v>
      </c>
      <c r="H132" s="301">
        <v>5</v>
      </c>
      <c r="I132" s="303">
        <f>G132*H132</f>
        <v>0.315</v>
      </c>
      <c r="J132" s="290" t="s">
        <v>1445</v>
      </c>
      <c r="K132" s="292">
        <v>2</v>
      </c>
      <c r="L132" s="311">
        <v>95</v>
      </c>
      <c r="M132" s="304">
        <v>2</v>
      </c>
      <c r="N132" s="433">
        <f>L132/'Исп. коэффициенты'!E52*(C135+C136)</f>
        <v>7.1632559954284865E-3</v>
      </c>
      <c r="O132" s="291" t="s">
        <v>1668</v>
      </c>
      <c r="P132" s="291">
        <v>6750</v>
      </c>
      <c r="Q132" s="291">
        <v>19.670000000000002</v>
      </c>
      <c r="R132" s="291">
        <v>1327.73</v>
      </c>
      <c r="S132" s="433">
        <f>R132/'Исп. коэффициенты'!E52*C135</f>
        <v>5.0057209909527701E-2</v>
      </c>
      <c r="T132" s="291"/>
      <c r="U132" s="291"/>
      <c r="V132" s="291"/>
      <c r="W132" s="372"/>
      <c r="X132" s="291"/>
      <c r="Y132" s="291"/>
      <c r="Z132" s="291"/>
      <c r="AA132" s="284"/>
      <c r="AB132" s="284"/>
      <c r="AC132" s="377"/>
      <c r="AD132" s="263"/>
      <c r="AE132" s="261"/>
      <c r="AF132" s="365"/>
      <c r="AG132" s="366"/>
      <c r="AH132" s="366"/>
      <c r="AI132" s="366"/>
      <c r="AJ132" s="367"/>
      <c r="AK132" s="366"/>
      <c r="AL132" s="368"/>
      <c r="AM132" s="373"/>
      <c r="AN132" s="366"/>
      <c r="AO132" s="369"/>
      <c r="AP132" s="366"/>
      <c r="AQ132" s="366"/>
      <c r="AR132" s="369"/>
      <c r="AS132" s="369"/>
      <c r="AT132" s="366"/>
      <c r="AU132" s="366"/>
      <c r="AV132" s="369"/>
      <c r="AW132" s="366"/>
      <c r="AX132" s="366"/>
      <c r="AY132" s="366"/>
      <c r="AZ132" s="366"/>
      <c r="BA132" s="366"/>
    </row>
    <row r="133" spans="1:53" s="371" customFormat="1" ht="12.75" customHeight="1" x14ac:dyDescent="0.25">
      <c r="A133" s="1013"/>
      <c r="B133" s="286" t="s">
        <v>1179</v>
      </c>
      <c r="C133" s="277">
        <f>C123</f>
        <v>19.495759833054819</v>
      </c>
      <c r="D133" s="336"/>
      <c r="E133" s="300" t="s">
        <v>2112</v>
      </c>
      <c r="F133" s="301" t="s">
        <v>1</v>
      </c>
      <c r="G133" s="302">
        <v>0.47</v>
      </c>
      <c r="H133" s="302">
        <v>10</v>
      </c>
      <c r="I133" s="303">
        <f>G133*H133</f>
        <v>4.6999999999999993</v>
      </c>
      <c r="J133" s="290" t="s">
        <v>1513</v>
      </c>
      <c r="K133" s="292">
        <v>2</v>
      </c>
      <c r="L133" s="292">
        <v>25</v>
      </c>
      <c r="M133" s="304">
        <v>0.5</v>
      </c>
      <c r="N133" s="433">
        <f>L133/'Исп. коэффициенты'!E52*(C135+C136)</f>
        <v>1.8850673672180227E-3</v>
      </c>
      <c r="O133" s="291"/>
      <c r="P133" s="291"/>
      <c r="Q133" s="372"/>
      <c r="R133" s="291"/>
      <c r="S133" s="291"/>
      <c r="T133" s="291"/>
      <c r="U133" s="291"/>
      <c r="V133" s="291"/>
      <c r="W133" s="372"/>
      <c r="X133" s="291"/>
      <c r="Y133" s="291"/>
      <c r="Z133" s="291"/>
      <c r="AA133" s="284"/>
      <c r="AB133" s="284"/>
      <c r="AC133" s="377"/>
      <c r="AD133" s="263"/>
      <c r="AE133" s="261"/>
      <c r="AF133" s="365"/>
      <c r="AG133" s="366"/>
      <c r="AH133" s="366"/>
      <c r="AI133" s="366"/>
      <c r="AJ133" s="367"/>
      <c r="AK133" s="366"/>
      <c r="AL133" s="368"/>
      <c r="AM133" s="366"/>
      <c r="AN133" s="366"/>
      <c r="AO133" s="369"/>
      <c r="AP133" s="366"/>
      <c r="AQ133" s="366"/>
      <c r="AR133" s="369"/>
      <c r="AS133" s="369"/>
      <c r="AT133" s="366"/>
      <c r="AU133" s="366"/>
      <c r="AV133" s="369"/>
      <c r="AW133" s="366"/>
      <c r="AX133" s="366"/>
      <c r="AY133" s="366"/>
      <c r="AZ133" s="366"/>
      <c r="BA133" s="366"/>
    </row>
    <row r="134" spans="1:53" s="371" customFormat="1" ht="12.75" customHeight="1" x14ac:dyDescent="0.25">
      <c r="A134" s="1013"/>
      <c r="B134" s="286" t="s">
        <v>831</v>
      </c>
      <c r="C134" s="313"/>
      <c r="D134" s="336"/>
      <c r="E134" s="300" t="s">
        <v>9</v>
      </c>
      <c r="F134" s="376" t="s">
        <v>1441</v>
      </c>
      <c r="G134" s="302">
        <v>0.68</v>
      </c>
      <c r="H134" s="301">
        <v>1</v>
      </c>
      <c r="I134" s="303">
        <f t="shared" ref="I134" si="12">G134*H134</f>
        <v>0.68</v>
      </c>
      <c r="J134" s="290"/>
      <c r="K134" s="374"/>
      <c r="L134" s="292"/>
      <c r="M134" s="292"/>
      <c r="N134" s="292"/>
      <c r="O134" s="291"/>
      <c r="P134" s="291"/>
      <c r="Q134" s="372"/>
      <c r="R134" s="291"/>
      <c r="S134" s="291"/>
      <c r="T134" s="291"/>
      <c r="U134" s="291"/>
      <c r="V134" s="291"/>
      <c r="W134" s="372"/>
      <c r="X134" s="291"/>
      <c r="Y134" s="291"/>
      <c r="Z134" s="291"/>
      <c r="AA134" s="284"/>
      <c r="AB134" s="284"/>
      <c r="AC134" s="377"/>
      <c r="AD134" s="263"/>
      <c r="AE134" s="261"/>
      <c r="AF134" s="365"/>
      <c r="AG134" s="366"/>
      <c r="AH134" s="366"/>
      <c r="AI134" s="366"/>
      <c r="AJ134" s="367"/>
      <c r="AK134" s="366"/>
      <c r="AL134" s="368"/>
      <c r="AM134" s="366"/>
      <c r="AN134" s="366"/>
      <c r="AO134" s="369"/>
      <c r="AP134" s="366"/>
      <c r="AQ134" s="366"/>
      <c r="AR134" s="369"/>
      <c r="AS134" s="369"/>
      <c r="AT134" s="366"/>
      <c r="AU134" s="366"/>
      <c r="AV134" s="369"/>
      <c r="AW134" s="366"/>
      <c r="AX134" s="366"/>
      <c r="AY134" s="366"/>
      <c r="AZ134" s="366"/>
      <c r="BA134" s="366"/>
    </row>
    <row r="135" spans="1:53" s="371" customFormat="1" ht="12.75" customHeight="1" x14ac:dyDescent="0.25">
      <c r="A135" s="1013"/>
      <c r="B135" s="309" t="s">
        <v>1178</v>
      </c>
      <c r="C135" s="314">
        <v>0.4</v>
      </c>
      <c r="D135" s="336"/>
      <c r="E135" s="300"/>
      <c r="F135" s="301"/>
      <c r="G135" s="302"/>
      <c r="H135" s="301"/>
      <c r="I135" s="303"/>
      <c r="J135" s="290"/>
      <c r="K135" s="374"/>
      <c r="L135" s="292"/>
      <c r="M135" s="292"/>
      <c r="N135" s="292"/>
      <c r="O135" s="291"/>
      <c r="P135" s="291"/>
      <c r="Q135" s="372"/>
      <c r="R135" s="291"/>
      <c r="S135" s="291"/>
      <c r="T135" s="291"/>
      <c r="U135" s="291"/>
      <c r="V135" s="291"/>
      <c r="W135" s="372"/>
      <c r="X135" s="291"/>
      <c r="Y135" s="291"/>
      <c r="Z135" s="291"/>
      <c r="AA135" s="284"/>
      <c r="AB135" s="284"/>
      <c r="AC135" s="377"/>
      <c r="AD135" s="263"/>
      <c r="AE135" s="261"/>
      <c r="AF135" s="365"/>
      <c r="AG135" s="366"/>
      <c r="AH135" s="366"/>
      <c r="AI135" s="366"/>
      <c r="AJ135" s="375"/>
      <c r="AK135" s="366"/>
      <c r="AL135" s="368"/>
      <c r="AM135" s="366"/>
      <c r="AN135" s="366"/>
      <c r="AO135" s="369"/>
      <c r="AP135" s="366"/>
      <c r="AQ135" s="366"/>
      <c r="AR135" s="369"/>
      <c r="AS135" s="369"/>
      <c r="AT135" s="366"/>
      <c r="AU135" s="366"/>
      <c r="AV135" s="369"/>
      <c r="AW135" s="366"/>
      <c r="AX135" s="366"/>
      <c r="AY135" s="366"/>
      <c r="AZ135" s="366"/>
      <c r="BA135" s="366"/>
    </row>
    <row r="136" spans="1:53" s="371" customFormat="1" ht="12.75" customHeight="1" x14ac:dyDescent="0.25">
      <c r="A136" s="1013"/>
      <c r="B136" s="286" t="s">
        <v>1179</v>
      </c>
      <c r="C136" s="314">
        <v>0.4</v>
      </c>
      <c r="D136" s="336"/>
      <c r="E136" s="300"/>
      <c r="F136" s="376"/>
      <c r="G136" s="302"/>
      <c r="H136" s="301"/>
      <c r="I136" s="303"/>
      <c r="J136" s="290"/>
      <c r="K136" s="374"/>
      <c r="L136" s="292"/>
      <c r="M136" s="292"/>
      <c r="N136" s="292"/>
      <c r="O136" s="291"/>
      <c r="P136" s="291"/>
      <c r="Q136" s="372"/>
      <c r="R136" s="291"/>
      <c r="S136" s="291"/>
      <c r="T136" s="291"/>
      <c r="U136" s="291"/>
      <c r="V136" s="291"/>
      <c r="W136" s="372"/>
      <c r="X136" s="291"/>
      <c r="Y136" s="291"/>
      <c r="Z136" s="291"/>
      <c r="AA136" s="284"/>
      <c r="AB136" s="284"/>
      <c r="AC136" s="377"/>
      <c r="AD136" s="263"/>
      <c r="AE136" s="261"/>
      <c r="AF136" s="365"/>
      <c r="AG136" s="366"/>
      <c r="AH136" s="366"/>
      <c r="AI136" s="366"/>
      <c r="AJ136" s="375"/>
      <c r="AK136" s="366"/>
      <c r="AL136" s="368"/>
      <c r="AM136" s="366"/>
      <c r="AN136" s="366"/>
      <c r="AO136" s="369"/>
      <c r="AP136" s="366"/>
      <c r="AQ136" s="366"/>
      <c r="AR136" s="369"/>
      <c r="AS136" s="369"/>
      <c r="AT136" s="366"/>
      <c r="AU136" s="366"/>
      <c r="AV136" s="369"/>
      <c r="AW136" s="366"/>
      <c r="AX136" s="366"/>
      <c r="AY136" s="366"/>
      <c r="AZ136" s="366"/>
      <c r="BA136" s="366"/>
    </row>
    <row r="137" spans="1:53" s="371" customFormat="1" ht="12.75" customHeight="1" x14ac:dyDescent="0.25">
      <c r="A137" s="1013"/>
      <c r="B137" s="315" t="s">
        <v>1181</v>
      </c>
      <c r="C137" s="277">
        <f>C132*C135+C133*C136</f>
        <v>23.285450281249652</v>
      </c>
      <c r="D137" s="336"/>
      <c r="E137" s="300"/>
      <c r="F137" s="376"/>
      <c r="G137" s="302"/>
      <c r="H137" s="301"/>
      <c r="I137" s="303"/>
      <c r="J137" s="290"/>
      <c r="K137" s="374"/>
      <c r="L137" s="292"/>
      <c r="M137" s="292"/>
      <c r="N137" s="292"/>
      <c r="O137" s="291"/>
      <c r="P137" s="291"/>
      <c r="Q137" s="372"/>
      <c r="R137" s="291"/>
      <c r="S137" s="291"/>
      <c r="T137" s="291"/>
      <c r="U137" s="291"/>
      <c r="V137" s="291"/>
      <c r="W137" s="372"/>
      <c r="X137" s="291"/>
      <c r="Y137" s="291"/>
      <c r="Z137" s="291"/>
      <c r="AA137" s="284"/>
      <c r="AB137" s="284"/>
      <c r="AC137" s="377"/>
      <c r="AD137" s="263"/>
      <c r="AE137" s="261"/>
      <c r="AF137" s="365"/>
      <c r="AG137" s="366"/>
      <c r="AH137" s="366"/>
      <c r="AI137" s="366"/>
      <c r="AJ137" s="367"/>
      <c r="AK137" s="366"/>
      <c r="AL137" s="368"/>
      <c r="AM137" s="366"/>
      <c r="AN137" s="366"/>
      <c r="AO137" s="369"/>
      <c r="AP137" s="366"/>
      <c r="AQ137" s="366"/>
      <c r="AR137" s="369"/>
      <c r="AS137" s="369"/>
      <c r="AT137" s="366"/>
      <c r="AU137" s="366"/>
      <c r="AV137" s="369"/>
      <c r="AW137" s="366"/>
      <c r="AX137" s="366"/>
      <c r="AY137" s="366"/>
      <c r="AZ137" s="366"/>
      <c r="BA137" s="366"/>
    </row>
    <row r="138" spans="1:53" s="371" customFormat="1" ht="12.75" customHeight="1" x14ac:dyDescent="0.25">
      <c r="A138" s="1014"/>
      <c r="B138" s="315"/>
      <c r="C138" s="314"/>
      <c r="D138" s="337"/>
      <c r="E138" s="300"/>
      <c r="F138" s="376"/>
      <c r="G138" s="302"/>
      <c r="H138" s="301"/>
      <c r="I138" s="303"/>
      <c r="J138" s="290"/>
      <c r="K138" s="374"/>
      <c r="L138" s="292"/>
      <c r="M138" s="292"/>
      <c r="N138" s="292"/>
      <c r="O138" s="291"/>
      <c r="P138" s="291"/>
      <c r="Q138" s="372"/>
      <c r="R138" s="291"/>
      <c r="S138" s="291"/>
      <c r="T138" s="291"/>
      <c r="U138" s="291"/>
      <c r="V138" s="291"/>
      <c r="W138" s="372"/>
      <c r="X138" s="291"/>
      <c r="Y138" s="291"/>
      <c r="Z138" s="291"/>
      <c r="AA138" s="284"/>
      <c r="AB138" s="284"/>
      <c r="AC138" s="377"/>
      <c r="AD138" s="263"/>
      <c r="AE138" s="261"/>
      <c r="AF138" s="365"/>
      <c r="AG138" s="366"/>
      <c r="AH138" s="366"/>
      <c r="AI138" s="366"/>
      <c r="AJ138" s="375"/>
      <c r="AK138" s="366"/>
      <c r="AL138" s="368"/>
      <c r="AM138" s="366"/>
      <c r="AN138" s="366"/>
      <c r="AO138" s="369"/>
      <c r="AP138" s="366"/>
      <c r="AQ138" s="366"/>
      <c r="AR138" s="369"/>
      <c r="AS138" s="369"/>
      <c r="AT138" s="366"/>
      <c r="AU138" s="366"/>
      <c r="AV138" s="369"/>
      <c r="AW138" s="366"/>
      <c r="AX138" s="366"/>
      <c r="AY138" s="366"/>
      <c r="AZ138" s="366"/>
      <c r="BA138" s="366"/>
    </row>
    <row r="139" spans="1:53" ht="56.25" customHeight="1" x14ac:dyDescent="0.25">
      <c r="A139" s="1012" t="s">
        <v>235</v>
      </c>
      <c r="B139" s="353" t="s">
        <v>1272</v>
      </c>
      <c r="C139" s="277"/>
      <c r="D139" s="287"/>
      <c r="E139" s="278" t="s">
        <v>488</v>
      </c>
      <c r="F139" s="279" t="s">
        <v>837</v>
      </c>
      <c r="G139" s="277" t="s">
        <v>489</v>
      </c>
      <c r="H139" s="278" t="s">
        <v>1170</v>
      </c>
      <c r="I139" s="279" t="s">
        <v>838</v>
      </c>
      <c r="J139" s="280" t="s">
        <v>1171</v>
      </c>
      <c r="K139" s="280" t="s">
        <v>490</v>
      </c>
      <c r="L139" s="281" t="s">
        <v>489</v>
      </c>
      <c r="M139" s="280" t="s">
        <v>1172</v>
      </c>
      <c r="N139" s="354" t="s">
        <v>838</v>
      </c>
      <c r="O139" s="280" t="s">
        <v>1171</v>
      </c>
      <c r="P139" s="280" t="s">
        <v>826</v>
      </c>
      <c r="Q139" s="282" t="s">
        <v>1173</v>
      </c>
      <c r="R139" s="280" t="s">
        <v>1174</v>
      </c>
      <c r="S139" s="280" t="s">
        <v>839</v>
      </c>
      <c r="T139" s="280" t="s">
        <v>1171</v>
      </c>
      <c r="U139" s="280" t="s">
        <v>1392</v>
      </c>
      <c r="V139" s="282" t="s">
        <v>1173</v>
      </c>
      <c r="W139" s="280" t="s">
        <v>841</v>
      </c>
      <c r="X139" s="280" t="s">
        <v>1394</v>
      </c>
      <c r="Y139" s="280" t="s">
        <v>839</v>
      </c>
      <c r="Z139" s="283"/>
      <c r="AA139" s="284"/>
      <c r="AB139" s="284"/>
      <c r="AC139" s="377"/>
      <c r="AD139" s="263"/>
      <c r="AQ139" s="355"/>
      <c r="AR139" s="355"/>
      <c r="AS139" s="355"/>
    </row>
    <row r="140" spans="1:53" s="270" customFormat="1" ht="12" customHeight="1" x14ac:dyDescent="0.25">
      <c r="A140" s="1013"/>
      <c r="B140" s="285" t="s">
        <v>1175</v>
      </c>
      <c r="C140" s="277">
        <f>C147</f>
        <v>53.163469285289004</v>
      </c>
      <c r="D140" s="336">
        <f>C140*$D$5</f>
        <v>10.739020795628379</v>
      </c>
      <c r="E140" s="286" t="s">
        <v>1176</v>
      </c>
      <c r="F140" s="356"/>
      <c r="G140" s="288"/>
      <c r="H140" s="288"/>
      <c r="I140" s="289">
        <f>SUM(I141:I148)</f>
        <v>11.055</v>
      </c>
      <c r="J140" s="290" t="s">
        <v>1176</v>
      </c>
      <c r="K140" s="357"/>
      <c r="L140" s="291"/>
      <c r="M140" s="291"/>
      <c r="N140" s="433">
        <f>SUM(N141:N148)</f>
        <v>0.16400086094796795</v>
      </c>
      <c r="O140" s="291" t="s">
        <v>1176</v>
      </c>
      <c r="P140" s="291"/>
      <c r="Q140" s="372"/>
      <c r="R140" s="294"/>
      <c r="S140" s="433">
        <f>SUM(S141:S148)</f>
        <v>0.20857139377847089</v>
      </c>
      <c r="T140" s="291" t="s">
        <v>1176</v>
      </c>
      <c r="U140" s="307"/>
      <c r="V140" s="308"/>
      <c r="W140" s="306"/>
      <c r="X140" s="292"/>
      <c r="Y140" s="433">
        <f>SUM(Y141:Y148)</f>
        <v>8.6978382876862383</v>
      </c>
      <c r="Z140" s="296">
        <f>(C140+D140+I140+N140+Y140+S140)*$Z$5</f>
        <v>109.25204224183659</v>
      </c>
      <c r="AA140" s="297">
        <f>C140+D140+I140+N140+S140+Y140+Z140</f>
        <v>193.27994286516665</v>
      </c>
      <c r="AB140" s="298">
        <v>0.25</v>
      </c>
      <c r="AC140" s="358">
        <f>AA140*(1+AB140)</f>
        <v>241.5999285814583</v>
      </c>
      <c r="AD140" s="265"/>
      <c r="AE140" s="261"/>
      <c r="AF140" s="262"/>
      <c r="AG140" s="263"/>
      <c r="AH140" s="263"/>
      <c r="AI140" s="355"/>
      <c r="AJ140" s="359"/>
      <c r="AK140" s="360"/>
      <c r="AL140" s="264"/>
      <c r="AM140" s="361"/>
      <c r="AN140" s="143"/>
      <c r="AO140" s="362"/>
      <c r="AP140" s="363"/>
      <c r="AQ140" s="363"/>
      <c r="AR140" s="363"/>
      <c r="AS140" s="363"/>
      <c r="AT140" s="363"/>
      <c r="AU140" s="362"/>
      <c r="AV140" s="362"/>
      <c r="AW140" s="364"/>
      <c r="AX140" s="272"/>
      <c r="AY140" s="272"/>
      <c r="AZ140" s="272"/>
      <c r="BA140" s="272"/>
    </row>
    <row r="141" spans="1:53" s="371" customFormat="1" ht="12.75" customHeight="1" x14ac:dyDescent="0.25">
      <c r="A141" s="1013"/>
      <c r="B141" s="299" t="s">
        <v>830</v>
      </c>
      <c r="C141" s="277"/>
      <c r="D141" s="336"/>
      <c r="E141" s="300" t="s">
        <v>2186</v>
      </c>
      <c r="F141" s="301" t="s">
        <v>1441</v>
      </c>
      <c r="G141" s="302">
        <v>5.36</v>
      </c>
      <c r="H141" s="301">
        <v>1</v>
      </c>
      <c r="I141" s="303">
        <f>G141*H141</f>
        <v>5.36</v>
      </c>
      <c r="J141" s="290" t="s">
        <v>1291</v>
      </c>
      <c r="K141" s="304">
        <v>2</v>
      </c>
      <c r="L141" s="305">
        <v>750</v>
      </c>
      <c r="M141" s="304">
        <v>2</v>
      </c>
      <c r="N141" s="433">
        <f>L141/'Исп. коэффициенты'!E52*(C145+C146)</f>
        <v>0.14138005254135169</v>
      </c>
      <c r="O141" s="291" t="s">
        <v>1667</v>
      </c>
      <c r="P141" s="291">
        <v>4500</v>
      </c>
      <c r="Q141" s="291">
        <v>19.670000000000002</v>
      </c>
      <c r="R141" s="291">
        <v>885.15</v>
      </c>
      <c r="S141" s="433">
        <f>R141/'Исп. коэффициенты'!E52*C145</f>
        <v>8.3428369004651629E-2</v>
      </c>
      <c r="T141" s="306" t="s">
        <v>1435</v>
      </c>
      <c r="U141" s="307">
        <v>6785401.3499999996</v>
      </c>
      <c r="V141" s="308">
        <v>1.3599999999999999E-2</v>
      </c>
      <c r="W141" s="306">
        <f>'Исп. коэффициенты'!E124</f>
        <v>2978.5</v>
      </c>
      <c r="X141" s="433">
        <f>U141*V141</f>
        <v>92281.45835999999</v>
      </c>
      <c r="Y141" s="295">
        <f>X141/'Исп. коэффициенты'!E52*C145</f>
        <v>8.6978382876862383</v>
      </c>
      <c r="Z141" s="291"/>
      <c r="AA141" s="284"/>
      <c r="AB141" s="284"/>
      <c r="AC141" s="377"/>
      <c r="AD141" s="263"/>
      <c r="AE141" s="261"/>
      <c r="AF141" s="365"/>
      <c r="AG141" s="366"/>
      <c r="AH141" s="366"/>
      <c r="AI141" s="366"/>
      <c r="AJ141" s="367"/>
      <c r="AK141" s="366"/>
      <c r="AL141" s="368"/>
      <c r="AM141" s="366"/>
      <c r="AN141" s="366"/>
      <c r="AO141" s="369"/>
      <c r="AP141" s="366"/>
      <c r="AQ141" s="366"/>
      <c r="AR141" s="369"/>
      <c r="AS141" s="369"/>
      <c r="AT141" s="370"/>
      <c r="AU141" s="366"/>
      <c r="AV141" s="369"/>
      <c r="AW141" s="366"/>
      <c r="AX141" s="366"/>
      <c r="AY141" s="366"/>
      <c r="AZ141" s="366"/>
      <c r="BA141" s="366"/>
    </row>
    <row r="142" spans="1:53" s="371" customFormat="1" x14ac:dyDescent="0.25">
      <c r="A142" s="1013"/>
      <c r="B142" s="309" t="s">
        <v>1178</v>
      </c>
      <c r="C142" s="310">
        <f>C122</f>
        <v>33.667709452234185</v>
      </c>
      <c r="D142" s="336"/>
      <c r="E142" s="300" t="s">
        <v>2187</v>
      </c>
      <c r="F142" s="301" t="s">
        <v>1</v>
      </c>
      <c r="G142" s="302">
        <v>6.3E-2</v>
      </c>
      <c r="H142" s="301">
        <v>5</v>
      </c>
      <c r="I142" s="303">
        <f>G142*H142</f>
        <v>0.315</v>
      </c>
      <c r="J142" s="290" t="s">
        <v>1445</v>
      </c>
      <c r="K142" s="292">
        <v>2</v>
      </c>
      <c r="L142" s="311">
        <v>95</v>
      </c>
      <c r="M142" s="304">
        <v>2</v>
      </c>
      <c r="N142" s="433">
        <f>L142/'Исп. коэффициенты'!E52*(C145+C146)</f>
        <v>1.7908139988571214E-2</v>
      </c>
      <c r="O142" s="291" t="s">
        <v>1668</v>
      </c>
      <c r="P142" s="291">
        <v>6750</v>
      </c>
      <c r="Q142" s="291">
        <v>19.670000000000002</v>
      </c>
      <c r="R142" s="291">
        <v>1327.73</v>
      </c>
      <c r="S142" s="433">
        <f>R142/'Исп. коэффициенты'!E52*C145</f>
        <v>0.12514302477381925</v>
      </c>
      <c r="T142" s="291"/>
      <c r="U142" s="291"/>
      <c r="V142" s="291"/>
      <c r="W142" s="372"/>
      <c r="X142" s="291"/>
      <c r="Y142" s="291"/>
      <c r="Z142" s="291"/>
      <c r="AA142" s="284"/>
      <c r="AB142" s="284"/>
      <c r="AC142" s="377"/>
      <c r="AD142" s="263"/>
      <c r="AE142" s="261"/>
      <c r="AF142" s="365"/>
      <c r="AG142" s="366"/>
      <c r="AH142" s="366"/>
      <c r="AI142" s="366"/>
      <c r="AJ142" s="367"/>
      <c r="AK142" s="366"/>
      <c r="AL142" s="368"/>
      <c r="AM142" s="373"/>
      <c r="AN142" s="366"/>
      <c r="AO142" s="369"/>
      <c r="AP142" s="366"/>
      <c r="AQ142" s="366"/>
      <c r="AR142" s="369"/>
      <c r="AS142" s="369"/>
      <c r="AT142" s="366"/>
      <c r="AU142" s="366"/>
      <c r="AV142" s="369"/>
      <c r="AW142" s="366"/>
      <c r="AX142" s="366"/>
      <c r="AY142" s="366"/>
      <c r="AZ142" s="366"/>
      <c r="BA142" s="366"/>
    </row>
    <row r="143" spans="1:53" s="371" customFormat="1" ht="12.75" customHeight="1" x14ac:dyDescent="0.25">
      <c r="A143" s="1013"/>
      <c r="B143" s="286" t="s">
        <v>1179</v>
      </c>
      <c r="C143" s="277">
        <f>C133</f>
        <v>19.495759833054819</v>
      </c>
      <c r="D143" s="336"/>
      <c r="E143" s="300" t="s">
        <v>2112</v>
      </c>
      <c r="F143" s="301" t="s">
        <v>1</v>
      </c>
      <c r="G143" s="302">
        <v>0.47</v>
      </c>
      <c r="H143" s="302">
        <v>10</v>
      </c>
      <c r="I143" s="303">
        <f>G143*H143</f>
        <v>4.6999999999999993</v>
      </c>
      <c r="J143" s="290" t="s">
        <v>1513</v>
      </c>
      <c r="K143" s="292">
        <v>2</v>
      </c>
      <c r="L143" s="292">
        <v>25</v>
      </c>
      <c r="M143" s="304">
        <v>0.5</v>
      </c>
      <c r="N143" s="433">
        <f>L143/'Исп. коэффициенты'!E52*(C145+C146)</f>
        <v>4.7126684180450566E-3</v>
      </c>
      <c r="O143" s="291"/>
      <c r="P143" s="291"/>
      <c r="Q143" s="372"/>
      <c r="R143" s="291"/>
      <c r="S143" s="291"/>
      <c r="T143" s="291"/>
      <c r="U143" s="291"/>
      <c r="V143" s="291"/>
      <c r="W143" s="372"/>
      <c r="X143" s="291"/>
      <c r="Y143" s="291"/>
      <c r="Z143" s="291"/>
      <c r="AA143" s="284"/>
      <c r="AB143" s="284"/>
      <c r="AC143" s="377"/>
      <c r="AD143" s="263"/>
      <c r="AE143" s="261"/>
      <c r="AF143" s="365"/>
      <c r="AG143" s="366"/>
      <c r="AH143" s="366"/>
      <c r="AI143" s="366"/>
      <c r="AJ143" s="367"/>
      <c r="AK143" s="366"/>
      <c r="AL143" s="368"/>
      <c r="AM143" s="366"/>
      <c r="AN143" s="366"/>
      <c r="AO143" s="369"/>
      <c r="AP143" s="366"/>
      <c r="AQ143" s="366"/>
      <c r="AR143" s="369"/>
      <c r="AS143" s="369"/>
      <c r="AT143" s="366"/>
      <c r="AU143" s="366"/>
      <c r="AV143" s="369"/>
      <c r="AW143" s="366"/>
      <c r="AX143" s="366"/>
      <c r="AY143" s="366"/>
      <c r="AZ143" s="366"/>
      <c r="BA143" s="366"/>
    </row>
    <row r="144" spans="1:53" s="371" customFormat="1" ht="12.75" customHeight="1" x14ac:dyDescent="0.25">
      <c r="A144" s="1013"/>
      <c r="B144" s="286" t="s">
        <v>831</v>
      </c>
      <c r="C144" s="313"/>
      <c r="D144" s="336"/>
      <c r="E144" s="300" t="s">
        <v>9</v>
      </c>
      <c r="F144" s="376" t="s">
        <v>1441</v>
      </c>
      <c r="G144" s="302">
        <v>0.68</v>
      </c>
      <c r="H144" s="301">
        <v>1</v>
      </c>
      <c r="I144" s="303">
        <f t="shared" ref="I144" si="13">G144*H144</f>
        <v>0.68</v>
      </c>
      <c r="J144" s="290"/>
      <c r="K144" s="374"/>
      <c r="L144" s="292"/>
      <c r="M144" s="292"/>
      <c r="N144" s="292"/>
      <c r="O144" s="291"/>
      <c r="P144" s="291"/>
      <c r="Q144" s="372"/>
      <c r="R144" s="291"/>
      <c r="S144" s="291"/>
      <c r="T144" s="291"/>
      <c r="U144" s="291"/>
      <c r="V144" s="291"/>
      <c r="W144" s="372"/>
      <c r="X144" s="291"/>
      <c r="Y144" s="291"/>
      <c r="Z144" s="291"/>
      <c r="AA144" s="284"/>
      <c r="AB144" s="284"/>
      <c r="AC144" s="377"/>
      <c r="AD144" s="263"/>
      <c r="AE144" s="261"/>
      <c r="AF144" s="365"/>
      <c r="AG144" s="366"/>
      <c r="AH144" s="366"/>
      <c r="AI144" s="366"/>
      <c r="AJ144" s="367"/>
      <c r="AK144" s="366"/>
      <c r="AL144" s="368"/>
      <c r="AM144" s="366"/>
      <c r="AN144" s="366"/>
      <c r="AO144" s="369"/>
      <c r="AP144" s="366"/>
      <c r="AQ144" s="366"/>
      <c r="AR144" s="369"/>
      <c r="AS144" s="369"/>
      <c r="AT144" s="366"/>
      <c r="AU144" s="366"/>
      <c r="AV144" s="369"/>
      <c r="AW144" s="366"/>
      <c r="AX144" s="366"/>
      <c r="AY144" s="366"/>
      <c r="AZ144" s="366"/>
      <c r="BA144" s="366"/>
    </row>
    <row r="145" spans="1:53" s="371" customFormat="1" ht="12.75" customHeight="1" x14ac:dyDescent="0.25">
      <c r="A145" s="1013"/>
      <c r="B145" s="309" t="s">
        <v>1178</v>
      </c>
      <c r="C145" s="314">
        <v>1</v>
      </c>
      <c r="D145" s="336"/>
      <c r="E145" s="300"/>
      <c r="F145" s="301"/>
      <c r="G145" s="302"/>
      <c r="H145" s="301"/>
      <c r="I145" s="303"/>
      <c r="J145" s="290"/>
      <c r="K145" s="374"/>
      <c r="L145" s="292"/>
      <c r="M145" s="292"/>
      <c r="N145" s="292"/>
      <c r="O145" s="291"/>
      <c r="P145" s="291"/>
      <c r="Q145" s="372"/>
      <c r="R145" s="291"/>
      <c r="S145" s="291"/>
      <c r="T145" s="291"/>
      <c r="U145" s="291"/>
      <c r="V145" s="291"/>
      <c r="W145" s="372"/>
      <c r="X145" s="291"/>
      <c r="Y145" s="291"/>
      <c r="Z145" s="291"/>
      <c r="AA145" s="284"/>
      <c r="AB145" s="284"/>
      <c r="AC145" s="377"/>
      <c r="AD145" s="263"/>
      <c r="AE145" s="261"/>
      <c r="AF145" s="365"/>
      <c r="AG145" s="366"/>
      <c r="AH145" s="366"/>
      <c r="AI145" s="366"/>
      <c r="AJ145" s="375"/>
      <c r="AK145" s="366"/>
      <c r="AL145" s="368"/>
      <c r="AM145" s="366"/>
      <c r="AN145" s="366"/>
      <c r="AO145" s="369"/>
      <c r="AP145" s="366"/>
      <c r="AQ145" s="366"/>
      <c r="AR145" s="369"/>
      <c r="AS145" s="369"/>
      <c r="AT145" s="366"/>
      <c r="AU145" s="366"/>
      <c r="AV145" s="369"/>
      <c r="AW145" s="366"/>
      <c r="AX145" s="366"/>
      <c r="AY145" s="366"/>
      <c r="AZ145" s="366"/>
      <c r="BA145" s="366"/>
    </row>
    <row r="146" spans="1:53" s="371" customFormat="1" ht="12.75" customHeight="1" x14ac:dyDescent="0.25">
      <c r="A146" s="1013"/>
      <c r="B146" s="286" t="s">
        <v>1179</v>
      </c>
      <c r="C146" s="314">
        <v>1</v>
      </c>
      <c r="D146" s="336"/>
      <c r="E146" s="300"/>
      <c r="F146" s="376"/>
      <c r="G146" s="302"/>
      <c r="H146" s="301"/>
      <c r="I146" s="303"/>
      <c r="J146" s="290"/>
      <c r="K146" s="374"/>
      <c r="L146" s="292"/>
      <c r="M146" s="292"/>
      <c r="N146" s="292"/>
      <c r="O146" s="291"/>
      <c r="P146" s="291"/>
      <c r="Q146" s="372"/>
      <c r="R146" s="291"/>
      <c r="S146" s="291"/>
      <c r="T146" s="291"/>
      <c r="U146" s="291"/>
      <c r="V146" s="291"/>
      <c r="W146" s="372"/>
      <c r="X146" s="291"/>
      <c r="Y146" s="291"/>
      <c r="Z146" s="291"/>
      <c r="AA146" s="284"/>
      <c r="AB146" s="284"/>
      <c r="AC146" s="377"/>
      <c r="AD146" s="263"/>
      <c r="AE146" s="261"/>
      <c r="AF146" s="365"/>
      <c r="AG146" s="366"/>
      <c r="AH146" s="366"/>
      <c r="AI146" s="366"/>
      <c r="AJ146" s="375"/>
      <c r="AK146" s="366"/>
      <c r="AL146" s="368"/>
      <c r="AM146" s="366"/>
      <c r="AN146" s="366"/>
      <c r="AO146" s="369"/>
      <c r="AP146" s="366"/>
      <c r="AQ146" s="366"/>
      <c r="AR146" s="369"/>
      <c r="AS146" s="369"/>
      <c r="AT146" s="366"/>
      <c r="AU146" s="366"/>
      <c r="AV146" s="369"/>
      <c r="AW146" s="366"/>
      <c r="AX146" s="366"/>
      <c r="AY146" s="366"/>
      <c r="AZ146" s="366"/>
      <c r="BA146" s="366"/>
    </row>
    <row r="147" spans="1:53" s="371" customFormat="1" ht="12.75" customHeight="1" x14ac:dyDescent="0.25">
      <c r="A147" s="1013"/>
      <c r="B147" s="315" t="s">
        <v>1181</v>
      </c>
      <c r="C147" s="277">
        <f>C142*C145+C143*C146</f>
        <v>53.163469285289004</v>
      </c>
      <c r="D147" s="336"/>
      <c r="E147" s="300"/>
      <c r="F147" s="376"/>
      <c r="G147" s="302"/>
      <c r="H147" s="301"/>
      <c r="I147" s="303"/>
      <c r="J147" s="290"/>
      <c r="K147" s="374"/>
      <c r="L147" s="292"/>
      <c r="M147" s="292"/>
      <c r="N147" s="292"/>
      <c r="O147" s="291"/>
      <c r="P147" s="291"/>
      <c r="Q147" s="372"/>
      <c r="R147" s="291"/>
      <c r="S147" s="291"/>
      <c r="T147" s="291"/>
      <c r="U147" s="291"/>
      <c r="V147" s="291"/>
      <c r="W147" s="372"/>
      <c r="X147" s="291"/>
      <c r="Y147" s="291"/>
      <c r="Z147" s="291"/>
      <c r="AA147" s="284"/>
      <c r="AB147" s="284"/>
      <c r="AC147" s="377"/>
      <c r="AD147" s="263"/>
      <c r="AE147" s="261"/>
      <c r="AF147" s="365"/>
      <c r="AG147" s="366"/>
      <c r="AH147" s="366"/>
      <c r="AI147" s="366"/>
      <c r="AJ147" s="367"/>
      <c r="AK147" s="366"/>
      <c r="AL147" s="368"/>
      <c r="AM147" s="366"/>
      <c r="AN147" s="366"/>
      <c r="AO147" s="369"/>
      <c r="AP147" s="366"/>
      <c r="AQ147" s="366"/>
      <c r="AR147" s="369"/>
      <c r="AS147" s="369"/>
      <c r="AT147" s="366"/>
      <c r="AU147" s="366"/>
      <c r="AV147" s="369"/>
      <c r="AW147" s="366"/>
      <c r="AX147" s="366"/>
      <c r="AY147" s="366"/>
      <c r="AZ147" s="366"/>
      <c r="BA147" s="366"/>
    </row>
    <row r="148" spans="1:53" s="371" customFormat="1" ht="12.75" customHeight="1" x14ac:dyDescent="0.25">
      <c r="A148" s="1014"/>
      <c r="B148" s="315"/>
      <c r="C148" s="314"/>
      <c r="D148" s="337"/>
      <c r="E148" s="300"/>
      <c r="F148" s="376"/>
      <c r="G148" s="302"/>
      <c r="H148" s="301"/>
      <c r="I148" s="303"/>
      <c r="J148" s="290"/>
      <c r="K148" s="374"/>
      <c r="L148" s="292"/>
      <c r="M148" s="292"/>
      <c r="N148" s="292"/>
      <c r="O148" s="291"/>
      <c r="P148" s="291"/>
      <c r="Q148" s="372"/>
      <c r="R148" s="291"/>
      <c r="S148" s="291"/>
      <c r="T148" s="291"/>
      <c r="U148" s="291"/>
      <c r="V148" s="291"/>
      <c r="W148" s="372"/>
      <c r="X148" s="291"/>
      <c r="Y148" s="291"/>
      <c r="Z148" s="291"/>
      <c r="AA148" s="284"/>
      <c r="AB148" s="284"/>
      <c r="AC148" s="377"/>
      <c r="AD148" s="263"/>
      <c r="AE148" s="261"/>
      <c r="AF148" s="365"/>
      <c r="AG148" s="366"/>
      <c r="AH148" s="366"/>
      <c r="AI148" s="366"/>
      <c r="AJ148" s="375"/>
      <c r="AK148" s="366"/>
      <c r="AL148" s="368"/>
      <c r="AM148" s="366"/>
      <c r="AN148" s="366"/>
      <c r="AO148" s="369"/>
      <c r="AP148" s="366"/>
      <c r="AQ148" s="366"/>
      <c r="AR148" s="369"/>
      <c r="AS148" s="369"/>
      <c r="AT148" s="366"/>
      <c r="AU148" s="366"/>
      <c r="AV148" s="369"/>
      <c r="AW148" s="366"/>
      <c r="AX148" s="366"/>
      <c r="AY148" s="366"/>
      <c r="AZ148" s="366"/>
      <c r="BA148" s="366"/>
    </row>
    <row r="149" spans="1:53" s="270" customFormat="1" ht="21.75" customHeight="1" x14ac:dyDescent="0.25">
      <c r="A149" s="1111" t="s">
        <v>702</v>
      </c>
      <c r="B149" s="1112"/>
      <c r="C149" s="1112"/>
      <c r="D149" s="1112"/>
      <c r="E149" s="1112"/>
      <c r="F149" s="1112"/>
      <c r="G149" s="1112"/>
      <c r="H149" s="1112"/>
      <c r="I149" s="1112"/>
      <c r="J149" s="1112"/>
      <c r="K149" s="1112"/>
      <c r="L149" s="1112"/>
      <c r="M149" s="1112"/>
      <c r="N149" s="1112"/>
      <c r="O149" s="1112"/>
      <c r="P149" s="1112"/>
      <c r="Q149" s="1112"/>
      <c r="R149" s="1112"/>
      <c r="S149" s="1112"/>
      <c r="T149" s="1112"/>
      <c r="U149" s="1112"/>
      <c r="V149" s="1112"/>
      <c r="W149" s="1112"/>
      <c r="X149" s="1112"/>
      <c r="Y149" s="1112"/>
      <c r="Z149" s="1112"/>
      <c r="AA149" s="1112"/>
      <c r="AB149" s="1112"/>
      <c r="AC149" s="1113"/>
      <c r="AD149" s="272"/>
      <c r="AF149" s="274"/>
      <c r="AG149" s="272"/>
      <c r="AH149" s="272"/>
      <c r="AI149" s="272"/>
      <c r="AJ149" s="380"/>
      <c r="AK149" s="272"/>
      <c r="AL149" s="273"/>
      <c r="AM149" s="272"/>
      <c r="AN149" s="272"/>
      <c r="AO149" s="274"/>
      <c r="AP149" s="272"/>
      <c r="AQ149" s="272"/>
      <c r="AR149" s="274"/>
      <c r="AS149" s="274"/>
      <c r="AT149" s="272"/>
      <c r="AU149" s="272"/>
      <c r="AV149" s="274"/>
      <c r="AW149" s="272"/>
      <c r="AX149" s="272"/>
      <c r="AY149" s="272"/>
      <c r="AZ149" s="272"/>
      <c r="BA149" s="272"/>
    </row>
    <row r="150" spans="1:53" ht="56.25" customHeight="1" x14ac:dyDescent="0.25">
      <c r="A150" s="1012" t="s">
        <v>225</v>
      </c>
      <c r="B150" s="353" t="s">
        <v>703</v>
      </c>
      <c r="C150" s="277"/>
      <c r="D150" s="287"/>
      <c r="E150" s="278" t="s">
        <v>488</v>
      </c>
      <c r="F150" s="279" t="s">
        <v>837</v>
      </c>
      <c r="G150" s="277" t="s">
        <v>489</v>
      </c>
      <c r="H150" s="278" t="s">
        <v>1170</v>
      </c>
      <c r="I150" s="279" t="s">
        <v>838</v>
      </c>
      <c r="J150" s="280" t="s">
        <v>1171</v>
      </c>
      <c r="K150" s="280" t="s">
        <v>490</v>
      </c>
      <c r="L150" s="281" t="s">
        <v>489</v>
      </c>
      <c r="M150" s="280" t="s">
        <v>1172</v>
      </c>
      <c r="N150" s="354" t="s">
        <v>838</v>
      </c>
      <c r="O150" s="280" t="s">
        <v>1171</v>
      </c>
      <c r="P150" s="280" t="s">
        <v>826</v>
      </c>
      <c r="Q150" s="282" t="s">
        <v>1173</v>
      </c>
      <c r="R150" s="280" t="s">
        <v>1174</v>
      </c>
      <c r="S150" s="280" t="s">
        <v>839</v>
      </c>
      <c r="T150" s="280" t="s">
        <v>1171</v>
      </c>
      <c r="U150" s="280" t="s">
        <v>1392</v>
      </c>
      <c r="V150" s="282" t="s">
        <v>1173</v>
      </c>
      <c r="W150" s="280" t="s">
        <v>841</v>
      </c>
      <c r="X150" s="280" t="s">
        <v>1394</v>
      </c>
      <c r="Y150" s="280" t="s">
        <v>839</v>
      </c>
      <c r="Z150" s="283"/>
      <c r="AA150" s="284"/>
      <c r="AB150" s="284"/>
      <c r="AC150" s="284"/>
      <c r="AD150" s="263"/>
      <c r="AQ150" s="355"/>
      <c r="AR150" s="355"/>
      <c r="AS150" s="355"/>
    </row>
    <row r="151" spans="1:53" s="270" customFormat="1" ht="12" customHeight="1" x14ac:dyDescent="0.25">
      <c r="A151" s="1013"/>
      <c r="B151" s="285" t="s">
        <v>1175</v>
      </c>
      <c r="C151" s="277">
        <f>C158</f>
        <v>53.163469285289004</v>
      </c>
      <c r="D151" s="336">
        <f>C151*$D$5</f>
        <v>10.739020795628379</v>
      </c>
      <c r="E151" s="286" t="s">
        <v>1176</v>
      </c>
      <c r="F151" s="356"/>
      <c r="G151" s="288"/>
      <c r="H151" s="288"/>
      <c r="I151" s="289">
        <f>SUM(I152:I159)</f>
        <v>11.055</v>
      </c>
      <c r="J151" s="290" t="s">
        <v>1176</v>
      </c>
      <c r="K151" s="357"/>
      <c r="L151" s="291"/>
      <c r="M151" s="291"/>
      <c r="N151" s="433">
        <f>SUM(N152:N159)</f>
        <v>0.16400086094796795</v>
      </c>
      <c r="O151" s="291" t="s">
        <v>1176</v>
      </c>
      <c r="P151" s="291"/>
      <c r="Q151" s="372"/>
      <c r="R151" s="294"/>
      <c r="S151" s="433">
        <f>SUM(S152:S159)</f>
        <v>0.20857139377847089</v>
      </c>
      <c r="T151" s="291" t="s">
        <v>1176</v>
      </c>
      <c r="U151" s="307"/>
      <c r="V151" s="308"/>
      <c r="W151" s="306"/>
      <c r="X151" s="292"/>
      <c r="Y151" s="433">
        <f>SUM(Y152:Y159)</f>
        <v>8.6978382876862383</v>
      </c>
      <c r="Z151" s="296">
        <f>(C151+D151+I151+N151+Y151+S151)*$Z$5</f>
        <v>109.25204224183659</v>
      </c>
      <c r="AA151" s="297">
        <f>C151+D151+I151+N151+S151+Y151+Z151</f>
        <v>193.27994286516665</v>
      </c>
      <c r="AB151" s="298">
        <v>0.25</v>
      </c>
      <c r="AC151" s="358">
        <f>AA151*(1+AB151)</f>
        <v>241.5999285814583</v>
      </c>
      <c r="AD151" s="265"/>
      <c r="AE151" s="261"/>
      <c r="AF151" s="262"/>
      <c r="AG151" s="263"/>
      <c r="AH151" s="263"/>
      <c r="AI151" s="355"/>
      <c r="AJ151" s="359"/>
      <c r="AK151" s="360"/>
      <c r="AL151" s="264"/>
      <c r="AM151" s="361"/>
      <c r="AN151" s="143"/>
      <c r="AO151" s="362"/>
      <c r="AP151" s="363"/>
      <c r="AQ151" s="363"/>
      <c r="AR151" s="363"/>
      <c r="AS151" s="363"/>
      <c r="AT151" s="363"/>
      <c r="AU151" s="362"/>
      <c r="AV151" s="362"/>
      <c r="AW151" s="364"/>
      <c r="AX151" s="272"/>
      <c r="AY151" s="272"/>
      <c r="AZ151" s="272"/>
      <c r="BA151" s="272"/>
    </row>
    <row r="152" spans="1:53" s="371" customFormat="1" ht="12.75" customHeight="1" x14ac:dyDescent="0.25">
      <c r="A152" s="1013"/>
      <c r="B152" s="299" t="s">
        <v>830</v>
      </c>
      <c r="C152" s="277"/>
      <c r="D152" s="336"/>
      <c r="E152" s="300" t="s">
        <v>2186</v>
      </c>
      <c r="F152" s="301" t="s">
        <v>1441</v>
      </c>
      <c r="G152" s="302">
        <v>5.36</v>
      </c>
      <c r="H152" s="301">
        <v>1</v>
      </c>
      <c r="I152" s="303">
        <f>G152*H152</f>
        <v>5.36</v>
      </c>
      <c r="J152" s="290" t="s">
        <v>1291</v>
      </c>
      <c r="K152" s="304">
        <v>2</v>
      </c>
      <c r="L152" s="305">
        <v>750</v>
      </c>
      <c r="M152" s="304">
        <v>2</v>
      </c>
      <c r="N152" s="433">
        <f>L152/'Исп. коэффициенты'!E52*(C156+C157)</f>
        <v>0.14138005254135169</v>
      </c>
      <c r="O152" s="291" t="s">
        <v>1667</v>
      </c>
      <c r="P152" s="291">
        <v>4500</v>
      </c>
      <c r="Q152" s="291">
        <v>19.670000000000002</v>
      </c>
      <c r="R152" s="291">
        <v>885.15</v>
      </c>
      <c r="S152" s="433">
        <f>R152/'Исп. коэффициенты'!E52*C156</f>
        <v>8.3428369004651629E-2</v>
      </c>
      <c r="T152" s="306" t="s">
        <v>1435</v>
      </c>
      <c r="U152" s="307">
        <v>6785401.3499999996</v>
      </c>
      <c r="V152" s="308">
        <v>1.3599999999999999E-2</v>
      </c>
      <c r="W152" s="306">
        <f>'Исп. коэффициенты'!E124</f>
        <v>2978.5</v>
      </c>
      <c r="X152" s="433">
        <f>U152*V152</f>
        <v>92281.45835999999</v>
      </c>
      <c r="Y152" s="295">
        <f>X152/'Исп. коэффициенты'!E52*C156</f>
        <v>8.6978382876862383</v>
      </c>
      <c r="Z152" s="291"/>
      <c r="AA152" s="284"/>
      <c r="AB152" s="284"/>
      <c r="AC152" s="377"/>
      <c r="AD152" s="263"/>
      <c r="AE152" s="261"/>
      <c r="AF152" s="365"/>
      <c r="AG152" s="366"/>
      <c r="AH152" s="366"/>
      <c r="AI152" s="366"/>
      <c r="AJ152" s="367"/>
      <c r="AK152" s="366"/>
      <c r="AL152" s="368"/>
      <c r="AM152" s="366"/>
      <c r="AN152" s="366"/>
      <c r="AO152" s="369"/>
      <c r="AP152" s="366"/>
      <c r="AQ152" s="366"/>
      <c r="AR152" s="369"/>
      <c r="AS152" s="369"/>
      <c r="AT152" s="370"/>
      <c r="AU152" s="366"/>
      <c r="AV152" s="369"/>
      <c r="AW152" s="366"/>
      <c r="AX152" s="366"/>
      <c r="AY152" s="366"/>
      <c r="AZ152" s="366"/>
      <c r="BA152" s="366"/>
    </row>
    <row r="153" spans="1:53" s="371" customFormat="1" x14ac:dyDescent="0.25">
      <c r="A153" s="1013"/>
      <c r="B153" s="309" t="s">
        <v>1178</v>
      </c>
      <c r="C153" s="310">
        <f>C142</f>
        <v>33.667709452234185</v>
      </c>
      <c r="D153" s="336"/>
      <c r="E153" s="300" t="s">
        <v>2187</v>
      </c>
      <c r="F153" s="301" t="s">
        <v>1</v>
      </c>
      <c r="G153" s="302">
        <v>6.3E-2</v>
      </c>
      <c r="H153" s="301">
        <v>5</v>
      </c>
      <c r="I153" s="303">
        <f>G153*H153</f>
        <v>0.315</v>
      </c>
      <c r="J153" s="290" t="s">
        <v>1445</v>
      </c>
      <c r="K153" s="292">
        <v>2</v>
      </c>
      <c r="L153" s="311">
        <v>95</v>
      </c>
      <c r="M153" s="304">
        <v>2</v>
      </c>
      <c r="N153" s="433">
        <f>L153/'Исп. коэффициенты'!E52*(C156+C157)</f>
        <v>1.7908139988571214E-2</v>
      </c>
      <c r="O153" s="291" t="s">
        <v>1668</v>
      </c>
      <c r="P153" s="291">
        <v>6750</v>
      </c>
      <c r="Q153" s="291">
        <v>19.670000000000002</v>
      </c>
      <c r="R153" s="291">
        <v>1327.73</v>
      </c>
      <c r="S153" s="433">
        <f>R153/'Исп. коэффициенты'!E52*C156</f>
        <v>0.12514302477381925</v>
      </c>
      <c r="T153" s="291"/>
      <c r="U153" s="291"/>
      <c r="V153" s="291"/>
      <c r="W153" s="372"/>
      <c r="X153" s="291"/>
      <c r="Y153" s="291"/>
      <c r="Z153" s="291"/>
      <c r="AA153" s="284"/>
      <c r="AB153" s="284"/>
      <c r="AC153" s="377"/>
      <c r="AD153" s="263"/>
      <c r="AE153" s="261"/>
      <c r="AF153" s="365"/>
      <c r="AG153" s="366"/>
      <c r="AH153" s="366"/>
      <c r="AI153" s="366"/>
      <c r="AJ153" s="367"/>
      <c r="AK153" s="366"/>
      <c r="AL153" s="368"/>
      <c r="AM153" s="373"/>
      <c r="AN153" s="366"/>
      <c r="AO153" s="369"/>
      <c r="AP153" s="366"/>
      <c r="AQ153" s="366"/>
      <c r="AR153" s="369"/>
      <c r="AS153" s="369"/>
      <c r="AT153" s="366"/>
      <c r="AU153" s="366"/>
      <c r="AV153" s="369"/>
      <c r="AW153" s="366"/>
      <c r="AX153" s="366"/>
      <c r="AY153" s="366"/>
      <c r="AZ153" s="366"/>
      <c r="BA153" s="366"/>
    </row>
    <row r="154" spans="1:53" s="371" customFormat="1" ht="12.75" customHeight="1" x14ac:dyDescent="0.25">
      <c r="A154" s="1013"/>
      <c r="B154" s="286" t="s">
        <v>1179</v>
      </c>
      <c r="C154" s="277">
        <f>C143</f>
        <v>19.495759833054819</v>
      </c>
      <c r="D154" s="336"/>
      <c r="E154" s="300" t="s">
        <v>2112</v>
      </c>
      <c r="F154" s="301" t="s">
        <v>1</v>
      </c>
      <c r="G154" s="302">
        <v>0.47</v>
      </c>
      <c r="H154" s="302">
        <v>10</v>
      </c>
      <c r="I154" s="303">
        <f>G154*H154</f>
        <v>4.6999999999999993</v>
      </c>
      <c r="J154" s="290" t="s">
        <v>1513</v>
      </c>
      <c r="K154" s="292">
        <v>2</v>
      </c>
      <c r="L154" s="292">
        <v>25</v>
      </c>
      <c r="M154" s="304">
        <v>0.5</v>
      </c>
      <c r="N154" s="433">
        <f>L154/'Исп. коэффициенты'!E52*(C156+C157)</f>
        <v>4.7126684180450566E-3</v>
      </c>
      <c r="O154" s="291"/>
      <c r="P154" s="291"/>
      <c r="Q154" s="372"/>
      <c r="R154" s="291"/>
      <c r="S154" s="291"/>
      <c r="T154" s="291"/>
      <c r="U154" s="291"/>
      <c r="V154" s="291"/>
      <c r="W154" s="372"/>
      <c r="X154" s="291"/>
      <c r="Y154" s="291"/>
      <c r="Z154" s="291"/>
      <c r="AA154" s="284"/>
      <c r="AB154" s="284"/>
      <c r="AC154" s="377"/>
      <c r="AD154" s="263"/>
      <c r="AE154" s="261"/>
      <c r="AF154" s="365"/>
      <c r="AG154" s="366"/>
      <c r="AH154" s="366"/>
      <c r="AI154" s="366"/>
      <c r="AJ154" s="367"/>
      <c r="AK154" s="366"/>
      <c r="AL154" s="368"/>
      <c r="AM154" s="366"/>
      <c r="AN154" s="366"/>
      <c r="AO154" s="369"/>
      <c r="AP154" s="366"/>
      <c r="AQ154" s="366"/>
      <c r="AR154" s="369"/>
      <c r="AS154" s="369"/>
      <c r="AT154" s="366"/>
      <c r="AU154" s="366"/>
      <c r="AV154" s="369"/>
      <c r="AW154" s="366"/>
      <c r="AX154" s="366"/>
      <c r="AY154" s="366"/>
      <c r="AZ154" s="366"/>
      <c r="BA154" s="366"/>
    </row>
    <row r="155" spans="1:53" s="371" customFormat="1" ht="12.75" customHeight="1" x14ac:dyDescent="0.25">
      <c r="A155" s="1013"/>
      <c r="B155" s="286" t="s">
        <v>831</v>
      </c>
      <c r="C155" s="313"/>
      <c r="D155" s="336"/>
      <c r="E155" s="300" t="s">
        <v>9</v>
      </c>
      <c r="F155" s="376" t="s">
        <v>1441</v>
      </c>
      <c r="G155" s="302">
        <v>0.68</v>
      </c>
      <c r="H155" s="301">
        <v>1</v>
      </c>
      <c r="I155" s="303">
        <f t="shared" ref="I155" si="14">G155*H155</f>
        <v>0.68</v>
      </c>
      <c r="J155" s="290"/>
      <c r="K155" s="374"/>
      <c r="L155" s="292"/>
      <c r="M155" s="292"/>
      <c r="N155" s="292"/>
      <c r="O155" s="291"/>
      <c r="P155" s="291"/>
      <c r="Q155" s="372"/>
      <c r="R155" s="291"/>
      <c r="S155" s="291"/>
      <c r="T155" s="291"/>
      <c r="U155" s="291"/>
      <c r="V155" s="291"/>
      <c r="W155" s="372"/>
      <c r="X155" s="291"/>
      <c r="Y155" s="291"/>
      <c r="Z155" s="291"/>
      <c r="AA155" s="284"/>
      <c r="AB155" s="284"/>
      <c r="AC155" s="377"/>
      <c r="AD155" s="263"/>
      <c r="AE155" s="261"/>
      <c r="AF155" s="365"/>
      <c r="AG155" s="366"/>
      <c r="AH155" s="366"/>
      <c r="AI155" s="366"/>
      <c r="AJ155" s="367"/>
      <c r="AK155" s="366"/>
      <c r="AL155" s="368"/>
      <c r="AM155" s="366"/>
      <c r="AN155" s="366"/>
      <c r="AO155" s="369"/>
      <c r="AP155" s="366"/>
      <c r="AQ155" s="366"/>
      <c r="AR155" s="369"/>
      <c r="AS155" s="369"/>
      <c r="AT155" s="366"/>
      <c r="AU155" s="366"/>
      <c r="AV155" s="369"/>
      <c r="AW155" s="366"/>
      <c r="AX155" s="366"/>
      <c r="AY155" s="366"/>
      <c r="AZ155" s="366"/>
      <c r="BA155" s="366"/>
    </row>
    <row r="156" spans="1:53" s="371" customFormat="1" ht="12.75" customHeight="1" x14ac:dyDescent="0.25">
      <c r="A156" s="1013"/>
      <c r="B156" s="309" t="s">
        <v>1178</v>
      </c>
      <c r="C156" s="314">
        <v>1</v>
      </c>
      <c r="D156" s="336"/>
      <c r="E156" s="300"/>
      <c r="F156" s="301"/>
      <c r="G156" s="302"/>
      <c r="H156" s="301"/>
      <c r="I156" s="303"/>
      <c r="J156" s="290"/>
      <c r="K156" s="374"/>
      <c r="L156" s="292"/>
      <c r="M156" s="292"/>
      <c r="N156" s="292"/>
      <c r="O156" s="291"/>
      <c r="P156" s="291"/>
      <c r="Q156" s="372"/>
      <c r="R156" s="291"/>
      <c r="S156" s="291"/>
      <c r="T156" s="291"/>
      <c r="U156" s="291"/>
      <c r="V156" s="291"/>
      <c r="W156" s="372"/>
      <c r="X156" s="291"/>
      <c r="Y156" s="291"/>
      <c r="Z156" s="291"/>
      <c r="AA156" s="284"/>
      <c r="AB156" s="284"/>
      <c r="AC156" s="377"/>
      <c r="AD156" s="263"/>
      <c r="AE156" s="261"/>
      <c r="AF156" s="365"/>
      <c r="AG156" s="366"/>
      <c r="AH156" s="366"/>
      <c r="AI156" s="366"/>
      <c r="AJ156" s="375"/>
      <c r="AK156" s="366"/>
      <c r="AL156" s="368"/>
      <c r="AM156" s="366"/>
      <c r="AN156" s="366"/>
      <c r="AO156" s="369"/>
      <c r="AP156" s="366"/>
      <c r="AQ156" s="366"/>
      <c r="AR156" s="369"/>
      <c r="AS156" s="369"/>
      <c r="AT156" s="366"/>
      <c r="AU156" s="366"/>
      <c r="AV156" s="369"/>
      <c r="AW156" s="366"/>
      <c r="AX156" s="366"/>
      <c r="AY156" s="366"/>
      <c r="AZ156" s="366"/>
      <c r="BA156" s="366"/>
    </row>
    <row r="157" spans="1:53" s="371" customFormat="1" ht="12.75" customHeight="1" x14ac:dyDescent="0.25">
      <c r="A157" s="1013"/>
      <c r="B157" s="286" t="s">
        <v>1179</v>
      </c>
      <c r="C157" s="314">
        <v>1</v>
      </c>
      <c r="D157" s="336"/>
      <c r="E157" s="300"/>
      <c r="F157" s="376"/>
      <c r="G157" s="302"/>
      <c r="H157" s="301"/>
      <c r="I157" s="303"/>
      <c r="J157" s="290"/>
      <c r="K157" s="374"/>
      <c r="L157" s="292"/>
      <c r="M157" s="292"/>
      <c r="N157" s="292"/>
      <c r="O157" s="291"/>
      <c r="P157" s="291"/>
      <c r="Q157" s="372"/>
      <c r="R157" s="291"/>
      <c r="S157" s="291"/>
      <c r="T157" s="291"/>
      <c r="U157" s="291"/>
      <c r="V157" s="291"/>
      <c r="W157" s="372"/>
      <c r="X157" s="291"/>
      <c r="Y157" s="291"/>
      <c r="Z157" s="291"/>
      <c r="AA157" s="284"/>
      <c r="AB157" s="284"/>
      <c r="AC157" s="377"/>
      <c r="AD157" s="263"/>
      <c r="AE157" s="261"/>
      <c r="AF157" s="365"/>
      <c r="AG157" s="366"/>
      <c r="AH157" s="366"/>
      <c r="AI157" s="366"/>
      <c r="AJ157" s="375"/>
      <c r="AK157" s="366"/>
      <c r="AL157" s="368"/>
      <c r="AM157" s="366"/>
      <c r="AN157" s="366"/>
      <c r="AO157" s="369"/>
      <c r="AP157" s="366"/>
      <c r="AQ157" s="366"/>
      <c r="AR157" s="369"/>
      <c r="AS157" s="369"/>
      <c r="AT157" s="366"/>
      <c r="AU157" s="366"/>
      <c r="AV157" s="369"/>
      <c r="AW157" s="366"/>
      <c r="AX157" s="366"/>
      <c r="AY157" s="366"/>
      <c r="AZ157" s="366"/>
      <c r="BA157" s="366"/>
    </row>
    <row r="158" spans="1:53" s="371" customFormat="1" ht="12.75" customHeight="1" x14ac:dyDescent="0.25">
      <c r="A158" s="1013"/>
      <c r="B158" s="315" t="s">
        <v>1181</v>
      </c>
      <c r="C158" s="277">
        <f>C153*C156+C154*C157</f>
        <v>53.163469285289004</v>
      </c>
      <c r="D158" s="336"/>
      <c r="E158" s="300"/>
      <c r="F158" s="376"/>
      <c r="G158" s="302"/>
      <c r="H158" s="301"/>
      <c r="I158" s="303"/>
      <c r="J158" s="290"/>
      <c r="K158" s="374"/>
      <c r="L158" s="292"/>
      <c r="M158" s="292"/>
      <c r="N158" s="292"/>
      <c r="O158" s="291"/>
      <c r="P158" s="291"/>
      <c r="Q158" s="372"/>
      <c r="R158" s="291"/>
      <c r="S158" s="291"/>
      <c r="T158" s="291"/>
      <c r="U158" s="291"/>
      <c r="V158" s="291"/>
      <c r="W158" s="372"/>
      <c r="X158" s="291"/>
      <c r="Y158" s="291"/>
      <c r="Z158" s="291"/>
      <c r="AA158" s="284"/>
      <c r="AB158" s="284"/>
      <c r="AC158" s="377"/>
      <c r="AD158" s="263"/>
      <c r="AE158" s="261"/>
      <c r="AF158" s="365"/>
      <c r="AG158" s="366"/>
      <c r="AH158" s="366"/>
      <c r="AI158" s="366"/>
      <c r="AJ158" s="367"/>
      <c r="AK158" s="366"/>
      <c r="AL158" s="368"/>
      <c r="AM158" s="366"/>
      <c r="AN158" s="366"/>
      <c r="AO158" s="369"/>
      <c r="AP158" s="366"/>
      <c r="AQ158" s="366"/>
      <c r="AR158" s="369"/>
      <c r="AS158" s="369"/>
      <c r="AT158" s="366"/>
      <c r="AU158" s="366"/>
      <c r="AV158" s="369"/>
      <c r="AW158" s="366"/>
      <c r="AX158" s="366"/>
      <c r="AY158" s="366"/>
      <c r="AZ158" s="366"/>
      <c r="BA158" s="366"/>
    </row>
    <row r="159" spans="1:53" s="371" customFormat="1" ht="12.75" customHeight="1" x14ac:dyDescent="0.25">
      <c r="A159" s="1014"/>
      <c r="B159" s="315"/>
      <c r="C159" s="314"/>
      <c r="D159" s="337"/>
      <c r="E159" s="300"/>
      <c r="F159" s="376"/>
      <c r="G159" s="302"/>
      <c r="H159" s="301"/>
      <c r="I159" s="303"/>
      <c r="J159" s="290"/>
      <c r="K159" s="374"/>
      <c r="L159" s="292"/>
      <c r="M159" s="292"/>
      <c r="N159" s="292"/>
      <c r="O159" s="291"/>
      <c r="P159" s="291"/>
      <c r="Q159" s="372"/>
      <c r="R159" s="291"/>
      <c r="S159" s="291"/>
      <c r="T159" s="291"/>
      <c r="U159" s="291"/>
      <c r="V159" s="291"/>
      <c r="W159" s="372"/>
      <c r="X159" s="291"/>
      <c r="Y159" s="291"/>
      <c r="Z159" s="291"/>
      <c r="AA159" s="284"/>
      <c r="AB159" s="284"/>
      <c r="AC159" s="377"/>
      <c r="AD159" s="263"/>
      <c r="AE159" s="261"/>
      <c r="AF159" s="365"/>
      <c r="AG159" s="366"/>
      <c r="AH159" s="366"/>
      <c r="AI159" s="366"/>
      <c r="AJ159" s="375"/>
      <c r="AK159" s="366"/>
      <c r="AL159" s="368"/>
      <c r="AM159" s="366"/>
      <c r="AN159" s="366"/>
      <c r="AO159" s="369"/>
      <c r="AP159" s="366"/>
      <c r="AQ159" s="366"/>
      <c r="AR159" s="369"/>
      <c r="AS159" s="369"/>
      <c r="AT159" s="366"/>
      <c r="AU159" s="366"/>
      <c r="AV159" s="369"/>
      <c r="AW159" s="366"/>
      <c r="AX159" s="366"/>
      <c r="AY159" s="366"/>
      <c r="AZ159" s="366"/>
      <c r="BA159" s="366"/>
    </row>
    <row r="160" spans="1:53" ht="56.25" customHeight="1" x14ac:dyDescent="0.25">
      <c r="A160" s="1012" t="s">
        <v>233</v>
      </c>
      <c r="B160" s="353" t="s">
        <v>704</v>
      </c>
      <c r="C160" s="277"/>
      <c r="D160" s="287"/>
      <c r="E160" s="278" t="s">
        <v>488</v>
      </c>
      <c r="F160" s="279" t="s">
        <v>837</v>
      </c>
      <c r="G160" s="277" t="s">
        <v>489</v>
      </c>
      <c r="H160" s="278" t="s">
        <v>1170</v>
      </c>
      <c r="I160" s="279" t="s">
        <v>838</v>
      </c>
      <c r="J160" s="280" t="s">
        <v>1171</v>
      </c>
      <c r="K160" s="280" t="s">
        <v>490</v>
      </c>
      <c r="L160" s="281" t="s">
        <v>489</v>
      </c>
      <c r="M160" s="280" t="s">
        <v>1172</v>
      </c>
      <c r="N160" s="354" t="s">
        <v>838</v>
      </c>
      <c r="O160" s="280" t="s">
        <v>1171</v>
      </c>
      <c r="P160" s="280" t="s">
        <v>826</v>
      </c>
      <c r="Q160" s="282" t="s">
        <v>1173</v>
      </c>
      <c r="R160" s="280" t="s">
        <v>1174</v>
      </c>
      <c r="S160" s="280" t="s">
        <v>839</v>
      </c>
      <c r="T160" s="280" t="s">
        <v>1171</v>
      </c>
      <c r="U160" s="280" t="s">
        <v>1392</v>
      </c>
      <c r="V160" s="282" t="s">
        <v>1173</v>
      </c>
      <c r="W160" s="280" t="s">
        <v>841</v>
      </c>
      <c r="X160" s="280" t="s">
        <v>1394</v>
      </c>
      <c r="Y160" s="280" t="s">
        <v>839</v>
      </c>
      <c r="Z160" s="283"/>
      <c r="AA160" s="284"/>
      <c r="AB160" s="284"/>
      <c r="AC160" s="377"/>
      <c r="AD160" s="263"/>
      <c r="AQ160" s="355"/>
      <c r="AR160" s="355"/>
      <c r="AS160" s="355"/>
    </row>
    <row r="161" spans="1:53" s="270" customFormat="1" ht="12" customHeight="1" x14ac:dyDescent="0.25">
      <c r="A161" s="1013"/>
      <c r="B161" s="285" t="s">
        <v>1175</v>
      </c>
      <c r="C161" s="277">
        <f>C168</f>
        <v>53.163469285289004</v>
      </c>
      <c r="D161" s="336">
        <f>C161*$D$5</f>
        <v>10.739020795628379</v>
      </c>
      <c r="E161" s="286" t="s">
        <v>1176</v>
      </c>
      <c r="F161" s="356"/>
      <c r="G161" s="288"/>
      <c r="H161" s="288"/>
      <c r="I161" s="289">
        <f>SUM(I162:I169)</f>
        <v>11.055</v>
      </c>
      <c r="J161" s="290" t="s">
        <v>1176</v>
      </c>
      <c r="K161" s="357"/>
      <c r="L161" s="291"/>
      <c r="M161" s="291"/>
      <c r="N161" s="433">
        <f>SUM(N162:N169)</f>
        <v>0.16400086094796795</v>
      </c>
      <c r="O161" s="291" t="s">
        <v>1176</v>
      </c>
      <c r="P161" s="291"/>
      <c r="Q161" s="372"/>
      <c r="R161" s="294"/>
      <c r="S161" s="433">
        <f>SUM(S162:S169)</f>
        <v>0.20857139377847089</v>
      </c>
      <c r="T161" s="291" t="s">
        <v>1176</v>
      </c>
      <c r="U161" s="307"/>
      <c r="V161" s="308"/>
      <c r="W161" s="306"/>
      <c r="X161" s="292"/>
      <c r="Y161" s="433">
        <f>SUM(Y162:Y169)</f>
        <v>8.6978382876862383</v>
      </c>
      <c r="Z161" s="296">
        <f>(C161+D161+I161+N161+Y161+S161)*$Z$5</f>
        <v>109.25204224183659</v>
      </c>
      <c r="AA161" s="297">
        <f>C161+D161+I161+N161+S161+Y161+Z161</f>
        <v>193.27994286516665</v>
      </c>
      <c r="AB161" s="298">
        <v>0.25</v>
      </c>
      <c r="AC161" s="358">
        <f>AA161*(1+AB161)</f>
        <v>241.5999285814583</v>
      </c>
      <c r="AD161" s="265"/>
      <c r="AE161" s="261"/>
      <c r="AF161" s="262"/>
      <c r="AG161" s="263"/>
      <c r="AH161" s="263"/>
      <c r="AI161" s="355"/>
      <c r="AJ161" s="359"/>
      <c r="AK161" s="360"/>
      <c r="AL161" s="264"/>
      <c r="AM161" s="361"/>
      <c r="AN161" s="143"/>
      <c r="AO161" s="362"/>
      <c r="AP161" s="363"/>
      <c r="AQ161" s="363"/>
      <c r="AR161" s="363"/>
      <c r="AS161" s="363"/>
      <c r="AT161" s="363"/>
      <c r="AU161" s="362"/>
      <c r="AV161" s="362"/>
      <c r="AW161" s="364"/>
      <c r="AX161" s="272"/>
      <c r="AY161" s="272"/>
      <c r="AZ161" s="272"/>
      <c r="BA161" s="272"/>
    </row>
    <row r="162" spans="1:53" s="371" customFormat="1" ht="12.75" customHeight="1" x14ac:dyDescent="0.25">
      <c r="A162" s="1013"/>
      <c r="B162" s="299" t="s">
        <v>830</v>
      </c>
      <c r="C162" s="277"/>
      <c r="D162" s="336"/>
      <c r="E162" s="300" t="s">
        <v>2186</v>
      </c>
      <c r="F162" s="301" t="s">
        <v>1441</v>
      </c>
      <c r="G162" s="302">
        <v>5.36</v>
      </c>
      <c r="H162" s="301">
        <v>1</v>
      </c>
      <c r="I162" s="303">
        <f>G162*H162</f>
        <v>5.36</v>
      </c>
      <c r="J162" s="290" t="s">
        <v>1291</v>
      </c>
      <c r="K162" s="304">
        <v>2</v>
      </c>
      <c r="L162" s="305">
        <v>750</v>
      </c>
      <c r="M162" s="304">
        <v>2</v>
      </c>
      <c r="N162" s="433">
        <f>L162/'Исп. коэффициенты'!E52*(C166+C167)</f>
        <v>0.14138005254135169</v>
      </c>
      <c r="O162" s="291" t="s">
        <v>1667</v>
      </c>
      <c r="P162" s="291">
        <v>4500</v>
      </c>
      <c r="Q162" s="291">
        <v>19.670000000000002</v>
      </c>
      <c r="R162" s="291">
        <v>885.15</v>
      </c>
      <c r="S162" s="433">
        <f>R162/'Исп. коэффициенты'!E52*C166</f>
        <v>8.3428369004651629E-2</v>
      </c>
      <c r="T162" s="306" t="s">
        <v>1435</v>
      </c>
      <c r="U162" s="307">
        <v>6785401.3499999996</v>
      </c>
      <c r="V162" s="308">
        <v>1.3599999999999999E-2</v>
      </c>
      <c r="W162" s="306">
        <f>'Исп. коэффициенты'!E124</f>
        <v>2978.5</v>
      </c>
      <c r="X162" s="433">
        <f>U162*V162</f>
        <v>92281.45835999999</v>
      </c>
      <c r="Y162" s="295">
        <f>X162/'Исп. коэффициенты'!E52*C166</f>
        <v>8.6978382876862383</v>
      </c>
      <c r="Z162" s="291"/>
      <c r="AA162" s="284"/>
      <c r="AB162" s="284"/>
      <c r="AC162" s="377"/>
      <c r="AD162" s="263"/>
      <c r="AE162" s="261"/>
      <c r="AF162" s="365"/>
      <c r="AG162" s="366"/>
      <c r="AH162" s="366"/>
      <c r="AI162" s="366"/>
      <c r="AJ162" s="367"/>
      <c r="AK162" s="366"/>
      <c r="AL162" s="368"/>
      <c r="AM162" s="366"/>
      <c r="AN162" s="366"/>
      <c r="AO162" s="369"/>
      <c r="AP162" s="366"/>
      <c r="AQ162" s="366"/>
      <c r="AR162" s="369"/>
      <c r="AS162" s="369"/>
      <c r="AT162" s="370"/>
      <c r="AU162" s="366"/>
      <c r="AV162" s="369"/>
      <c r="AW162" s="366"/>
      <c r="AX162" s="366"/>
      <c r="AY162" s="366"/>
      <c r="AZ162" s="366"/>
      <c r="BA162" s="366"/>
    </row>
    <row r="163" spans="1:53" s="371" customFormat="1" x14ac:dyDescent="0.25">
      <c r="A163" s="1013"/>
      <c r="B163" s="309" t="s">
        <v>1178</v>
      </c>
      <c r="C163" s="310">
        <f>C153</f>
        <v>33.667709452234185</v>
      </c>
      <c r="D163" s="336"/>
      <c r="E163" s="300" t="s">
        <v>2187</v>
      </c>
      <c r="F163" s="301" t="s">
        <v>1</v>
      </c>
      <c r="G163" s="302">
        <v>6.3E-2</v>
      </c>
      <c r="H163" s="301">
        <v>5</v>
      </c>
      <c r="I163" s="303">
        <f>G163*H163</f>
        <v>0.315</v>
      </c>
      <c r="J163" s="290" t="s">
        <v>1445</v>
      </c>
      <c r="K163" s="292">
        <v>2</v>
      </c>
      <c r="L163" s="311">
        <v>95</v>
      </c>
      <c r="M163" s="304">
        <v>2</v>
      </c>
      <c r="N163" s="433">
        <f>L163/'Исп. коэффициенты'!E52*(C166+C167)</f>
        <v>1.7908139988571214E-2</v>
      </c>
      <c r="O163" s="291" t="s">
        <v>1668</v>
      </c>
      <c r="P163" s="291">
        <v>6750</v>
      </c>
      <c r="Q163" s="291">
        <v>19.670000000000002</v>
      </c>
      <c r="R163" s="291">
        <v>1327.73</v>
      </c>
      <c r="S163" s="433">
        <f>R163/'Исп. коэффициенты'!E52*C166</f>
        <v>0.12514302477381925</v>
      </c>
      <c r="T163" s="291"/>
      <c r="U163" s="291"/>
      <c r="V163" s="291"/>
      <c r="W163" s="372"/>
      <c r="X163" s="291"/>
      <c r="Y163" s="291"/>
      <c r="Z163" s="291"/>
      <c r="AA163" s="284"/>
      <c r="AB163" s="284"/>
      <c r="AC163" s="377"/>
      <c r="AD163" s="263"/>
      <c r="AE163" s="261"/>
      <c r="AF163" s="365"/>
      <c r="AG163" s="366"/>
      <c r="AH163" s="366"/>
      <c r="AI163" s="366"/>
      <c r="AJ163" s="367"/>
      <c r="AK163" s="366"/>
      <c r="AL163" s="368"/>
      <c r="AM163" s="373"/>
      <c r="AN163" s="366"/>
      <c r="AO163" s="369"/>
      <c r="AP163" s="366"/>
      <c r="AQ163" s="366"/>
      <c r="AR163" s="369"/>
      <c r="AS163" s="369"/>
      <c r="AT163" s="366"/>
      <c r="AU163" s="366"/>
      <c r="AV163" s="369"/>
      <c r="AW163" s="366"/>
      <c r="AX163" s="366"/>
      <c r="AY163" s="366"/>
      <c r="AZ163" s="366"/>
      <c r="BA163" s="366"/>
    </row>
    <row r="164" spans="1:53" s="371" customFormat="1" ht="12.75" customHeight="1" x14ac:dyDescent="0.25">
      <c r="A164" s="1013"/>
      <c r="B164" s="286" t="s">
        <v>1179</v>
      </c>
      <c r="C164" s="277">
        <f>C154</f>
        <v>19.495759833054819</v>
      </c>
      <c r="D164" s="336"/>
      <c r="E164" s="300" t="s">
        <v>2112</v>
      </c>
      <c r="F164" s="301" t="s">
        <v>1</v>
      </c>
      <c r="G164" s="302">
        <v>0.47</v>
      </c>
      <c r="H164" s="302">
        <v>10</v>
      </c>
      <c r="I164" s="303">
        <f>G164*H164</f>
        <v>4.6999999999999993</v>
      </c>
      <c r="J164" s="290" t="s">
        <v>1513</v>
      </c>
      <c r="K164" s="292">
        <v>2</v>
      </c>
      <c r="L164" s="292">
        <v>25</v>
      </c>
      <c r="M164" s="304">
        <v>0.5</v>
      </c>
      <c r="N164" s="433">
        <f>L164/'Исп. коэффициенты'!E52*(C166+C167)</f>
        <v>4.7126684180450566E-3</v>
      </c>
      <c r="O164" s="291"/>
      <c r="P164" s="291"/>
      <c r="Q164" s="372"/>
      <c r="R164" s="291"/>
      <c r="S164" s="291"/>
      <c r="T164" s="291"/>
      <c r="U164" s="291"/>
      <c r="V164" s="291"/>
      <c r="W164" s="372"/>
      <c r="X164" s="291"/>
      <c r="Y164" s="291"/>
      <c r="Z164" s="291"/>
      <c r="AA164" s="284"/>
      <c r="AB164" s="284"/>
      <c r="AC164" s="377"/>
      <c r="AD164" s="263"/>
      <c r="AE164" s="261"/>
      <c r="AF164" s="365"/>
      <c r="AG164" s="366"/>
      <c r="AH164" s="366"/>
      <c r="AI164" s="366"/>
      <c r="AJ164" s="367"/>
      <c r="AK164" s="366"/>
      <c r="AL164" s="368"/>
      <c r="AM164" s="366"/>
      <c r="AN164" s="366"/>
      <c r="AO164" s="369"/>
      <c r="AP164" s="366"/>
      <c r="AQ164" s="366"/>
      <c r="AR164" s="369"/>
      <c r="AS164" s="369"/>
      <c r="AT164" s="366"/>
      <c r="AU164" s="366"/>
      <c r="AV164" s="369"/>
      <c r="AW164" s="366"/>
      <c r="AX164" s="366"/>
      <c r="AY164" s="366"/>
      <c r="AZ164" s="366"/>
      <c r="BA164" s="366"/>
    </row>
    <row r="165" spans="1:53" s="371" customFormat="1" ht="12.75" customHeight="1" x14ac:dyDescent="0.25">
      <c r="A165" s="1013"/>
      <c r="B165" s="286" t="s">
        <v>831</v>
      </c>
      <c r="C165" s="313"/>
      <c r="D165" s="336"/>
      <c r="E165" s="300" t="s">
        <v>9</v>
      </c>
      <c r="F165" s="376" t="s">
        <v>1441</v>
      </c>
      <c r="G165" s="302">
        <v>0.68</v>
      </c>
      <c r="H165" s="301">
        <v>1</v>
      </c>
      <c r="I165" s="303">
        <f t="shared" ref="I165" si="15">G165*H165</f>
        <v>0.68</v>
      </c>
      <c r="J165" s="290"/>
      <c r="K165" s="374"/>
      <c r="L165" s="292"/>
      <c r="M165" s="292"/>
      <c r="N165" s="292"/>
      <c r="O165" s="291"/>
      <c r="P165" s="291"/>
      <c r="Q165" s="372"/>
      <c r="R165" s="291"/>
      <c r="S165" s="291"/>
      <c r="T165" s="291"/>
      <c r="U165" s="291"/>
      <c r="V165" s="291"/>
      <c r="W165" s="372"/>
      <c r="X165" s="291"/>
      <c r="Y165" s="291"/>
      <c r="Z165" s="291"/>
      <c r="AA165" s="284"/>
      <c r="AB165" s="284"/>
      <c r="AC165" s="377"/>
      <c r="AD165" s="263"/>
      <c r="AE165" s="261"/>
      <c r="AF165" s="365"/>
      <c r="AG165" s="366"/>
      <c r="AH165" s="366"/>
      <c r="AI165" s="366"/>
      <c r="AJ165" s="367"/>
      <c r="AK165" s="366"/>
      <c r="AL165" s="368"/>
      <c r="AM165" s="366"/>
      <c r="AN165" s="366"/>
      <c r="AO165" s="369"/>
      <c r="AP165" s="366"/>
      <c r="AQ165" s="366"/>
      <c r="AR165" s="369"/>
      <c r="AS165" s="369"/>
      <c r="AT165" s="366"/>
      <c r="AU165" s="366"/>
      <c r="AV165" s="369"/>
      <c r="AW165" s="366"/>
      <c r="AX165" s="366"/>
      <c r="AY165" s="366"/>
      <c r="AZ165" s="366"/>
      <c r="BA165" s="366"/>
    </row>
    <row r="166" spans="1:53" s="371" customFormat="1" ht="12.75" customHeight="1" x14ac:dyDescent="0.25">
      <c r="A166" s="1013"/>
      <c r="B166" s="309" t="s">
        <v>1178</v>
      </c>
      <c r="C166" s="314">
        <v>1</v>
      </c>
      <c r="D166" s="336"/>
      <c r="E166" s="300"/>
      <c r="F166" s="301"/>
      <c r="G166" s="302"/>
      <c r="H166" s="301"/>
      <c r="I166" s="303"/>
      <c r="J166" s="290"/>
      <c r="K166" s="374"/>
      <c r="L166" s="292"/>
      <c r="M166" s="292"/>
      <c r="N166" s="292"/>
      <c r="O166" s="291"/>
      <c r="P166" s="291"/>
      <c r="Q166" s="372"/>
      <c r="R166" s="291"/>
      <c r="S166" s="291"/>
      <c r="T166" s="291"/>
      <c r="U166" s="291"/>
      <c r="V166" s="291"/>
      <c r="W166" s="372"/>
      <c r="X166" s="291"/>
      <c r="Y166" s="291"/>
      <c r="Z166" s="291"/>
      <c r="AA166" s="284"/>
      <c r="AB166" s="284"/>
      <c r="AC166" s="377"/>
      <c r="AD166" s="263"/>
      <c r="AE166" s="261"/>
      <c r="AF166" s="365"/>
      <c r="AG166" s="366"/>
      <c r="AH166" s="366"/>
      <c r="AI166" s="366"/>
      <c r="AJ166" s="375"/>
      <c r="AK166" s="366"/>
      <c r="AL166" s="368"/>
      <c r="AM166" s="366"/>
      <c r="AN166" s="366"/>
      <c r="AO166" s="369"/>
      <c r="AP166" s="366"/>
      <c r="AQ166" s="366"/>
      <c r="AR166" s="369"/>
      <c r="AS166" s="369"/>
      <c r="AT166" s="366"/>
      <c r="AU166" s="366"/>
      <c r="AV166" s="369"/>
      <c r="AW166" s="366"/>
      <c r="AX166" s="366"/>
      <c r="AY166" s="366"/>
      <c r="AZ166" s="366"/>
      <c r="BA166" s="366"/>
    </row>
    <row r="167" spans="1:53" s="371" customFormat="1" ht="12.75" customHeight="1" x14ac:dyDescent="0.25">
      <c r="A167" s="1013"/>
      <c r="B167" s="286" t="s">
        <v>1179</v>
      </c>
      <c r="C167" s="314">
        <v>1</v>
      </c>
      <c r="D167" s="336"/>
      <c r="E167" s="300"/>
      <c r="F167" s="376"/>
      <c r="G167" s="302"/>
      <c r="H167" s="301"/>
      <c r="I167" s="303"/>
      <c r="J167" s="290"/>
      <c r="K167" s="374"/>
      <c r="L167" s="292"/>
      <c r="M167" s="292"/>
      <c r="N167" s="292"/>
      <c r="O167" s="291"/>
      <c r="P167" s="291"/>
      <c r="Q167" s="372"/>
      <c r="R167" s="291"/>
      <c r="S167" s="291"/>
      <c r="T167" s="291"/>
      <c r="U167" s="291"/>
      <c r="V167" s="291"/>
      <c r="W167" s="372"/>
      <c r="X167" s="291"/>
      <c r="Y167" s="291"/>
      <c r="Z167" s="291"/>
      <c r="AA167" s="284"/>
      <c r="AB167" s="284"/>
      <c r="AC167" s="377"/>
      <c r="AD167" s="263"/>
      <c r="AE167" s="261"/>
      <c r="AF167" s="365"/>
      <c r="AG167" s="366"/>
      <c r="AH167" s="366"/>
      <c r="AI167" s="366"/>
      <c r="AJ167" s="375"/>
      <c r="AK167" s="366"/>
      <c r="AL167" s="368"/>
      <c r="AM167" s="366"/>
      <c r="AN167" s="366"/>
      <c r="AO167" s="369"/>
      <c r="AP167" s="366"/>
      <c r="AQ167" s="366"/>
      <c r="AR167" s="369"/>
      <c r="AS167" s="369"/>
      <c r="AT167" s="366"/>
      <c r="AU167" s="366"/>
      <c r="AV167" s="369"/>
      <c r="AW167" s="366"/>
      <c r="AX167" s="366"/>
      <c r="AY167" s="366"/>
      <c r="AZ167" s="366"/>
      <c r="BA167" s="366"/>
    </row>
    <row r="168" spans="1:53" s="371" customFormat="1" ht="12.75" customHeight="1" x14ac:dyDescent="0.25">
      <c r="A168" s="1013"/>
      <c r="B168" s="315" t="s">
        <v>1181</v>
      </c>
      <c r="C168" s="277">
        <f>C163*C166+C164*C167</f>
        <v>53.163469285289004</v>
      </c>
      <c r="D168" s="336"/>
      <c r="E168" s="300"/>
      <c r="F168" s="376"/>
      <c r="G168" s="302"/>
      <c r="H168" s="301"/>
      <c r="I168" s="303"/>
      <c r="J168" s="290"/>
      <c r="K168" s="374"/>
      <c r="L168" s="292"/>
      <c r="M168" s="292"/>
      <c r="N168" s="292"/>
      <c r="O168" s="291"/>
      <c r="P168" s="291"/>
      <c r="Q168" s="372"/>
      <c r="R168" s="291"/>
      <c r="S168" s="291"/>
      <c r="T168" s="291"/>
      <c r="U168" s="291"/>
      <c r="V168" s="291"/>
      <c r="W168" s="372"/>
      <c r="X168" s="291"/>
      <c r="Y168" s="291"/>
      <c r="Z168" s="291"/>
      <c r="AA168" s="284"/>
      <c r="AB168" s="284"/>
      <c r="AC168" s="377"/>
      <c r="AD168" s="263"/>
      <c r="AE168" s="261"/>
      <c r="AF168" s="365"/>
      <c r="AG168" s="366"/>
      <c r="AH168" s="366"/>
      <c r="AI168" s="366"/>
      <c r="AJ168" s="367"/>
      <c r="AK168" s="366"/>
      <c r="AL168" s="368"/>
      <c r="AM168" s="366"/>
      <c r="AN168" s="366"/>
      <c r="AO168" s="369"/>
      <c r="AP168" s="366"/>
      <c r="AQ168" s="366"/>
      <c r="AR168" s="369"/>
      <c r="AS168" s="369"/>
      <c r="AT168" s="366"/>
      <c r="AU168" s="366"/>
      <c r="AV168" s="369"/>
      <c r="AW168" s="366"/>
      <c r="AX168" s="366"/>
      <c r="AY168" s="366"/>
      <c r="AZ168" s="366"/>
      <c r="BA168" s="366"/>
    </row>
    <row r="169" spans="1:53" s="371" customFormat="1" ht="12.75" customHeight="1" x14ac:dyDescent="0.25">
      <c r="A169" s="1014"/>
      <c r="B169" s="315"/>
      <c r="C169" s="314"/>
      <c r="D169" s="337"/>
      <c r="E169" s="300"/>
      <c r="F169" s="376"/>
      <c r="G169" s="302"/>
      <c r="H169" s="301"/>
      <c r="I169" s="303"/>
      <c r="J169" s="290"/>
      <c r="K169" s="374"/>
      <c r="L169" s="292"/>
      <c r="M169" s="292"/>
      <c r="N169" s="292"/>
      <c r="O169" s="291"/>
      <c r="P169" s="291"/>
      <c r="Q169" s="372"/>
      <c r="R169" s="291"/>
      <c r="S169" s="291"/>
      <c r="T169" s="291"/>
      <c r="U169" s="291"/>
      <c r="V169" s="291"/>
      <c r="W169" s="372"/>
      <c r="X169" s="291"/>
      <c r="Y169" s="291"/>
      <c r="Z169" s="291"/>
      <c r="AA169" s="284"/>
      <c r="AB169" s="284"/>
      <c r="AC169" s="377"/>
      <c r="AD169" s="263"/>
      <c r="AE169" s="261"/>
      <c r="AF169" s="365"/>
      <c r="AG169" s="366"/>
      <c r="AH169" s="366"/>
      <c r="AI169" s="366"/>
      <c r="AJ169" s="375"/>
      <c r="AK169" s="366"/>
      <c r="AL169" s="368"/>
      <c r="AM169" s="366"/>
      <c r="AN169" s="366"/>
      <c r="AO169" s="369"/>
      <c r="AP169" s="366"/>
      <c r="AQ169" s="366"/>
      <c r="AR169" s="369"/>
      <c r="AS169" s="369"/>
      <c r="AT169" s="366"/>
      <c r="AU169" s="366"/>
      <c r="AV169" s="369"/>
      <c r="AW169" s="366"/>
      <c r="AX169" s="366"/>
      <c r="AY169" s="366"/>
      <c r="AZ169" s="366"/>
      <c r="BA169" s="366"/>
    </row>
    <row r="170" spans="1:53" ht="56.25" customHeight="1" x14ac:dyDescent="0.25">
      <c r="A170" s="1012" t="s">
        <v>227</v>
      </c>
      <c r="B170" s="353" t="s">
        <v>705</v>
      </c>
      <c r="C170" s="277"/>
      <c r="D170" s="287"/>
      <c r="E170" s="278" t="s">
        <v>488</v>
      </c>
      <c r="F170" s="279" t="s">
        <v>837</v>
      </c>
      <c r="G170" s="277" t="s">
        <v>489</v>
      </c>
      <c r="H170" s="278" t="s">
        <v>1170</v>
      </c>
      <c r="I170" s="279" t="s">
        <v>838</v>
      </c>
      <c r="J170" s="280" t="s">
        <v>1171</v>
      </c>
      <c r="K170" s="280" t="s">
        <v>490</v>
      </c>
      <c r="L170" s="281" t="s">
        <v>489</v>
      </c>
      <c r="M170" s="280" t="s">
        <v>1172</v>
      </c>
      <c r="N170" s="354" t="s">
        <v>838</v>
      </c>
      <c r="O170" s="280" t="s">
        <v>1171</v>
      </c>
      <c r="P170" s="280" t="s">
        <v>826</v>
      </c>
      <c r="Q170" s="282" t="s">
        <v>1173</v>
      </c>
      <c r="R170" s="280" t="s">
        <v>1174</v>
      </c>
      <c r="S170" s="280" t="s">
        <v>839</v>
      </c>
      <c r="T170" s="280" t="s">
        <v>1171</v>
      </c>
      <c r="U170" s="280" t="s">
        <v>1392</v>
      </c>
      <c r="V170" s="282" t="s">
        <v>1173</v>
      </c>
      <c r="W170" s="280" t="s">
        <v>841</v>
      </c>
      <c r="X170" s="280" t="s">
        <v>1394</v>
      </c>
      <c r="Y170" s="280" t="s">
        <v>839</v>
      </c>
      <c r="Z170" s="283"/>
      <c r="AA170" s="284"/>
      <c r="AB170" s="284"/>
      <c r="AC170" s="377"/>
      <c r="AD170" s="263"/>
      <c r="AQ170" s="355"/>
      <c r="AR170" s="355"/>
      <c r="AS170" s="355"/>
    </row>
    <row r="171" spans="1:53" s="270" customFormat="1" ht="12" customHeight="1" x14ac:dyDescent="0.25">
      <c r="A171" s="1013"/>
      <c r="B171" s="285" t="s">
        <v>1175</v>
      </c>
      <c r="C171" s="277">
        <f>C178</f>
        <v>42.530775428231202</v>
      </c>
      <c r="D171" s="336">
        <f>C171*$D$5</f>
        <v>8.5912166365027041</v>
      </c>
      <c r="E171" s="286" t="s">
        <v>1176</v>
      </c>
      <c r="F171" s="356"/>
      <c r="G171" s="288"/>
      <c r="H171" s="288"/>
      <c r="I171" s="289">
        <f>SUM(I172:I179)</f>
        <v>11.055</v>
      </c>
      <c r="J171" s="290" t="s">
        <v>1176</v>
      </c>
      <c r="K171" s="357"/>
      <c r="L171" s="291"/>
      <c r="M171" s="291"/>
      <c r="N171" s="433">
        <f>SUM(N172:N179)</f>
        <v>0.13120068875837437</v>
      </c>
      <c r="O171" s="291" t="s">
        <v>1176</v>
      </c>
      <c r="P171" s="291"/>
      <c r="Q171" s="372"/>
      <c r="R171" s="294"/>
      <c r="S171" s="433">
        <f>SUM(S172:S179)</f>
        <v>0.16685711502277673</v>
      </c>
      <c r="T171" s="291" t="s">
        <v>1176</v>
      </c>
      <c r="U171" s="307"/>
      <c r="V171" s="308"/>
      <c r="W171" s="306"/>
      <c r="X171" s="292"/>
      <c r="Y171" s="433">
        <f>SUM(Y172:Y179)</f>
        <v>6.9582706301489914</v>
      </c>
      <c r="Z171" s="296">
        <f>(C171+D171+I171+N171+Y171+S171)*$Z$5</f>
        <v>90.276348782238543</v>
      </c>
      <c r="AA171" s="297">
        <f>C171+D171+I171+N171+S171+Y171+Z171</f>
        <v>159.70966928090257</v>
      </c>
      <c r="AB171" s="298">
        <v>0.25</v>
      </c>
      <c r="AC171" s="358">
        <f>AA171*(1+AB171)</f>
        <v>199.6370866011282</v>
      </c>
      <c r="AD171" s="265"/>
      <c r="AE171" s="261"/>
      <c r="AF171" s="262"/>
      <c r="AG171" s="263"/>
      <c r="AH171" s="263"/>
      <c r="AI171" s="355"/>
      <c r="AJ171" s="359"/>
      <c r="AK171" s="360"/>
      <c r="AL171" s="264"/>
      <c r="AM171" s="361"/>
      <c r="AN171" s="143"/>
      <c r="AO171" s="362"/>
      <c r="AP171" s="363"/>
      <c r="AQ171" s="363"/>
      <c r="AR171" s="363"/>
      <c r="AS171" s="363"/>
      <c r="AT171" s="363"/>
      <c r="AU171" s="362"/>
      <c r="AV171" s="362"/>
      <c r="AW171" s="364"/>
      <c r="AX171" s="272"/>
      <c r="AY171" s="272"/>
      <c r="AZ171" s="272"/>
      <c r="BA171" s="272"/>
    </row>
    <row r="172" spans="1:53" s="371" customFormat="1" ht="12.75" customHeight="1" x14ac:dyDescent="0.25">
      <c r="A172" s="1013"/>
      <c r="B172" s="299" t="s">
        <v>830</v>
      </c>
      <c r="C172" s="277"/>
      <c r="D172" s="336"/>
      <c r="E172" s="300" t="s">
        <v>2186</v>
      </c>
      <c r="F172" s="301" t="s">
        <v>1441</v>
      </c>
      <c r="G172" s="302">
        <v>5.36</v>
      </c>
      <c r="H172" s="301">
        <v>1</v>
      </c>
      <c r="I172" s="303">
        <f>G172*H172</f>
        <v>5.36</v>
      </c>
      <c r="J172" s="290" t="s">
        <v>1291</v>
      </c>
      <c r="K172" s="304">
        <v>2</v>
      </c>
      <c r="L172" s="305">
        <v>750</v>
      </c>
      <c r="M172" s="304">
        <v>2</v>
      </c>
      <c r="N172" s="433">
        <f>L172/'Исп. коэффициенты'!E52*(C176+C177)</f>
        <v>0.11310404203308136</v>
      </c>
      <c r="O172" s="291" t="s">
        <v>1667</v>
      </c>
      <c r="P172" s="291">
        <v>4500</v>
      </c>
      <c r="Q172" s="291">
        <v>19.670000000000002</v>
      </c>
      <c r="R172" s="291">
        <v>885.15</v>
      </c>
      <c r="S172" s="433">
        <f>R172/'Исп. коэффициенты'!E52*C176</f>
        <v>6.6742695203721308E-2</v>
      </c>
      <c r="T172" s="306" t="s">
        <v>1435</v>
      </c>
      <c r="U172" s="307">
        <v>6785401.3499999996</v>
      </c>
      <c r="V172" s="308">
        <v>1.3599999999999999E-2</v>
      </c>
      <c r="W172" s="306">
        <f>'Исп. коэффициенты'!E124</f>
        <v>2978.5</v>
      </c>
      <c r="X172" s="433">
        <f>U172*V172</f>
        <v>92281.45835999999</v>
      </c>
      <c r="Y172" s="295">
        <f>X172/'Исп. коэффициенты'!E52*C176</f>
        <v>6.9582706301489914</v>
      </c>
      <c r="Z172" s="291"/>
      <c r="AA172" s="284"/>
      <c r="AB172" s="284"/>
      <c r="AC172" s="377"/>
      <c r="AD172" s="263"/>
      <c r="AE172" s="261"/>
      <c r="AF172" s="365"/>
      <c r="AG172" s="366"/>
      <c r="AH172" s="366"/>
      <c r="AI172" s="366"/>
      <c r="AJ172" s="367"/>
      <c r="AK172" s="366"/>
      <c r="AL172" s="368"/>
      <c r="AM172" s="366"/>
      <c r="AN172" s="366"/>
      <c r="AO172" s="369"/>
      <c r="AP172" s="366"/>
      <c r="AQ172" s="366"/>
      <c r="AR172" s="369"/>
      <c r="AS172" s="369"/>
      <c r="AT172" s="370"/>
      <c r="AU172" s="366"/>
      <c r="AV172" s="369"/>
      <c r="AW172" s="366"/>
      <c r="AX172" s="366"/>
      <c r="AY172" s="366"/>
      <c r="AZ172" s="366"/>
      <c r="BA172" s="366"/>
    </row>
    <row r="173" spans="1:53" s="371" customFormat="1" x14ac:dyDescent="0.25">
      <c r="A173" s="1013"/>
      <c r="B173" s="309" t="s">
        <v>1178</v>
      </c>
      <c r="C173" s="310">
        <f>C163</f>
        <v>33.667709452234185</v>
      </c>
      <c r="D173" s="336"/>
      <c r="E173" s="300" t="s">
        <v>2187</v>
      </c>
      <c r="F173" s="301" t="s">
        <v>1</v>
      </c>
      <c r="G173" s="302">
        <v>6.3E-2</v>
      </c>
      <c r="H173" s="301">
        <v>5</v>
      </c>
      <c r="I173" s="303">
        <f>G173*H173</f>
        <v>0.315</v>
      </c>
      <c r="J173" s="290" t="s">
        <v>1445</v>
      </c>
      <c r="K173" s="292">
        <v>2</v>
      </c>
      <c r="L173" s="311">
        <v>95</v>
      </c>
      <c r="M173" s="304">
        <v>2</v>
      </c>
      <c r="N173" s="433">
        <f>L173/'Исп. коэффициенты'!E52*(C176+C177)</f>
        <v>1.4326511990856973E-2</v>
      </c>
      <c r="O173" s="291" t="s">
        <v>1668</v>
      </c>
      <c r="P173" s="291">
        <v>6750</v>
      </c>
      <c r="Q173" s="291">
        <v>19.670000000000002</v>
      </c>
      <c r="R173" s="291">
        <v>1327.73</v>
      </c>
      <c r="S173" s="433">
        <f>R173/'Исп. коэффициенты'!E52*C176</f>
        <v>0.1001144198190554</v>
      </c>
      <c r="T173" s="291"/>
      <c r="U173" s="291"/>
      <c r="V173" s="291"/>
      <c r="W173" s="372"/>
      <c r="X173" s="291"/>
      <c r="Y173" s="291"/>
      <c r="Z173" s="291"/>
      <c r="AA173" s="284"/>
      <c r="AB173" s="284"/>
      <c r="AC173" s="377"/>
      <c r="AD173" s="263"/>
      <c r="AE173" s="261"/>
      <c r="AF173" s="365"/>
      <c r="AG173" s="366"/>
      <c r="AH173" s="366"/>
      <c r="AI173" s="366"/>
      <c r="AJ173" s="367"/>
      <c r="AK173" s="366"/>
      <c r="AL173" s="368"/>
      <c r="AM173" s="373"/>
      <c r="AN173" s="366"/>
      <c r="AO173" s="369"/>
      <c r="AP173" s="366"/>
      <c r="AQ173" s="366"/>
      <c r="AR173" s="369"/>
      <c r="AS173" s="369"/>
      <c r="AT173" s="366"/>
      <c r="AU173" s="366"/>
      <c r="AV173" s="369"/>
      <c r="AW173" s="366"/>
      <c r="AX173" s="366"/>
      <c r="AY173" s="366"/>
      <c r="AZ173" s="366"/>
      <c r="BA173" s="366"/>
    </row>
    <row r="174" spans="1:53" s="371" customFormat="1" ht="12.75" customHeight="1" x14ac:dyDescent="0.25">
      <c r="A174" s="1013"/>
      <c r="B174" s="286" t="s">
        <v>1179</v>
      </c>
      <c r="C174" s="277">
        <f>C164</f>
        <v>19.495759833054819</v>
      </c>
      <c r="D174" s="336"/>
      <c r="E174" s="300" t="s">
        <v>2112</v>
      </c>
      <c r="F174" s="301" t="s">
        <v>1</v>
      </c>
      <c r="G174" s="302">
        <v>0.47</v>
      </c>
      <c r="H174" s="302">
        <v>10</v>
      </c>
      <c r="I174" s="303">
        <f>G174*H174</f>
        <v>4.6999999999999993</v>
      </c>
      <c r="J174" s="290" t="s">
        <v>1513</v>
      </c>
      <c r="K174" s="292">
        <v>2</v>
      </c>
      <c r="L174" s="292">
        <v>25</v>
      </c>
      <c r="M174" s="304">
        <v>0.5</v>
      </c>
      <c r="N174" s="433">
        <f>L174/'Исп. коэффициенты'!E52*(C176+C177)</f>
        <v>3.7701347344360455E-3</v>
      </c>
      <c r="O174" s="291"/>
      <c r="P174" s="291"/>
      <c r="Q174" s="372"/>
      <c r="R174" s="291"/>
      <c r="S174" s="291"/>
      <c r="T174" s="291"/>
      <c r="U174" s="291"/>
      <c r="V174" s="291"/>
      <c r="W174" s="372"/>
      <c r="X174" s="291"/>
      <c r="Y174" s="291"/>
      <c r="Z174" s="291"/>
      <c r="AA174" s="284"/>
      <c r="AB174" s="284"/>
      <c r="AC174" s="377"/>
      <c r="AD174" s="263"/>
      <c r="AE174" s="261"/>
      <c r="AF174" s="365"/>
      <c r="AG174" s="366"/>
      <c r="AH174" s="366"/>
      <c r="AI174" s="366"/>
      <c r="AJ174" s="367"/>
      <c r="AK174" s="366"/>
      <c r="AL174" s="368"/>
      <c r="AM174" s="366"/>
      <c r="AN174" s="366"/>
      <c r="AO174" s="369"/>
      <c r="AP174" s="366"/>
      <c r="AQ174" s="366"/>
      <c r="AR174" s="369"/>
      <c r="AS174" s="369"/>
      <c r="AT174" s="366"/>
      <c r="AU174" s="366"/>
      <c r="AV174" s="369"/>
      <c r="AW174" s="366"/>
      <c r="AX174" s="366"/>
      <c r="AY174" s="366"/>
      <c r="AZ174" s="366"/>
      <c r="BA174" s="366"/>
    </row>
    <row r="175" spans="1:53" s="371" customFormat="1" ht="12.75" customHeight="1" x14ac:dyDescent="0.25">
      <c r="A175" s="1013"/>
      <c r="B175" s="286" t="s">
        <v>831</v>
      </c>
      <c r="C175" s="313"/>
      <c r="D175" s="336"/>
      <c r="E175" s="300" t="s">
        <v>9</v>
      </c>
      <c r="F175" s="376" t="s">
        <v>1441</v>
      </c>
      <c r="G175" s="302">
        <v>0.68</v>
      </c>
      <c r="H175" s="301">
        <v>1</v>
      </c>
      <c r="I175" s="303">
        <f t="shared" ref="I175" si="16">G175*H175</f>
        <v>0.68</v>
      </c>
      <c r="J175" s="290"/>
      <c r="K175" s="374"/>
      <c r="L175" s="292"/>
      <c r="M175" s="292"/>
      <c r="N175" s="292"/>
      <c r="O175" s="291"/>
      <c r="P175" s="291"/>
      <c r="Q175" s="372"/>
      <c r="R175" s="291"/>
      <c r="S175" s="291"/>
      <c r="T175" s="291"/>
      <c r="U175" s="291"/>
      <c r="V175" s="291"/>
      <c r="W175" s="372"/>
      <c r="X175" s="291"/>
      <c r="Y175" s="291"/>
      <c r="Z175" s="291"/>
      <c r="AA175" s="284"/>
      <c r="AB175" s="284"/>
      <c r="AC175" s="377"/>
      <c r="AD175" s="263"/>
      <c r="AE175" s="261"/>
      <c r="AF175" s="365"/>
      <c r="AG175" s="366"/>
      <c r="AH175" s="366"/>
      <c r="AI175" s="366"/>
      <c r="AJ175" s="367"/>
      <c r="AK175" s="366"/>
      <c r="AL175" s="368"/>
      <c r="AM175" s="366"/>
      <c r="AN175" s="366"/>
      <c r="AO175" s="369"/>
      <c r="AP175" s="366"/>
      <c r="AQ175" s="366"/>
      <c r="AR175" s="369"/>
      <c r="AS175" s="369"/>
      <c r="AT175" s="366"/>
      <c r="AU175" s="366"/>
      <c r="AV175" s="369"/>
      <c r="AW175" s="366"/>
      <c r="AX175" s="366"/>
      <c r="AY175" s="366"/>
      <c r="AZ175" s="366"/>
      <c r="BA175" s="366"/>
    </row>
    <row r="176" spans="1:53" s="371" customFormat="1" ht="12.75" customHeight="1" x14ac:dyDescent="0.25">
      <c r="A176" s="1013"/>
      <c r="B176" s="309" t="s">
        <v>1178</v>
      </c>
      <c r="C176" s="314">
        <v>0.8</v>
      </c>
      <c r="D176" s="336"/>
      <c r="E176" s="300"/>
      <c r="F176" s="301"/>
      <c r="G176" s="302"/>
      <c r="H176" s="301"/>
      <c r="I176" s="303"/>
      <c r="J176" s="290"/>
      <c r="K176" s="374"/>
      <c r="L176" s="292"/>
      <c r="M176" s="292"/>
      <c r="N176" s="292"/>
      <c r="O176" s="291"/>
      <c r="P176" s="291"/>
      <c r="Q176" s="372"/>
      <c r="R176" s="291"/>
      <c r="S176" s="291"/>
      <c r="T176" s="291"/>
      <c r="U176" s="291"/>
      <c r="V176" s="291"/>
      <c r="W176" s="372"/>
      <c r="X176" s="291"/>
      <c r="Y176" s="291"/>
      <c r="Z176" s="291"/>
      <c r="AA176" s="284"/>
      <c r="AB176" s="284"/>
      <c r="AC176" s="377"/>
      <c r="AD176" s="263"/>
      <c r="AE176" s="261"/>
      <c r="AF176" s="365"/>
      <c r="AG176" s="366"/>
      <c r="AH176" s="366"/>
      <c r="AI176" s="366"/>
      <c r="AJ176" s="375"/>
      <c r="AK176" s="366"/>
      <c r="AL176" s="368"/>
      <c r="AM176" s="366"/>
      <c r="AN176" s="366"/>
      <c r="AO176" s="369"/>
      <c r="AP176" s="366"/>
      <c r="AQ176" s="366"/>
      <c r="AR176" s="369"/>
      <c r="AS176" s="369"/>
      <c r="AT176" s="366"/>
      <c r="AU176" s="366"/>
      <c r="AV176" s="369"/>
      <c r="AW176" s="366"/>
      <c r="AX176" s="366"/>
      <c r="AY176" s="366"/>
      <c r="AZ176" s="366"/>
      <c r="BA176" s="366"/>
    </row>
    <row r="177" spans="1:53" s="371" customFormat="1" ht="12.75" customHeight="1" x14ac:dyDescent="0.25">
      <c r="A177" s="1013"/>
      <c r="B177" s="286" t="s">
        <v>1179</v>
      </c>
      <c r="C177" s="314">
        <v>0.8</v>
      </c>
      <c r="D177" s="336"/>
      <c r="E177" s="300"/>
      <c r="F177" s="376"/>
      <c r="G177" s="302"/>
      <c r="H177" s="301"/>
      <c r="I177" s="303"/>
      <c r="J177" s="290"/>
      <c r="K177" s="374"/>
      <c r="L177" s="292"/>
      <c r="M177" s="292"/>
      <c r="N177" s="292"/>
      <c r="O177" s="291"/>
      <c r="P177" s="291"/>
      <c r="Q177" s="372"/>
      <c r="R177" s="291"/>
      <c r="S177" s="291"/>
      <c r="T177" s="291"/>
      <c r="U177" s="291"/>
      <c r="V177" s="291"/>
      <c r="W177" s="372"/>
      <c r="X177" s="291"/>
      <c r="Y177" s="291"/>
      <c r="Z177" s="291"/>
      <c r="AA177" s="284"/>
      <c r="AB177" s="284"/>
      <c r="AC177" s="377"/>
      <c r="AD177" s="263"/>
      <c r="AE177" s="261"/>
      <c r="AF177" s="365"/>
      <c r="AG177" s="366"/>
      <c r="AH177" s="366"/>
      <c r="AI177" s="366"/>
      <c r="AJ177" s="375"/>
      <c r="AK177" s="366"/>
      <c r="AL177" s="368"/>
      <c r="AM177" s="366"/>
      <c r="AN177" s="366"/>
      <c r="AO177" s="369"/>
      <c r="AP177" s="366"/>
      <c r="AQ177" s="366"/>
      <c r="AR177" s="369"/>
      <c r="AS177" s="369"/>
      <c r="AT177" s="366"/>
      <c r="AU177" s="366"/>
      <c r="AV177" s="369"/>
      <c r="AW177" s="366"/>
      <c r="AX177" s="366"/>
      <c r="AY177" s="366"/>
      <c r="AZ177" s="366"/>
      <c r="BA177" s="366"/>
    </row>
    <row r="178" spans="1:53" s="371" customFormat="1" ht="12.75" customHeight="1" x14ac:dyDescent="0.25">
      <c r="A178" s="1013"/>
      <c r="B178" s="315" t="s">
        <v>1181</v>
      </c>
      <c r="C178" s="277">
        <f>C173*C176+C174*C177</f>
        <v>42.530775428231202</v>
      </c>
      <c r="D178" s="336"/>
      <c r="E178" s="300"/>
      <c r="F178" s="376"/>
      <c r="G178" s="302"/>
      <c r="H178" s="301"/>
      <c r="I178" s="303"/>
      <c r="J178" s="290"/>
      <c r="K178" s="374"/>
      <c r="L178" s="292"/>
      <c r="M178" s="292"/>
      <c r="N178" s="292"/>
      <c r="O178" s="291"/>
      <c r="P178" s="291"/>
      <c r="Q178" s="372"/>
      <c r="R178" s="291"/>
      <c r="S178" s="291"/>
      <c r="T178" s="291"/>
      <c r="U178" s="291"/>
      <c r="V178" s="291"/>
      <c r="W178" s="372"/>
      <c r="X178" s="291"/>
      <c r="Y178" s="291"/>
      <c r="Z178" s="291"/>
      <c r="AA178" s="284"/>
      <c r="AB178" s="284"/>
      <c r="AC178" s="377"/>
      <c r="AD178" s="263"/>
      <c r="AE178" s="261"/>
      <c r="AF178" s="365"/>
      <c r="AG178" s="366"/>
      <c r="AH178" s="366"/>
      <c r="AI178" s="366"/>
      <c r="AJ178" s="367"/>
      <c r="AK178" s="366"/>
      <c r="AL178" s="368"/>
      <c r="AM178" s="366"/>
      <c r="AN178" s="366"/>
      <c r="AO178" s="369"/>
      <c r="AP178" s="366"/>
      <c r="AQ178" s="366"/>
      <c r="AR178" s="369"/>
      <c r="AS178" s="369"/>
      <c r="AT178" s="366"/>
      <c r="AU178" s="366"/>
      <c r="AV178" s="369"/>
      <c r="AW178" s="366"/>
      <c r="AX178" s="366"/>
      <c r="AY178" s="366"/>
      <c r="AZ178" s="366"/>
      <c r="BA178" s="366"/>
    </row>
    <row r="179" spans="1:53" s="371" customFormat="1" ht="12.75" customHeight="1" x14ac:dyDescent="0.25">
      <c r="A179" s="1014"/>
      <c r="B179" s="315"/>
      <c r="C179" s="314"/>
      <c r="D179" s="337"/>
      <c r="E179" s="300"/>
      <c r="F179" s="376"/>
      <c r="G179" s="302"/>
      <c r="H179" s="301"/>
      <c r="I179" s="303"/>
      <c r="J179" s="290"/>
      <c r="K179" s="374"/>
      <c r="L179" s="292"/>
      <c r="M179" s="292"/>
      <c r="N179" s="292"/>
      <c r="O179" s="291"/>
      <c r="P179" s="291"/>
      <c r="Q179" s="372"/>
      <c r="R179" s="291"/>
      <c r="S179" s="291"/>
      <c r="T179" s="291"/>
      <c r="U179" s="291"/>
      <c r="V179" s="291"/>
      <c r="W179" s="372"/>
      <c r="X179" s="291"/>
      <c r="Y179" s="291"/>
      <c r="Z179" s="291"/>
      <c r="AA179" s="284"/>
      <c r="AB179" s="284"/>
      <c r="AC179" s="377"/>
      <c r="AD179" s="263"/>
      <c r="AE179" s="261"/>
      <c r="AF179" s="365"/>
      <c r="AG179" s="366"/>
      <c r="AH179" s="366"/>
      <c r="AI179" s="366"/>
      <c r="AJ179" s="375"/>
      <c r="AK179" s="366"/>
      <c r="AL179" s="368"/>
      <c r="AM179" s="366"/>
      <c r="AN179" s="366"/>
      <c r="AO179" s="369"/>
      <c r="AP179" s="366"/>
      <c r="AQ179" s="366"/>
      <c r="AR179" s="369"/>
      <c r="AS179" s="369"/>
      <c r="AT179" s="366"/>
      <c r="AU179" s="366"/>
      <c r="AV179" s="369"/>
      <c r="AW179" s="366"/>
      <c r="AX179" s="366"/>
      <c r="AY179" s="366"/>
      <c r="AZ179" s="366"/>
      <c r="BA179" s="366"/>
    </row>
    <row r="180" spans="1:53" ht="56.25" customHeight="1" x14ac:dyDescent="0.25">
      <c r="A180" s="1012" t="s">
        <v>228</v>
      </c>
      <c r="B180" s="353" t="s">
        <v>706</v>
      </c>
      <c r="C180" s="277"/>
      <c r="D180" s="287"/>
      <c r="E180" s="278" t="s">
        <v>488</v>
      </c>
      <c r="F180" s="279" t="s">
        <v>837</v>
      </c>
      <c r="G180" s="277" t="s">
        <v>489</v>
      </c>
      <c r="H180" s="278" t="s">
        <v>1170</v>
      </c>
      <c r="I180" s="279" t="s">
        <v>838</v>
      </c>
      <c r="J180" s="280" t="s">
        <v>1171</v>
      </c>
      <c r="K180" s="280" t="s">
        <v>490</v>
      </c>
      <c r="L180" s="281" t="s">
        <v>489</v>
      </c>
      <c r="M180" s="280" t="s">
        <v>1172</v>
      </c>
      <c r="N180" s="354" t="s">
        <v>838</v>
      </c>
      <c r="O180" s="280" t="s">
        <v>1171</v>
      </c>
      <c r="P180" s="280" t="s">
        <v>826</v>
      </c>
      <c r="Q180" s="282" t="s">
        <v>1173</v>
      </c>
      <c r="R180" s="280" t="s">
        <v>1174</v>
      </c>
      <c r="S180" s="280" t="s">
        <v>839</v>
      </c>
      <c r="T180" s="280" t="s">
        <v>1171</v>
      </c>
      <c r="U180" s="280" t="s">
        <v>1392</v>
      </c>
      <c r="V180" s="282" t="s">
        <v>1173</v>
      </c>
      <c r="W180" s="280" t="s">
        <v>841</v>
      </c>
      <c r="X180" s="280" t="s">
        <v>1394</v>
      </c>
      <c r="Y180" s="280" t="s">
        <v>839</v>
      </c>
      <c r="Z180" s="283"/>
      <c r="AA180" s="284"/>
      <c r="AB180" s="284"/>
      <c r="AC180" s="377"/>
      <c r="AD180" s="263"/>
      <c r="AQ180" s="355"/>
      <c r="AR180" s="355"/>
      <c r="AS180" s="355"/>
    </row>
    <row r="181" spans="1:53" s="270" customFormat="1" ht="12" customHeight="1" x14ac:dyDescent="0.25">
      <c r="A181" s="1013"/>
      <c r="B181" s="285" t="s">
        <v>1175</v>
      </c>
      <c r="C181" s="277">
        <f>C188</f>
        <v>31.8980815711734</v>
      </c>
      <c r="D181" s="336">
        <f>C181*$D$5</f>
        <v>6.4434124773770272</v>
      </c>
      <c r="E181" s="286" t="s">
        <v>1176</v>
      </c>
      <c r="F181" s="356"/>
      <c r="G181" s="288"/>
      <c r="H181" s="288"/>
      <c r="I181" s="289">
        <f>SUM(I182:I189)</f>
        <v>11.055</v>
      </c>
      <c r="J181" s="290" t="s">
        <v>1176</v>
      </c>
      <c r="K181" s="357"/>
      <c r="L181" s="291"/>
      <c r="M181" s="291"/>
      <c r="N181" s="433">
        <f>SUM(N182:N189)</f>
        <v>9.840051656878078E-2</v>
      </c>
      <c r="O181" s="291" t="s">
        <v>1176</v>
      </c>
      <c r="P181" s="291"/>
      <c r="Q181" s="372"/>
      <c r="R181" s="294"/>
      <c r="S181" s="433">
        <f>SUM(S182:S189)</f>
        <v>0.1251428362670825</v>
      </c>
      <c r="T181" s="291" t="s">
        <v>1176</v>
      </c>
      <c r="U181" s="307"/>
      <c r="V181" s="308"/>
      <c r="W181" s="306"/>
      <c r="X181" s="292"/>
      <c r="Y181" s="433">
        <f>SUM(Y182:Y189)</f>
        <v>5.2187029726117427</v>
      </c>
      <c r="Z181" s="296">
        <f>(C181+D181+I181+N181+Y181+S181)*$Z$5</f>
        <v>71.30065532264048</v>
      </c>
      <c r="AA181" s="297">
        <f>C181+D181+I181+N181+S181+Y181+Z181</f>
        <v>126.13939569663852</v>
      </c>
      <c r="AB181" s="298">
        <v>0.25</v>
      </c>
      <c r="AC181" s="358">
        <f>AA181*(1+AB181)</f>
        <v>157.67424462079813</v>
      </c>
      <c r="AD181" s="265"/>
      <c r="AE181" s="261"/>
      <c r="AF181" s="262"/>
      <c r="AG181" s="263"/>
      <c r="AH181" s="263"/>
      <c r="AI181" s="355"/>
      <c r="AJ181" s="359"/>
      <c r="AK181" s="360"/>
      <c r="AL181" s="264"/>
      <c r="AM181" s="361"/>
      <c r="AN181" s="143"/>
      <c r="AO181" s="362"/>
      <c r="AP181" s="363"/>
      <c r="AQ181" s="363"/>
      <c r="AR181" s="363"/>
      <c r="AS181" s="363"/>
      <c r="AT181" s="363"/>
      <c r="AU181" s="362"/>
      <c r="AV181" s="362"/>
      <c r="AW181" s="364"/>
      <c r="AX181" s="272"/>
      <c r="AY181" s="272"/>
      <c r="AZ181" s="272"/>
      <c r="BA181" s="272"/>
    </row>
    <row r="182" spans="1:53" s="371" customFormat="1" ht="12.75" customHeight="1" x14ac:dyDescent="0.25">
      <c r="A182" s="1013"/>
      <c r="B182" s="299" t="s">
        <v>830</v>
      </c>
      <c r="C182" s="277"/>
      <c r="D182" s="336"/>
      <c r="E182" s="300" t="s">
        <v>2186</v>
      </c>
      <c r="F182" s="301" t="s">
        <v>1441</v>
      </c>
      <c r="G182" s="302">
        <v>5.36</v>
      </c>
      <c r="H182" s="301">
        <v>1</v>
      </c>
      <c r="I182" s="303">
        <f>G182*H182</f>
        <v>5.36</v>
      </c>
      <c r="J182" s="290" t="s">
        <v>1291</v>
      </c>
      <c r="K182" s="304">
        <v>2</v>
      </c>
      <c r="L182" s="305">
        <v>750</v>
      </c>
      <c r="M182" s="304">
        <v>2</v>
      </c>
      <c r="N182" s="433">
        <f>L182/'Исп. коэффициенты'!E52*(C186+C187)</f>
        <v>8.4828031524811012E-2</v>
      </c>
      <c r="O182" s="291" t="s">
        <v>1667</v>
      </c>
      <c r="P182" s="291">
        <v>4500</v>
      </c>
      <c r="Q182" s="291">
        <v>19.670000000000002</v>
      </c>
      <c r="R182" s="291">
        <v>885.15</v>
      </c>
      <c r="S182" s="433">
        <f>R182/'Исп. коэффициенты'!E52*C186</f>
        <v>5.0057021402790974E-2</v>
      </c>
      <c r="T182" s="306" t="s">
        <v>1435</v>
      </c>
      <c r="U182" s="307">
        <v>6785401.3499999996</v>
      </c>
      <c r="V182" s="308">
        <v>1.3599999999999999E-2</v>
      </c>
      <c r="W182" s="306">
        <f>'Исп. коэффициенты'!E124</f>
        <v>2978.5</v>
      </c>
      <c r="X182" s="433">
        <f>U182*V182</f>
        <v>92281.45835999999</v>
      </c>
      <c r="Y182" s="295">
        <f>X182/'Исп. коэффициенты'!E52*C186</f>
        <v>5.2187029726117427</v>
      </c>
      <c r="Z182" s="291"/>
      <c r="AA182" s="284"/>
      <c r="AB182" s="284"/>
      <c r="AC182" s="377"/>
      <c r="AD182" s="263"/>
      <c r="AE182" s="261"/>
      <c r="AF182" s="365"/>
      <c r="AG182" s="366"/>
      <c r="AH182" s="366"/>
      <c r="AI182" s="366"/>
      <c r="AJ182" s="367"/>
      <c r="AK182" s="366"/>
      <c r="AL182" s="368"/>
      <c r="AM182" s="366"/>
      <c r="AN182" s="366"/>
      <c r="AO182" s="369"/>
      <c r="AP182" s="366"/>
      <c r="AQ182" s="366"/>
      <c r="AR182" s="369"/>
      <c r="AS182" s="369"/>
      <c r="AT182" s="370"/>
      <c r="AU182" s="366"/>
      <c r="AV182" s="369"/>
      <c r="AW182" s="366"/>
      <c r="AX182" s="366"/>
      <c r="AY182" s="366"/>
      <c r="AZ182" s="366"/>
      <c r="BA182" s="366"/>
    </row>
    <row r="183" spans="1:53" s="371" customFormat="1" x14ac:dyDescent="0.25">
      <c r="A183" s="1013"/>
      <c r="B183" s="309" t="s">
        <v>1178</v>
      </c>
      <c r="C183" s="310">
        <f>C173</f>
        <v>33.667709452234185</v>
      </c>
      <c r="D183" s="336"/>
      <c r="E183" s="300" t="s">
        <v>2187</v>
      </c>
      <c r="F183" s="301" t="s">
        <v>1</v>
      </c>
      <c r="G183" s="302">
        <v>6.3E-2</v>
      </c>
      <c r="H183" s="301">
        <v>5</v>
      </c>
      <c r="I183" s="303">
        <f>G183*H183</f>
        <v>0.315</v>
      </c>
      <c r="J183" s="290" t="s">
        <v>1445</v>
      </c>
      <c r="K183" s="292">
        <v>2</v>
      </c>
      <c r="L183" s="311">
        <v>95</v>
      </c>
      <c r="M183" s="304">
        <v>2</v>
      </c>
      <c r="N183" s="433">
        <f>L183/'Исп. коэффициенты'!E52*(C186+C187)</f>
        <v>1.0744883993142728E-2</v>
      </c>
      <c r="O183" s="291" t="s">
        <v>1668</v>
      </c>
      <c r="P183" s="291">
        <v>6750</v>
      </c>
      <c r="Q183" s="291">
        <v>19.670000000000002</v>
      </c>
      <c r="R183" s="291">
        <v>1327.73</v>
      </c>
      <c r="S183" s="433">
        <f>R183/'Исп. коэффициенты'!E52*C186</f>
        <v>7.5085814864291542E-2</v>
      </c>
      <c r="T183" s="291"/>
      <c r="U183" s="291"/>
      <c r="V183" s="291"/>
      <c r="W183" s="372"/>
      <c r="X183" s="291"/>
      <c r="Y183" s="291"/>
      <c r="Z183" s="291"/>
      <c r="AA183" s="284"/>
      <c r="AB183" s="284"/>
      <c r="AC183" s="377"/>
      <c r="AD183" s="263"/>
      <c r="AE183" s="261"/>
      <c r="AF183" s="365"/>
      <c r="AG183" s="366"/>
      <c r="AH183" s="366"/>
      <c r="AI183" s="366"/>
      <c r="AJ183" s="367"/>
      <c r="AK183" s="366"/>
      <c r="AL183" s="368"/>
      <c r="AM183" s="373"/>
      <c r="AN183" s="366"/>
      <c r="AO183" s="369"/>
      <c r="AP183" s="366"/>
      <c r="AQ183" s="366"/>
      <c r="AR183" s="369"/>
      <c r="AS183" s="369"/>
      <c r="AT183" s="366"/>
      <c r="AU183" s="366"/>
      <c r="AV183" s="369"/>
      <c r="AW183" s="366"/>
      <c r="AX183" s="366"/>
      <c r="AY183" s="366"/>
      <c r="AZ183" s="366"/>
      <c r="BA183" s="366"/>
    </row>
    <row r="184" spans="1:53" s="371" customFormat="1" ht="12.75" customHeight="1" x14ac:dyDescent="0.25">
      <c r="A184" s="1013"/>
      <c r="B184" s="286" t="s">
        <v>1179</v>
      </c>
      <c r="C184" s="277">
        <f>C174</f>
        <v>19.495759833054819</v>
      </c>
      <c r="D184" s="336"/>
      <c r="E184" s="300" t="s">
        <v>2112</v>
      </c>
      <c r="F184" s="301" t="s">
        <v>1</v>
      </c>
      <c r="G184" s="302">
        <v>0.47</v>
      </c>
      <c r="H184" s="302">
        <v>10</v>
      </c>
      <c r="I184" s="303">
        <f>G184*H184</f>
        <v>4.6999999999999993</v>
      </c>
      <c r="J184" s="290" t="s">
        <v>1513</v>
      </c>
      <c r="K184" s="292">
        <v>2</v>
      </c>
      <c r="L184" s="292">
        <v>25</v>
      </c>
      <c r="M184" s="304">
        <v>0.5</v>
      </c>
      <c r="N184" s="433">
        <f>L184/'Исп. коэффициенты'!E52*(C186+C187)</f>
        <v>2.8276010508270339E-3</v>
      </c>
      <c r="O184" s="291"/>
      <c r="P184" s="291"/>
      <c r="Q184" s="372"/>
      <c r="R184" s="291"/>
      <c r="S184" s="291"/>
      <c r="T184" s="291"/>
      <c r="U184" s="291"/>
      <c r="V184" s="291"/>
      <c r="W184" s="372"/>
      <c r="X184" s="291"/>
      <c r="Y184" s="291"/>
      <c r="Z184" s="291"/>
      <c r="AA184" s="284"/>
      <c r="AB184" s="284"/>
      <c r="AC184" s="377"/>
      <c r="AD184" s="263"/>
      <c r="AE184" s="261"/>
      <c r="AF184" s="365"/>
      <c r="AG184" s="366"/>
      <c r="AH184" s="366"/>
      <c r="AI184" s="366"/>
      <c r="AJ184" s="367"/>
      <c r="AK184" s="366"/>
      <c r="AL184" s="368"/>
      <c r="AM184" s="366"/>
      <c r="AN184" s="366"/>
      <c r="AO184" s="369"/>
      <c r="AP184" s="366"/>
      <c r="AQ184" s="366"/>
      <c r="AR184" s="369"/>
      <c r="AS184" s="369"/>
      <c r="AT184" s="366"/>
      <c r="AU184" s="366"/>
      <c r="AV184" s="369"/>
      <c r="AW184" s="366"/>
      <c r="AX184" s="366"/>
      <c r="AY184" s="366"/>
      <c r="AZ184" s="366"/>
      <c r="BA184" s="366"/>
    </row>
    <row r="185" spans="1:53" s="371" customFormat="1" ht="12.75" customHeight="1" x14ac:dyDescent="0.25">
      <c r="A185" s="1013"/>
      <c r="B185" s="286" t="s">
        <v>831</v>
      </c>
      <c r="C185" s="313"/>
      <c r="D185" s="336"/>
      <c r="E185" s="300" t="s">
        <v>9</v>
      </c>
      <c r="F185" s="376" t="s">
        <v>1441</v>
      </c>
      <c r="G185" s="302">
        <v>0.68</v>
      </c>
      <c r="H185" s="301">
        <v>1</v>
      </c>
      <c r="I185" s="303">
        <f t="shared" ref="I185" si="17">G185*H185</f>
        <v>0.68</v>
      </c>
      <c r="J185" s="290"/>
      <c r="K185" s="374"/>
      <c r="L185" s="292"/>
      <c r="M185" s="292"/>
      <c r="N185" s="292"/>
      <c r="O185" s="291"/>
      <c r="P185" s="291"/>
      <c r="Q185" s="372"/>
      <c r="R185" s="291"/>
      <c r="S185" s="291"/>
      <c r="T185" s="291"/>
      <c r="U185" s="291"/>
      <c r="V185" s="291"/>
      <c r="W185" s="372"/>
      <c r="X185" s="291"/>
      <c r="Y185" s="291"/>
      <c r="Z185" s="291"/>
      <c r="AA185" s="284"/>
      <c r="AB185" s="284"/>
      <c r="AC185" s="377"/>
      <c r="AD185" s="263"/>
      <c r="AE185" s="261"/>
      <c r="AF185" s="365"/>
      <c r="AG185" s="366"/>
      <c r="AH185" s="366"/>
      <c r="AI185" s="366"/>
      <c r="AJ185" s="367"/>
      <c r="AK185" s="366"/>
      <c r="AL185" s="368"/>
      <c r="AM185" s="366"/>
      <c r="AN185" s="366"/>
      <c r="AO185" s="369"/>
      <c r="AP185" s="366"/>
      <c r="AQ185" s="366"/>
      <c r="AR185" s="369"/>
      <c r="AS185" s="369"/>
      <c r="AT185" s="366"/>
      <c r="AU185" s="366"/>
      <c r="AV185" s="369"/>
      <c r="AW185" s="366"/>
      <c r="AX185" s="366"/>
      <c r="AY185" s="366"/>
      <c r="AZ185" s="366"/>
      <c r="BA185" s="366"/>
    </row>
    <row r="186" spans="1:53" s="371" customFormat="1" ht="12.75" customHeight="1" x14ac:dyDescent="0.25">
      <c r="A186" s="1013"/>
      <c r="B186" s="309" t="s">
        <v>1178</v>
      </c>
      <c r="C186" s="314">
        <v>0.6</v>
      </c>
      <c r="D186" s="336"/>
      <c r="E186" s="300"/>
      <c r="F186" s="301"/>
      <c r="G186" s="302"/>
      <c r="H186" s="301"/>
      <c r="I186" s="303"/>
      <c r="J186" s="290"/>
      <c r="K186" s="374"/>
      <c r="L186" s="292"/>
      <c r="M186" s="292"/>
      <c r="N186" s="292"/>
      <c r="O186" s="291"/>
      <c r="P186" s="291"/>
      <c r="Q186" s="372"/>
      <c r="R186" s="291"/>
      <c r="S186" s="291"/>
      <c r="T186" s="291"/>
      <c r="U186" s="291"/>
      <c r="V186" s="291"/>
      <c r="W186" s="372"/>
      <c r="X186" s="291"/>
      <c r="Y186" s="291"/>
      <c r="Z186" s="291"/>
      <c r="AA186" s="284"/>
      <c r="AB186" s="284"/>
      <c r="AC186" s="377"/>
      <c r="AD186" s="263"/>
      <c r="AE186" s="261"/>
      <c r="AF186" s="365"/>
      <c r="AG186" s="366"/>
      <c r="AH186" s="366"/>
      <c r="AI186" s="366"/>
      <c r="AJ186" s="375"/>
      <c r="AK186" s="366"/>
      <c r="AL186" s="368"/>
      <c r="AM186" s="366"/>
      <c r="AN186" s="366"/>
      <c r="AO186" s="369"/>
      <c r="AP186" s="366"/>
      <c r="AQ186" s="366"/>
      <c r="AR186" s="369"/>
      <c r="AS186" s="369"/>
      <c r="AT186" s="366"/>
      <c r="AU186" s="366"/>
      <c r="AV186" s="369"/>
      <c r="AW186" s="366"/>
      <c r="AX186" s="366"/>
      <c r="AY186" s="366"/>
      <c r="AZ186" s="366"/>
      <c r="BA186" s="366"/>
    </row>
    <row r="187" spans="1:53" s="371" customFormat="1" ht="12.75" customHeight="1" x14ac:dyDescent="0.25">
      <c r="A187" s="1013"/>
      <c r="B187" s="286" t="s">
        <v>1179</v>
      </c>
      <c r="C187" s="314">
        <v>0.6</v>
      </c>
      <c r="D187" s="336"/>
      <c r="E187" s="300"/>
      <c r="F187" s="376"/>
      <c r="G187" s="302"/>
      <c r="H187" s="301"/>
      <c r="I187" s="303"/>
      <c r="J187" s="290"/>
      <c r="K187" s="374"/>
      <c r="L187" s="292"/>
      <c r="M187" s="292"/>
      <c r="N187" s="292"/>
      <c r="O187" s="291"/>
      <c r="P187" s="291"/>
      <c r="Q187" s="372"/>
      <c r="R187" s="291"/>
      <c r="S187" s="291"/>
      <c r="T187" s="291"/>
      <c r="U187" s="291"/>
      <c r="V187" s="291"/>
      <c r="W187" s="372"/>
      <c r="X187" s="291"/>
      <c r="Y187" s="291"/>
      <c r="Z187" s="291"/>
      <c r="AA187" s="284"/>
      <c r="AB187" s="284"/>
      <c r="AC187" s="377"/>
      <c r="AD187" s="263"/>
      <c r="AE187" s="261"/>
      <c r="AF187" s="365"/>
      <c r="AG187" s="366"/>
      <c r="AH187" s="366"/>
      <c r="AI187" s="366"/>
      <c r="AJ187" s="375"/>
      <c r="AK187" s="366"/>
      <c r="AL187" s="368"/>
      <c r="AM187" s="366"/>
      <c r="AN187" s="366"/>
      <c r="AO187" s="369"/>
      <c r="AP187" s="366"/>
      <c r="AQ187" s="366"/>
      <c r="AR187" s="369"/>
      <c r="AS187" s="369"/>
      <c r="AT187" s="366"/>
      <c r="AU187" s="366"/>
      <c r="AV187" s="369"/>
      <c r="AW187" s="366"/>
      <c r="AX187" s="366"/>
      <c r="AY187" s="366"/>
      <c r="AZ187" s="366"/>
      <c r="BA187" s="366"/>
    </row>
    <row r="188" spans="1:53" s="371" customFormat="1" ht="12.75" customHeight="1" x14ac:dyDescent="0.25">
      <c r="A188" s="1013"/>
      <c r="B188" s="315" t="s">
        <v>1181</v>
      </c>
      <c r="C188" s="277">
        <f>C183*C186+C184*C187</f>
        <v>31.8980815711734</v>
      </c>
      <c r="D188" s="336"/>
      <c r="E188" s="300"/>
      <c r="F188" s="376"/>
      <c r="G188" s="302"/>
      <c r="H188" s="301"/>
      <c r="I188" s="303"/>
      <c r="J188" s="290"/>
      <c r="K188" s="374"/>
      <c r="L188" s="292"/>
      <c r="M188" s="292"/>
      <c r="N188" s="292"/>
      <c r="O188" s="291"/>
      <c r="P188" s="291"/>
      <c r="Q188" s="372"/>
      <c r="R188" s="291"/>
      <c r="S188" s="291"/>
      <c r="T188" s="291"/>
      <c r="U188" s="291"/>
      <c r="V188" s="291"/>
      <c r="W188" s="372"/>
      <c r="X188" s="291"/>
      <c r="Y188" s="291"/>
      <c r="Z188" s="291"/>
      <c r="AA188" s="284"/>
      <c r="AB188" s="284"/>
      <c r="AC188" s="377"/>
      <c r="AD188" s="263"/>
      <c r="AE188" s="261"/>
      <c r="AF188" s="365"/>
      <c r="AG188" s="366"/>
      <c r="AH188" s="366"/>
      <c r="AI188" s="366"/>
      <c r="AJ188" s="367"/>
      <c r="AK188" s="366"/>
      <c r="AL188" s="368"/>
      <c r="AM188" s="366"/>
      <c r="AN188" s="366"/>
      <c r="AO188" s="369"/>
      <c r="AP188" s="366"/>
      <c r="AQ188" s="366"/>
      <c r="AR188" s="369"/>
      <c r="AS188" s="369"/>
      <c r="AT188" s="366"/>
      <c r="AU188" s="366"/>
      <c r="AV188" s="369"/>
      <c r="AW188" s="366"/>
      <c r="AX188" s="366"/>
      <c r="AY188" s="366"/>
      <c r="AZ188" s="366"/>
      <c r="BA188" s="366"/>
    </row>
    <row r="189" spans="1:53" s="371" customFormat="1" ht="12.75" customHeight="1" x14ac:dyDescent="0.25">
      <c r="A189" s="1014"/>
      <c r="B189" s="315"/>
      <c r="C189" s="314"/>
      <c r="D189" s="337"/>
      <c r="E189" s="300"/>
      <c r="F189" s="376"/>
      <c r="G189" s="302"/>
      <c r="H189" s="301"/>
      <c r="I189" s="303"/>
      <c r="J189" s="290"/>
      <c r="K189" s="374"/>
      <c r="L189" s="292"/>
      <c r="M189" s="292"/>
      <c r="N189" s="292"/>
      <c r="O189" s="291"/>
      <c r="P189" s="291"/>
      <c r="Q189" s="372"/>
      <c r="R189" s="291"/>
      <c r="S189" s="291"/>
      <c r="T189" s="291"/>
      <c r="U189" s="291"/>
      <c r="V189" s="291"/>
      <c r="W189" s="372"/>
      <c r="X189" s="291"/>
      <c r="Y189" s="291"/>
      <c r="Z189" s="291"/>
      <c r="AA189" s="284"/>
      <c r="AB189" s="284"/>
      <c r="AC189" s="377"/>
      <c r="AD189" s="263"/>
      <c r="AE189" s="261"/>
      <c r="AF189" s="365"/>
      <c r="AG189" s="366"/>
      <c r="AH189" s="366"/>
      <c r="AI189" s="366"/>
      <c r="AJ189" s="375"/>
      <c r="AK189" s="366"/>
      <c r="AL189" s="368"/>
      <c r="AM189" s="366"/>
      <c r="AN189" s="366"/>
      <c r="AO189" s="369"/>
      <c r="AP189" s="366"/>
      <c r="AQ189" s="366"/>
      <c r="AR189" s="369"/>
      <c r="AS189" s="369"/>
      <c r="AT189" s="366"/>
      <c r="AU189" s="366"/>
      <c r="AV189" s="369"/>
      <c r="AW189" s="366"/>
      <c r="AX189" s="366"/>
      <c r="AY189" s="366"/>
      <c r="AZ189" s="366"/>
      <c r="BA189" s="366"/>
    </row>
    <row r="190" spans="1:53" ht="56.25" customHeight="1" x14ac:dyDescent="0.25">
      <c r="A190" s="1012" t="s">
        <v>229</v>
      </c>
      <c r="B190" s="353" t="s">
        <v>707</v>
      </c>
      <c r="C190" s="277"/>
      <c r="D190" s="287"/>
      <c r="E190" s="278" t="s">
        <v>488</v>
      </c>
      <c r="F190" s="279" t="s">
        <v>837</v>
      </c>
      <c r="G190" s="277" t="s">
        <v>489</v>
      </c>
      <c r="H190" s="278" t="s">
        <v>1170</v>
      </c>
      <c r="I190" s="279" t="s">
        <v>838</v>
      </c>
      <c r="J190" s="280" t="s">
        <v>1171</v>
      </c>
      <c r="K190" s="280" t="s">
        <v>490</v>
      </c>
      <c r="L190" s="281" t="s">
        <v>489</v>
      </c>
      <c r="M190" s="280" t="s">
        <v>1172</v>
      </c>
      <c r="N190" s="354" t="s">
        <v>838</v>
      </c>
      <c r="O190" s="280" t="s">
        <v>1171</v>
      </c>
      <c r="P190" s="280" t="s">
        <v>826</v>
      </c>
      <c r="Q190" s="282" t="s">
        <v>1173</v>
      </c>
      <c r="R190" s="280" t="s">
        <v>1174</v>
      </c>
      <c r="S190" s="280" t="s">
        <v>839</v>
      </c>
      <c r="T190" s="280" t="s">
        <v>1171</v>
      </c>
      <c r="U190" s="280" t="s">
        <v>1392</v>
      </c>
      <c r="V190" s="282" t="s">
        <v>1173</v>
      </c>
      <c r="W190" s="280" t="s">
        <v>841</v>
      </c>
      <c r="X190" s="280" t="s">
        <v>1394</v>
      </c>
      <c r="Y190" s="280" t="s">
        <v>839</v>
      </c>
      <c r="Z190" s="283"/>
      <c r="AA190" s="284"/>
      <c r="AB190" s="284"/>
      <c r="AC190" s="377"/>
      <c r="AD190" s="263"/>
      <c r="AQ190" s="355"/>
      <c r="AR190" s="355"/>
      <c r="AS190" s="355"/>
    </row>
    <row r="191" spans="1:53" s="270" customFormat="1" ht="12" customHeight="1" x14ac:dyDescent="0.25">
      <c r="A191" s="1013"/>
      <c r="B191" s="285" t="s">
        <v>1175</v>
      </c>
      <c r="C191" s="277">
        <f>C198</f>
        <v>31.8980815711734</v>
      </c>
      <c r="D191" s="336">
        <f>C191*$D$5</f>
        <v>6.4434124773770272</v>
      </c>
      <c r="E191" s="286" t="s">
        <v>1176</v>
      </c>
      <c r="F191" s="356"/>
      <c r="G191" s="288"/>
      <c r="H191" s="288"/>
      <c r="I191" s="289">
        <f>SUM(I192:I199)</f>
        <v>11.055</v>
      </c>
      <c r="J191" s="290" t="s">
        <v>1176</v>
      </c>
      <c r="K191" s="357"/>
      <c r="L191" s="291"/>
      <c r="M191" s="291"/>
      <c r="N191" s="433">
        <f>SUM(N192:N199)</f>
        <v>9.840051656878078E-2</v>
      </c>
      <c r="O191" s="291" t="s">
        <v>1176</v>
      </c>
      <c r="P191" s="291"/>
      <c r="Q191" s="372"/>
      <c r="R191" s="294"/>
      <c r="S191" s="433">
        <f>SUM(S192:S199)</f>
        <v>0.1251428362670825</v>
      </c>
      <c r="T191" s="291" t="s">
        <v>1176</v>
      </c>
      <c r="U191" s="307"/>
      <c r="V191" s="308"/>
      <c r="W191" s="306"/>
      <c r="X191" s="292"/>
      <c r="Y191" s="433">
        <f>SUM(Y192:Y199)</f>
        <v>5.2187029726117427</v>
      </c>
      <c r="Z191" s="296">
        <f>(C191+D191+I191+N191+Y191+S191)*$Z$5</f>
        <v>71.30065532264048</v>
      </c>
      <c r="AA191" s="297">
        <f>C191+D191+I191+N191+S191+Y191+Z191</f>
        <v>126.13939569663852</v>
      </c>
      <c r="AB191" s="298">
        <v>0.25</v>
      </c>
      <c r="AC191" s="358">
        <f>AA191*(1+AB191)</f>
        <v>157.67424462079813</v>
      </c>
      <c r="AD191" s="265"/>
      <c r="AE191" s="261"/>
      <c r="AF191" s="262"/>
      <c r="AG191" s="263"/>
      <c r="AH191" s="263"/>
      <c r="AI191" s="355"/>
      <c r="AJ191" s="359"/>
      <c r="AK191" s="360"/>
      <c r="AL191" s="264"/>
      <c r="AM191" s="361"/>
      <c r="AN191" s="143"/>
      <c r="AO191" s="362"/>
      <c r="AP191" s="363"/>
      <c r="AQ191" s="363"/>
      <c r="AR191" s="363"/>
      <c r="AS191" s="363"/>
      <c r="AT191" s="363"/>
      <c r="AU191" s="362"/>
      <c r="AV191" s="362"/>
      <c r="AW191" s="364"/>
      <c r="AX191" s="272"/>
      <c r="AY191" s="272"/>
      <c r="AZ191" s="272"/>
      <c r="BA191" s="272"/>
    </row>
    <row r="192" spans="1:53" s="371" customFormat="1" ht="12.75" customHeight="1" x14ac:dyDescent="0.25">
      <c r="A192" s="1013"/>
      <c r="B192" s="299" t="s">
        <v>830</v>
      </c>
      <c r="C192" s="277"/>
      <c r="D192" s="336"/>
      <c r="E192" s="300" t="s">
        <v>2186</v>
      </c>
      <c r="F192" s="301" t="s">
        <v>1441</v>
      </c>
      <c r="G192" s="302">
        <v>5.36</v>
      </c>
      <c r="H192" s="301">
        <v>1</v>
      </c>
      <c r="I192" s="303">
        <f>G192*H192</f>
        <v>5.36</v>
      </c>
      <c r="J192" s="290" t="s">
        <v>1291</v>
      </c>
      <c r="K192" s="304">
        <v>2</v>
      </c>
      <c r="L192" s="305">
        <v>750</v>
      </c>
      <c r="M192" s="304">
        <v>2</v>
      </c>
      <c r="N192" s="433">
        <f>L192/'Исп. коэффициенты'!E52*(C196+C197)</f>
        <v>8.4828031524811012E-2</v>
      </c>
      <c r="O192" s="291" t="s">
        <v>1667</v>
      </c>
      <c r="P192" s="291">
        <v>4500</v>
      </c>
      <c r="Q192" s="291">
        <v>19.670000000000002</v>
      </c>
      <c r="R192" s="291">
        <v>885.15</v>
      </c>
      <c r="S192" s="433">
        <f>R192/'Исп. коэффициенты'!E52*C196</f>
        <v>5.0057021402790974E-2</v>
      </c>
      <c r="T192" s="306" t="s">
        <v>1435</v>
      </c>
      <c r="U192" s="307">
        <v>6785401.3499999996</v>
      </c>
      <c r="V192" s="308">
        <v>1.3599999999999999E-2</v>
      </c>
      <c r="W192" s="306">
        <f>'Исп. коэффициенты'!E124</f>
        <v>2978.5</v>
      </c>
      <c r="X192" s="433">
        <f>U192*V192</f>
        <v>92281.45835999999</v>
      </c>
      <c r="Y192" s="295">
        <f>X192/'Исп. коэффициенты'!E52*C196</f>
        <v>5.2187029726117427</v>
      </c>
      <c r="Z192" s="291"/>
      <c r="AA192" s="284"/>
      <c r="AB192" s="284"/>
      <c r="AC192" s="377"/>
      <c r="AD192" s="263"/>
      <c r="AE192" s="261"/>
      <c r="AF192" s="365"/>
      <c r="AG192" s="366"/>
      <c r="AH192" s="366"/>
      <c r="AI192" s="366"/>
      <c r="AJ192" s="367"/>
      <c r="AK192" s="366"/>
      <c r="AL192" s="368"/>
      <c r="AM192" s="366"/>
      <c r="AN192" s="366"/>
      <c r="AO192" s="369"/>
      <c r="AP192" s="366"/>
      <c r="AQ192" s="366"/>
      <c r="AR192" s="369"/>
      <c r="AS192" s="369"/>
      <c r="AT192" s="370"/>
      <c r="AU192" s="366"/>
      <c r="AV192" s="369"/>
      <c r="AW192" s="366"/>
      <c r="AX192" s="366"/>
      <c r="AY192" s="366"/>
      <c r="AZ192" s="366"/>
      <c r="BA192" s="366"/>
    </row>
    <row r="193" spans="1:53" s="371" customFormat="1" x14ac:dyDescent="0.25">
      <c r="A193" s="1013"/>
      <c r="B193" s="309" t="s">
        <v>1178</v>
      </c>
      <c r="C193" s="310">
        <f>C183</f>
        <v>33.667709452234185</v>
      </c>
      <c r="D193" s="336"/>
      <c r="E193" s="300" t="s">
        <v>2187</v>
      </c>
      <c r="F193" s="301" t="s">
        <v>1</v>
      </c>
      <c r="G193" s="302">
        <v>6.3E-2</v>
      </c>
      <c r="H193" s="301">
        <v>5</v>
      </c>
      <c r="I193" s="303">
        <f>G193*H193</f>
        <v>0.315</v>
      </c>
      <c r="J193" s="290" t="s">
        <v>1445</v>
      </c>
      <c r="K193" s="292">
        <v>2</v>
      </c>
      <c r="L193" s="311">
        <v>95</v>
      </c>
      <c r="M193" s="304">
        <v>2</v>
      </c>
      <c r="N193" s="433">
        <f>L193/'Исп. коэффициенты'!E52*(C196+C197)</f>
        <v>1.0744883993142728E-2</v>
      </c>
      <c r="O193" s="291" t="s">
        <v>1668</v>
      </c>
      <c r="P193" s="291">
        <v>6750</v>
      </c>
      <c r="Q193" s="291">
        <v>19.670000000000002</v>
      </c>
      <c r="R193" s="291">
        <v>1327.73</v>
      </c>
      <c r="S193" s="433">
        <f>R193/'Исп. коэффициенты'!E52*C196</f>
        <v>7.5085814864291542E-2</v>
      </c>
      <c r="T193" s="291"/>
      <c r="U193" s="291"/>
      <c r="V193" s="291"/>
      <c r="W193" s="372"/>
      <c r="X193" s="291"/>
      <c r="Y193" s="291"/>
      <c r="Z193" s="291"/>
      <c r="AA193" s="284"/>
      <c r="AB193" s="284"/>
      <c r="AC193" s="377"/>
      <c r="AD193" s="263"/>
      <c r="AE193" s="261"/>
      <c r="AF193" s="365"/>
      <c r="AG193" s="366"/>
      <c r="AH193" s="366"/>
      <c r="AI193" s="366"/>
      <c r="AJ193" s="367"/>
      <c r="AK193" s="366"/>
      <c r="AL193" s="368"/>
      <c r="AM193" s="373"/>
      <c r="AN193" s="366"/>
      <c r="AO193" s="369"/>
      <c r="AP193" s="366"/>
      <c r="AQ193" s="366"/>
      <c r="AR193" s="369"/>
      <c r="AS193" s="369"/>
      <c r="AT193" s="366"/>
      <c r="AU193" s="366"/>
      <c r="AV193" s="369"/>
      <c r="AW193" s="366"/>
      <c r="AX193" s="366"/>
      <c r="AY193" s="366"/>
      <c r="AZ193" s="366"/>
      <c r="BA193" s="366"/>
    </row>
    <row r="194" spans="1:53" s="371" customFormat="1" ht="12.75" customHeight="1" x14ac:dyDescent="0.25">
      <c r="A194" s="1013"/>
      <c r="B194" s="286" t="s">
        <v>1179</v>
      </c>
      <c r="C194" s="277">
        <f>C184</f>
        <v>19.495759833054819</v>
      </c>
      <c r="D194" s="336"/>
      <c r="E194" s="300" t="s">
        <v>2112</v>
      </c>
      <c r="F194" s="301" t="s">
        <v>1</v>
      </c>
      <c r="G194" s="302">
        <v>0.47</v>
      </c>
      <c r="H194" s="302">
        <v>10</v>
      </c>
      <c r="I194" s="303">
        <f>G194*H194</f>
        <v>4.6999999999999993</v>
      </c>
      <c r="J194" s="290" t="s">
        <v>1513</v>
      </c>
      <c r="K194" s="292">
        <v>2</v>
      </c>
      <c r="L194" s="292">
        <v>25</v>
      </c>
      <c r="M194" s="304">
        <v>0.5</v>
      </c>
      <c r="N194" s="433">
        <f>L194/'Исп. коэффициенты'!E52*(C196+C197)</f>
        <v>2.8276010508270339E-3</v>
      </c>
      <c r="O194" s="291"/>
      <c r="P194" s="291"/>
      <c r="Q194" s="372"/>
      <c r="R194" s="291"/>
      <c r="S194" s="291"/>
      <c r="T194" s="291"/>
      <c r="U194" s="291"/>
      <c r="V194" s="291"/>
      <c r="W194" s="372"/>
      <c r="X194" s="291"/>
      <c r="Y194" s="291"/>
      <c r="Z194" s="291"/>
      <c r="AA194" s="284"/>
      <c r="AB194" s="284"/>
      <c r="AC194" s="377"/>
      <c r="AD194" s="263"/>
      <c r="AE194" s="261"/>
      <c r="AF194" s="365"/>
      <c r="AG194" s="366"/>
      <c r="AH194" s="366"/>
      <c r="AI194" s="366"/>
      <c r="AJ194" s="367"/>
      <c r="AK194" s="366"/>
      <c r="AL194" s="368"/>
      <c r="AM194" s="366"/>
      <c r="AN194" s="366"/>
      <c r="AO194" s="369"/>
      <c r="AP194" s="366"/>
      <c r="AQ194" s="366"/>
      <c r="AR194" s="369"/>
      <c r="AS194" s="369"/>
      <c r="AT194" s="366"/>
      <c r="AU194" s="366"/>
      <c r="AV194" s="369"/>
      <c r="AW194" s="366"/>
      <c r="AX194" s="366"/>
      <c r="AY194" s="366"/>
      <c r="AZ194" s="366"/>
      <c r="BA194" s="366"/>
    </row>
    <row r="195" spans="1:53" s="371" customFormat="1" ht="12.75" customHeight="1" x14ac:dyDescent="0.25">
      <c r="A195" s="1013"/>
      <c r="B195" s="286" t="s">
        <v>831</v>
      </c>
      <c r="C195" s="313"/>
      <c r="D195" s="336"/>
      <c r="E195" s="300" t="s">
        <v>9</v>
      </c>
      <c r="F195" s="376" t="s">
        <v>1441</v>
      </c>
      <c r="G195" s="302">
        <v>0.68</v>
      </c>
      <c r="H195" s="301">
        <v>1</v>
      </c>
      <c r="I195" s="303">
        <f t="shared" ref="I195" si="18">G195*H195</f>
        <v>0.68</v>
      </c>
      <c r="J195" s="290"/>
      <c r="K195" s="374"/>
      <c r="L195" s="292"/>
      <c r="M195" s="292"/>
      <c r="N195" s="292"/>
      <c r="O195" s="291"/>
      <c r="P195" s="291"/>
      <c r="Q195" s="372"/>
      <c r="R195" s="291"/>
      <c r="S195" s="291"/>
      <c r="T195" s="291"/>
      <c r="U195" s="291"/>
      <c r="V195" s="291"/>
      <c r="W195" s="372"/>
      <c r="X195" s="291"/>
      <c r="Y195" s="291"/>
      <c r="Z195" s="291"/>
      <c r="AA195" s="284"/>
      <c r="AB195" s="284"/>
      <c r="AC195" s="377"/>
      <c r="AD195" s="263"/>
      <c r="AE195" s="261"/>
      <c r="AF195" s="365"/>
      <c r="AG195" s="366"/>
      <c r="AH195" s="366"/>
      <c r="AI195" s="366"/>
      <c r="AJ195" s="367"/>
      <c r="AK195" s="366"/>
      <c r="AL195" s="368"/>
      <c r="AM195" s="366"/>
      <c r="AN195" s="366"/>
      <c r="AO195" s="369"/>
      <c r="AP195" s="366"/>
      <c r="AQ195" s="366"/>
      <c r="AR195" s="369"/>
      <c r="AS195" s="369"/>
      <c r="AT195" s="366"/>
      <c r="AU195" s="366"/>
      <c r="AV195" s="369"/>
      <c r="AW195" s="366"/>
      <c r="AX195" s="366"/>
      <c r="AY195" s="366"/>
      <c r="AZ195" s="366"/>
      <c r="BA195" s="366"/>
    </row>
    <row r="196" spans="1:53" s="371" customFormat="1" ht="12.75" customHeight="1" x14ac:dyDescent="0.25">
      <c r="A196" s="1013"/>
      <c r="B196" s="309" t="s">
        <v>1178</v>
      </c>
      <c r="C196" s="314">
        <v>0.6</v>
      </c>
      <c r="D196" s="336"/>
      <c r="E196" s="300"/>
      <c r="F196" s="301"/>
      <c r="G196" s="302"/>
      <c r="H196" s="301"/>
      <c r="I196" s="303"/>
      <c r="J196" s="290"/>
      <c r="K196" s="374"/>
      <c r="L196" s="292"/>
      <c r="M196" s="292"/>
      <c r="N196" s="292"/>
      <c r="O196" s="291"/>
      <c r="P196" s="291"/>
      <c r="Q196" s="372"/>
      <c r="R196" s="291"/>
      <c r="S196" s="291"/>
      <c r="T196" s="291"/>
      <c r="U196" s="291"/>
      <c r="V196" s="291"/>
      <c r="W196" s="372"/>
      <c r="X196" s="291"/>
      <c r="Y196" s="291"/>
      <c r="Z196" s="291"/>
      <c r="AA196" s="284"/>
      <c r="AB196" s="284"/>
      <c r="AC196" s="377"/>
      <c r="AD196" s="263"/>
      <c r="AE196" s="261"/>
      <c r="AF196" s="365"/>
      <c r="AG196" s="366"/>
      <c r="AH196" s="366"/>
      <c r="AI196" s="366"/>
      <c r="AJ196" s="375"/>
      <c r="AK196" s="366"/>
      <c r="AL196" s="368"/>
      <c r="AM196" s="366"/>
      <c r="AN196" s="366"/>
      <c r="AO196" s="369"/>
      <c r="AP196" s="366"/>
      <c r="AQ196" s="366"/>
      <c r="AR196" s="369"/>
      <c r="AS196" s="369"/>
      <c r="AT196" s="366"/>
      <c r="AU196" s="366"/>
      <c r="AV196" s="369"/>
      <c r="AW196" s="366"/>
      <c r="AX196" s="366"/>
      <c r="AY196" s="366"/>
      <c r="AZ196" s="366"/>
      <c r="BA196" s="366"/>
    </row>
    <row r="197" spans="1:53" s="371" customFormat="1" ht="12.75" customHeight="1" x14ac:dyDescent="0.25">
      <c r="A197" s="1013"/>
      <c r="B197" s="286" t="s">
        <v>1179</v>
      </c>
      <c r="C197" s="314">
        <v>0.6</v>
      </c>
      <c r="D197" s="336"/>
      <c r="E197" s="300"/>
      <c r="F197" s="376"/>
      <c r="G197" s="302"/>
      <c r="H197" s="301"/>
      <c r="I197" s="303"/>
      <c r="J197" s="290"/>
      <c r="K197" s="374"/>
      <c r="L197" s="292"/>
      <c r="M197" s="292"/>
      <c r="N197" s="292"/>
      <c r="O197" s="291"/>
      <c r="P197" s="291"/>
      <c r="Q197" s="372"/>
      <c r="R197" s="291"/>
      <c r="S197" s="291"/>
      <c r="T197" s="291"/>
      <c r="U197" s="291"/>
      <c r="V197" s="291"/>
      <c r="W197" s="372"/>
      <c r="X197" s="291"/>
      <c r="Y197" s="291"/>
      <c r="Z197" s="291"/>
      <c r="AA197" s="284"/>
      <c r="AB197" s="284"/>
      <c r="AC197" s="377"/>
      <c r="AD197" s="263"/>
      <c r="AE197" s="261"/>
      <c r="AF197" s="365"/>
      <c r="AG197" s="366"/>
      <c r="AH197" s="366"/>
      <c r="AI197" s="366"/>
      <c r="AJ197" s="375"/>
      <c r="AK197" s="366"/>
      <c r="AL197" s="368"/>
      <c r="AM197" s="366"/>
      <c r="AN197" s="366"/>
      <c r="AO197" s="369"/>
      <c r="AP197" s="366"/>
      <c r="AQ197" s="366"/>
      <c r="AR197" s="369"/>
      <c r="AS197" s="369"/>
      <c r="AT197" s="366"/>
      <c r="AU197" s="366"/>
      <c r="AV197" s="369"/>
      <c r="AW197" s="366"/>
      <c r="AX197" s="366"/>
      <c r="AY197" s="366"/>
      <c r="AZ197" s="366"/>
      <c r="BA197" s="366"/>
    </row>
    <row r="198" spans="1:53" s="371" customFormat="1" ht="12.75" customHeight="1" x14ac:dyDescent="0.25">
      <c r="A198" s="1013"/>
      <c r="B198" s="315" t="s">
        <v>1181</v>
      </c>
      <c r="C198" s="277">
        <f>C193*C196+C194*C197</f>
        <v>31.8980815711734</v>
      </c>
      <c r="D198" s="336"/>
      <c r="E198" s="300"/>
      <c r="F198" s="376"/>
      <c r="G198" s="302"/>
      <c r="H198" s="301"/>
      <c r="I198" s="303"/>
      <c r="J198" s="290"/>
      <c r="K198" s="374"/>
      <c r="L198" s="292"/>
      <c r="M198" s="292"/>
      <c r="N198" s="292"/>
      <c r="O198" s="291"/>
      <c r="P198" s="291"/>
      <c r="Q198" s="372"/>
      <c r="R198" s="291"/>
      <c r="S198" s="291"/>
      <c r="T198" s="291"/>
      <c r="U198" s="291"/>
      <c r="V198" s="291"/>
      <c r="W198" s="372"/>
      <c r="X198" s="291"/>
      <c r="Y198" s="291"/>
      <c r="Z198" s="291"/>
      <c r="AA198" s="284"/>
      <c r="AB198" s="284"/>
      <c r="AC198" s="377"/>
      <c r="AD198" s="263"/>
      <c r="AE198" s="261"/>
      <c r="AF198" s="365"/>
      <c r="AG198" s="366"/>
      <c r="AH198" s="366"/>
      <c r="AI198" s="366"/>
      <c r="AJ198" s="367"/>
      <c r="AK198" s="366"/>
      <c r="AL198" s="368"/>
      <c r="AM198" s="366"/>
      <c r="AN198" s="366"/>
      <c r="AO198" s="369"/>
      <c r="AP198" s="366"/>
      <c r="AQ198" s="366"/>
      <c r="AR198" s="369"/>
      <c r="AS198" s="369"/>
      <c r="AT198" s="366"/>
      <c r="AU198" s="366"/>
      <c r="AV198" s="369"/>
      <c r="AW198" s="366"/>
      <c r="AX198" s="366"/>
      <c r="AY198" s="366"/>
      <c r="AZ198" s="366"/>
      <c r="BA198" s="366"/>
    </row>
    <row r="199" spans="1:53" s="371" customFormat="1" ht="12.75" customHeight="1" x14ac:dyDescent="0.25">
      <c r="A199" s="1014"/>
      <c r="B199" s="315"/>
      <c r="C199" s="314"/>
      <c r="D199" s="337"/>
      <c r="E199" s="300"/>
      <c r="F199" s="376"/>
      <c r="G199" s="302"/>
      <c r="H199" s="301"/>
      <c r="I199" s="303"/>
      <c r="J199" s="290"/>
      <c r="K199" s="374"/>
      <c r="L199" s="292"/>
      <c r="M199" s="292"/>
      <c r="N199" s="292"/>
      <c r="O199" s="291"/>
      <c r="P199" s="291"/>
      <c r="Q199" s="372"/>
      <c r="R199" s="291"/>
      <c r="S199" s="291"/>
      <c r="T199" s="291"/>
      <c r="U199" s="291"/>
      <c r="V199" s="291"/>
      <c r="W199" s="372"/>
      <c r="X199" s="291"/>
      <c r="Y199" s="291"/>
      <c r="Z199" s="291"/>
      <c r="AA199" s="284"/>
      <c r="AB199" s="284"/>
      <c r="AC199" s="377"/>
      <c r="AD199" s="263"/>
      <c r="AE199" s="261"/>
      <c r="AF199" s="365"/>
      <c r="AG199" s="366"/>
      <c r="AH199" s="366"/>
      <c r="AI199" s="366"/>
      <c r="AJ199" s="375"/>
      <c r="AK199" s="366"/>
      <c r="AL199" s="368"/>
      <c r="AM199" s="366"/>
      <c r="AN199" s="366"/>
      <c r="AO199" s="369"/>
      <c r="AP199" s="366"/>
      <c r="AQ199" s="366"/>
      <c r="AR199" s="369"/>
      <c r="AS199" s="369"/>
      <c r="AT199" s="366"/>
      <c r="AU199" s="366"/>
      <c r="AV199" s="369"/>
      <c r="AW199" s="366"/>
      <c r="AX199" s="366"/>
      <c r="AY199" s="366"/>
      <c r="AZ199" s="366"/>
      <c r="BA199" s="366"/>
    </row>
    <row r="200" spans="1:53" ht="56.25" customHeight="1" x14ac:dyDescent="0.25">
      <c r="A200" s="1012" t="s">
        <v>234</v>
      </c>
      <c r="B200" s="353" t="s">
        <v>708</v>
      </c>
      <c r="C200" s="277"/>
      <c r="D200" s="287"/>
      <c r="E200" s="278" t="s">
        <v>488</v>
      </c>
      <c r="F200" s="279" t="s">
        <v>837</v>
      </c>
      <c r="G200" s="277" t="s">
        <v>489</v>
      </c>
      <c r="H200" s="278" t="s">
        <v>1170</v>
      </c>
      <c r="I200" s="279" t="s">
        <v>838</v>
      </c>
      <c r="J200" s="280" t="s">
        <v>1171</v>
      </c>
      <c r="K200" s="280" t="s">
        <v>490</v>
      </c>
      <c r="L200" s="281" t="s">
        <v>489</v>
      </c>
      <c r="M200" s="280" t="s">
        <v>1172</v>
      </c>
      <c r="N200" s="354" t="s">
        <v>838</v>
      </c>
      <c r="O200" s="280" t="s">
        <v>1171</v>
      </c>
      <c r="P200" s="280" t="s">
        <v>826</v>
      </c>
      <c r="Q200" s="282" t="s">
        <v>1173</v>
      </c>
      <c r="R200" s="280" t="s">
        <v>1174</v>
      </c>
      <c r="S200" s="280" t="s">
        <v>839</v>
      </c>
      <c r="T200" s="280" t="s">
        <v>1171</v>
      </c>
      <c r="U200" s="280" t="s">
        <v>1392</v>
      </c>
      <c r="V200" s="282" t="s">
        <v>1173</v>
      </c>
      <c r="W200" s="280" t="s">
        <v>841</v>
      </c>
      <c r="X200" s="280" t="s">
        <v>1394</v>
      </c>
      <c r="Y200" s="280" t="s">
        <v>839</v>
      </c>
      <c r="Z200" s="283"/>
      <c r="AA200" s="284"/>
      <c r="AB200" s="284"/>
      <c r="AC200" s="377"/>
      <c r="AD200" s="263"/>
      <c r="AQ200" s="355"/>
      <c r="AR200" s="355"/>
      <c r="AS200" s="355"/>
    </row>
    <row r="201" spans="1:53" s="270" customFormat="1" ht="12" customHeight="1" x14ac:dyDescent="0.25">
      <c r="A201" s="1013"/>
      <c r="B201" s="285" t="s">
        <v>1175</v>
      </c>
      <c r="C201" s="277">
        <f>C208</f>
        <v>29.106812851562065</v>
      </c>
      <c r="D201" s="336">
        <f>C201*$D$5</f>
        <v>5.8795761960155373</v>
      </c>
      <c r="E201" s="286" t="s">
        <v>1176</v>
      </c>
      <c r="F201" s="356"/>
      <c r="G201" s="288"/>
      <c r="H201" s="288"/>
      <c r="I201" s="289">
        <f>SUM(I202:I209)</f>
        <v>11.055</v>
      </c>
      <c r="J201" s="290" t="s">
        <v>1176</v>
      </c>
      <c r="K201" s="357"/>
      <c r="L201" s="291"/>
      <c r="M201" s="291"/>
      <c r="N201" s="433">
        <f>SUM(N202:N209)</f>
        <v>8.2000430473983976E-2</v>
      </c>
      <c r="O201" s="291" t="s">
        <v>1176</v>
      </c>
      <c r="P201" s="291"/>
      <c r="Q201" s="372"/>
      <c r="R201" s="294"/>
      <c r="S201" s="433">
        <f>SUM(S202:S209)</f>
        <v>0.10428569688923545</v>
      </c>
      <c r="T201" s="291" t="s">
        <v>1176</v>
      </c>
      <c r="U201" s="307"/>
      <c r="V201" s="308"/>
      <c r="W201" s="306"/>
      <c r="X201" s="292"/>
      <c r="Y201" s="433">
        <f>SUM(Y202:Y209)</f>
        <v>4.3489191438431192</v>
      </c>
      <c r="Z201" s="296">
        <f>(C201+D201+I201+N201+Y201+S201)*$Z$5</f>
        <v>65.759065476757286</v>
      </c>
      <c r="AA201" s="297">
        <f>C201+D201+I201+N201+S201+Y201+Z201</f>
        <v>116.33565979554123</v>
      </c>
      <c r="AB201" s="298">
        <v>0.25</v>
      </c>
      <c r="AC201" s="358">
        <f>AA201*(1+AB201)</f>
        <v>145.41957474442654</v>
      </c>
      <c r="AD201" s="265"/>
      <c r="AE201" s="261"/>
      <c r="AF201" s="262"/>
      <c r="AG201" s="263"/>
      <c r="AH201" s="263"/>
      <c r="AI201" s="355"/>
      <c r="AJ201" s="359"/>
      <c r="AK201" s="360"/>
      <c r="AL201" s="264"/>
      <c r="AM201" s="361"/>
      <c r="AN201" s="143"/>
      <c r="AO201" s="362"/>
      <c r="AP201" s="363"/>
      <c r="AQ201" s="363"/>
      <c r="AR201" s="363"/>
      <c r="AS201" s="363"/>
      <c r="AT201" s="363"/>
      <c r="AU201" s="362"/>
      <c r="AV201" s="362"/>
      <c r="AW201" s="364"/>
      <c r="AX201" s="272"/>
      <c r="AY201" s="272"/>
      <c r="AZ201" s="272"/>
      <c r="BA201" s="272"/>
    </row>
    <row r="202" spans="1:53" s="371" customFormat="1" ht="12.75" customHeight="1" x14ac:dyDescent="0.25">
      <c r="A202" s="1013"/>
      <c r="B202" s="299" t="s">
        <v>830</v>
      </c>
      <c r="C202" s="277"/>
      <c r="D202" s="336"/>
      <c r="E202" s="300" t="s">
        <v>2186</v>
      </c>
      <c r="F202" s="301" t="s">
        <v>1441</v>
      </c>
      <c r="G202" s="302">
        <v>5.36</v>
      </c>
      <c r="H202" s="301">
        <v>1</v>
      </c>
      <c r="I202" s="303">
        <f>G202*H202</f>
        <v>5.36</v>
      </c>
      <c r="J202" s="290" t="s">
        <v>1291</v>
      </c>
      <c r="K202" s="304">
        <v>2</v>
      </c>
      <c r="L202" s="305">
        <v>750</v>
      </c>
      <c r="M202" s="304">
        <v>2</v>
      </c>
      <c r="N202" s="433">
        <f>L202/'Исп. коэффициенты'!E52*(C206+C207)</f>
        <v>7.0690026270675846E-2</v>
      </c>
      <c r="O202" s="291" t="s">
        <v>1667</v>
      </c>
      <c r="P202" s="291">
        <v>4500</v>
      </c>
      <c r="Q202" s="291">
        <v>19.670000000000002</v>
      </c>
      <c r="R202" s="291">
        <v>885.15</v>
      </c>
      <c r="S202" s="433">
        <f>R202/'Исп. коэффициенты'!E52*C206</f>
        <v>4.1714184502325814E-2</v>
      </c>
      <c r="T202" s="306" t="s">
        <v>1435</v>
      </c>
      <c r="U202" s="307">
        <v>6785401.3499999996</v>
      </c>
      <c r="V202" s="308">
        <v>1.3599999999999999E-2</v>
      </c>
      <c r="W202" s="306">
        <f>'Исп. коэффициенты'!E124</f>
        <v>2978.5</v>
      </c>
      <c r="X202" s="433">
        <f>U202*V202</f>
        <v>92281.45835999999</v>
      </c>
      <c r="Y202" s="295">
        <f>X202/'Исп. коэффициенты'!E52*C206</f>
        <v>4.3489191438431192</v>
      </c>
      <c r="Z202" s="291"/>
      <c r="AA202" s="284"/>
      <c r="AB202" s="284"/>
      <c r="AC202" s="377"/>
      <c r="AD202" s="263"/>
      <c r="AE202" s="261"/>
      <c r="AF202" s="365"/>
      <c r="AG202" s="366"/>
      <c r="AH202" s="366"/>
      <c r="AI202" s="366"/>
      <c r="AJ202" s="367"/>
      <c r="AK202" s="366"/>
      <c r="AL202" s="368"/>
      <c r="AM202" s="366"/>
      <c r="AN202" s="366"/>
      <c r="AO202" s="369"/>
      <c r="AP202" s="366"/>
      <c r="AQ202" s="366"/>
      <c r="AR202" s="369"/>
      <c r="AS202" s="369"/>
      <c r="AT202" s="370"/>
      <c r="AU202" s="366"/>
      <c r="AV202" s="369"/>
      <c r="AW202" s="366"/>
      <c r="AX202" s="366"/>
      <c r="AY202" s="366"/>
      <c r="AZ202" s="366"/>
      <c r="BA202" s="366"/>
    </row>
    <row r="203" spans="1:53" s="371" customFormat="1" x14ac:dyDescent="0.25">
      <c r="A203" s="1013"/>
      <c r="B203" s="309" t="s">
        <v>1178</v>
      </c>
      <c r="C203" s="310">
        <f>'Заработная плата'!M79</f>
        <v>38.717865870069311</v>
      </c>
      <c r="D203" s="336"/>
      <c r="E203" s="300" t="s">
        <v>2187</v>
      </c>
      <c r="F203" s="301" t="s">
        <v>1</v>
      </c>
      <c r="G203" s="302">
        <v>6.3E-2</v>
      </c>
      <c r="H203" s="301">
        <v>5</v>
      </c>
      <c r="I203" s="303">
        <f>G203*H203</f>
        <v>0.315</v>
      </c>
      <c r="J203" s="290" t="s">
        <v>1445</v>
      </c>
      <c r="K203" s="292">
        <v>2</v>
      </c>
      <c r="L203" s="311">
        <v>95</v>
      </c>
      <c r="M203" s="304">
        <v>2</v>
      </c>
      <c r="N203" s="433">
        <f>L203/'Исп. коэффициенты'!E52*(C206+C207)</f>
        <v>8.9540699942856072E-3</v>
      </c>
      <c r="O203" s="291" t="s">
        <v>1668</v>
      </c>
      <c r="P203" s="291">
        <v>6750</v>
      </c>
      <c r="Q203" s="291">
        <v>19.670000000000002</v>
      </c>
      <c r="R203" s="291">
        <v>1327.73</v>
      </c>
      <c r="S203" s="433">
        <f>R203/'Исп. коэффициенты'!E52*C206</f>
        <v>6.2571512386909625E-2</v>
      </c>
      <c r="T203" s="291"/>
      <c r="U203" s="291"/>
      <c r="V203" s="291"/>
      <c r="W203" s="372"/>
      <c r="X203" s="291"/>
      <c r="Y203" s="291"/>
      <c r="Z203" s="291"/>
      <c r="AA203" s="284"/>
      <c r="AB203" s="284"/>
      <c r="AC203" s="377"/>
      <c r="AD203" s="263"/>
      <c r="AE203" s="261"/>
      <c r="AF203" s="365"/>
      <c r="AG203" s="366"/>
      <c r="AH203" s="366"/>
      <c r="AI203" s="366"/>
      <c r="AJ203" s="367"/>
      <c r="AK203" s="366"/>
      <c r="AL203" s="368"/>
      <c r="AM203" s="373"/>
      <c r="AN203" s="366"/>
      <c r="AO203" s="369"/>
      <c r="AP203" s="366"/>
      <c r="AQ203" s="366"/>
      <c r="AR203" s="369"/>
      <c r="AS203" s="369"/>
      <c r="AT203" s="366"/>
      <c r="AU203" s="366"/>
      <c r="AV203" s="369"/>
      <c r="AW203" s="366"/>
      <c r="AX203" s="366"/>
      <c r="AY203" s="366"/>
      <c r="AZ203" s="366"/>
      <c r="BA203" s="366"/>
    </row>
    <row r="204" spans="1:53" s="371" customFormat="1" ht="12.75" customHeight="1" x14ac:dyDescent="0.25">
      <c r="A204" s="1013"/>
      <c r="B204" s="286" t="s">
        <v>1179</v>
      </c>
      <c r="C204" s="277">
        <f>C194</f>
        <v>19.495759833054819</v>
      </c>
      <c r="D204" s="336"/>
      <c r="E204" s="300" t="s">
        <v>2112</v>
      </c>
      <c r="F204" s="301" t="s">
        <v>1</v>
      </c>
      <c r="G204" s="302">
        <v>0.47</v>
      </c>
      <c r="H204" s="302">
        <v>10</v>
      </c>
      <c r="I204" s="303">
        <f>G204*H204</f>
        <v>4.6999999999999993</v>
      </c>
      <c r="J204" s="290" t="s">
        <v>1513</v>
      </c>
      <c r="K204" s="292">
        <v>2</v>
      </c>
      <c r="L204" s="292">
        <v>25</v>
      </c>
      <c r="M204" s="304">
        <v>0.5</v>
      </c>
      <c r="N204" s="433">
        <f>L204/'Исп. коэффициенты'!E52*(C206+C207)</f>
        <v>2.3563342090225283E-3</v>
      </c>
      <c r="O204" s="291"/>
      <c r="P204" s="291"/>
      <c r="Q204" s="372"/>
      <c r="R204" s="291"/>
      <c r="S204" s="291"/>
      <c r="T204" s="291"/>
      <c r="U204" s="291"/>
      <c r="V204" s="291"/>
      <c r="W204" s="372"/>
      <c r="X204" s="291"/>
      <c r="Y204" s="291"/>
      <c r="Z204" s="291"/>
      <c r="AA204" s="284"/>
      <c r="AB204" s="284"/>
      <c r="AC204" s="377"/>
      <c r="AD204" s="263"/>
      <c r="AE204" s="261"/>
      <c r="AF204" s="365"/>
      <c r="AG204" s="366"/>
      <c r="AH204" s="366"/>
      <c r="AI204" s="366"/>
      <c r="AJ204" s="367"/>
      <c r="AK204" s="366"/>
      <c r="AL204" s="368"/>
      <c r="AM204" s="366"/>
      <c r="AN204" s="366"/>
      <c r="AO204" s="369"/>
      <c r="AP204" s="366"/>
      <c r="AQ204" s="366"/>
      <c r="AR204" s="369"/>
      <c r="AS204" s="369"/>
      <c r="AT204" s="366"/>
      <c r="AU204" s="366"/>
      <c r="AV204" s="369"/>
      <c r="AW204" s="366"/>
      <c r="AX204" s="366"/>
      <c r="AY204" s="366"/>
      <c r="AZ204" s="366"/>
      <c r="BA204" s="366"/>
    </row>
    <row r="205" spans="1:53" s="371" customFormat="1" ht="12.75" customHeight="1" x14ac:dyDescent="0.25">
      <c r="A205" s="1013"/>
      <c r="B205" s="286" t="s">
        <v>831</v>
      </c>
      <c r="C205" s="313"/>
      <c r="D205" s="336"/>
      <c r="E205" s="300" t="s">
        <v>9</v>
      </c>
      <c r="F205" s="376" t="s">
        <v>1441</v>
      </c>
      <c r="G205" s="302">
        <v>0.68</v>
      </c>
      <c r="H205" s="301">
        <v>1</v>
      </c>
      <c r="I205" s="303">
        <f t="shared" ref="I205" si="19">G205*H205</f>
        <v>0.68</v>
      </c>
      <c r="J205" s="290"/>
      <c r="K205" s="374"/>
      <c r="L205" s="292"/>
      <c r="M205" s="292"/>
      <c r="N205" s="292"/>
      <c r="O205" s="291"/>
      <c r="P205" s="291"/>
      <c r="Q205" s="372"/>
      <c r="R205" s="291"/>
      <c r="S205" s="291"/>
      <c r="T205" s="291"/>
      <c r="U205" s="291"/>
      <c r="V205" s="291"/>
      <c r="W205" s="372"/>
      <c r="X205" s="291"/>
      <c r="Y205" s="291"/>
      <c r="Z205" s="291"/>
      <c r="AA205" s="284"/>
      <c r="AB205" s="284"/>
      <c r="AC205" s="377"/>
      <c r="AD205" s="263"/>
      <c r="AE205" s="261"/>
      <c r="AF205" s="365"/>
      <c r="AG205" s="366"/>
      <c r="AH205" s="366"/>
      <c r="AI205" s="366"/>
      <c r="AJ205" s="367"/>
      <c r="AK205" s="366"/>
      <c r="AL205" s="368"/>
      <c r="AM205" s="366"/>
      <c r="AN205" s="366"/>
      <c r="AO205" s="369"/>
      <c r="AP205" s="366"/>
      <c r="AQ205" s="366"/>
      <c r="AR205" s="369"/>
      <c r="AS205" s="369"/>
      <c r="AT205" s="366"/>
      <c r="AU205" s="366"/>
      <c r="AV205" s="369"/>
      <c r="AW205" s="366"/>
      <c r="AX205" s="366"/>
      <c r="AY205" s="366"/>
      <c r="AZ205" s="366"/>
      <c r="BA205" s="366"/>
    </row>
    <row r="206" spans="1:53" s="371" customFormat="1" ht="12.75" customHeight="1" x14ac:dyDescent="0.25">
      <c r="A206" s="1013"/>
      <c r="B206" s="309" t="s">
        <v>1178</v>
      </c>
      <c r="C206" s="314">
        <v>0.5</v>
      </c>
      <c r="D206" s="336"/>
      <c r="E206" s="300"/>
      <c r="F206" s="301"/>
      <c r="G206" s="302"/>
      <c r="H206" s="301"/>
      <c r="I206" s="303"/>
      <c r="J206" s="290"/>
      <c r="K206" s="374"/>
      <c r="L206" s="292"/>
      <c r="M206" s="292"/>
      <c r="N206" s="292"/>
      <c r="O206" s="291"/>
      <c r="P206" s="291"/>
      <c r="Q206" s="372"/>
      <c r="R206" s="291"/>
      <c r="S206" s="291"/>
      <c r="T206" s="291"/>
      <c r="U206" s="291"/>
      <c r="V206" s="291"/>
      <c r="W206" s="372"/>
      <c r="X206" s="291"/>
      <c r="Y206" s="291"/>
      <c r="Z206" s="291"/>
      <c r="AA206" s="284"/>
      <c r="AB206" s="284"/>
      <c r="AC206" s="377"/>
      <c r="AD206" s="263"/>
      <c r="AE206" s="261"/>
      <c r="AF206" s="365"/>
      <c r="AG206" s="366"/>
      <c r="AH206" s="366"/>
      <c r="AI206" s="366"/>
      <c r="AJ206" s="375"/>
      <c r="AK206" s="366"/>
      <c r="AL206" s="368"/>
      <c r="AM206" s="366"/>
      <c r="AN206" s="366"/>
      <c r="AO206" s="369"/>
      <c r="AP206" s="366"/>
      <c r="AQ206" s="366"/>
      <c r="AR206" s="369"/>
      <c r="AS206" s="369"/>
      <c r="AT206" s="366"/>
      <c r="AU206" s="366"/>
      <c r="AV206" s="369"/>
      <c r="AW206" s="366"/>
      <c r="AX206" s="366"/>
      <c r="AY206" s="366"/>
      <c r="AZ206" s="366"/>
      <c r="BA206" s="366"/>
    </row>
    <row r="207" spans="1:53" s="371" customFormat="1" ht="12.75" customHeight="1" x14ac:dyDescent="0.25">
      <c r="A207" s="1013"/>
      <c r="B207" s="286" t="s">
        <v>1179</v>
      </c>
      <c r="C207" s="314">
        <v>0.5</v>
      </c>
      <c r="D207" s="336"/>
      <c r="E207" s="300"/>
      <c r="F207" s="376"/>
      <c r="G207" s="302"/>
      <c r="H207" s="301"/>
      <c r="I207" s="303"/>
      <c r="J207" s="290"/>
      <c r="K207" s="374"/>
      <c r="L207" s="292"/>
      <c r="M207" s="292"/>
      <c r="N207" s="292"/>
      <c r="O207" s="291"/>
      <c r="P207" s="291"/>
      <c r="Q207" s="372"/>
      <c r="R207" s="291"/>
      <c r="S207" s="291"/>
      <c r="T207" s="291"/>
      <c r="U207" s="291"/>
      <c r="V207" s="291"/>
      <c r="W207" s="372"/>
      <c r="X207" s="291"/>
      <c r="Y207" s="291"/>
      <c r="Z207" s="291"/>
      <c r="AA207" s="284"/>
      <c r="AB207" s="284"/>
      <c r="AC207" s="377"/>
      <c r="AD207" s="263"/>
      <c r="AE207" s="261"/>
      <c r="AF207" s="365"/>
      <c r="AG207" s="366"/>
      <c r="AH207" s="366"/>
      <c r="AI207" s="366"/>
      <c r="AJ207" s="375"/>
      <c r="AK207" s="366"/>
      <c r="AL207" s="368"/>
      <c r="AM207" s="366"/>
      <c r="AN207" s="366"/>
      <c r="AO207" s="369"/>
      <c r="AP207" s="366"/>
      <c r="AQ207" s="366"/>
      <c r="AR207" s="369"/>
      <c r="AS207" s="369"/>
      <c r="AT207" s="366"/>
      <c r="AU207" s="366"/>
      <c r="AV207" s="369"/>
      <c r="AW207" s="366"/>
      <c r="AX207" s="366"/>
      <c r="AY207" s="366"/>
      <c r="AZ207" s="366"/>
      <c r="BA207" s="366"/>
    </row>
    <row r="208" spans="1:53" s="371" customFormat="1" ht="12.75" customHeight="1" x14ac:dyDescent="0.25">
      <c r="A208" s="1013"/>
      <c r="B208" s="315" t="s">
        <v>1181</v>
      </c>
      <c r="C208" s="277">
        <f>C203*C206+C204*C207</f>
        <v>29.106812851562065</v>
      </c>
      <c r="D208" s="336"/>
      <c r="E208" s="300"/>
      <c r="F208" s="376"/>
      <c r="G208" s="302"/>
      <c r="H208" s="301"/>
      <c r="I208" s="303"/>
      <c r="J208" s="290"/>
      <c r="K208" s="374"/>
      <c r="L208" s="292"/>
      <c r="M208" s="292"/>
      <c r="N208" s="292"/>
      <c r="O208" s="291"/>
      <c r="P208" s="291"/>
      <c r="Q208" s="372"/>
      <c r="R208" s="291"/>
      <c r="S208" s="291"/>
      <c r="T208" s="291"/>
      <c r="U208" s="291"/>
      <c r="V208" s="291"/>
      <c r="W208" s="372"/>
      <c r="X208" s="291"/>
      <c r="Y208" s="291"/>
      <c r="Z208" s="291"/>
      <c r="AA208" s="284"/>
      <c r="AB208" s="284"/>
      <c r="AC208" s="377"/>
      <c r="AD208" s="263"/>
      <c r="AE208" s="261"/>
      <c r="AF208" s="365"/>
      <c r="AG208" s="366"/>
      <c r="AH208" s="366"/>
      <c r="AI208" s="366"/>
      <c r="AJ208" s="367"/>
      <c r="AK208" s="366"/>
      <c r="AL208" s="368"/>
      <c r="AM208" s="366"/>
      <c r="AN208" s="366"/>
      <c r="AO208" s="369"/>
      <c r="AP208" s="366"/>
      <c r="AQ208" s="366"/>
      <c r="AR208" s="369"/>
      <c r="AS208" s="369"/>
      <c r="AT208" s="366"/>
      <c r="AU208" s="366"/>
      <c r="AV208" s="369"/>
      <c r="AW208" s="366"/>
      <c r="AX208" s="366"/>
      <c r="AY208" s="366"/>
      <c r="AZ208" s="366"/>
      <c r="BA208" s="366"/>
    </row>
    <row r="209" spans="1:53" s="371" customFormat="1" ht="12.75" customHeight="1" x14ac:dyDescent="0.25">
      <c r="A209" s="1014"/>
      <c r="B209" s="315"/>
      <c r="C209" s="314"/>
      <c r="D209" s="337"/>
      <c r="E209" s="300"/>
      <c r="F209" s="376"/>
      <c r="G209" s="302"/>
      <c r="H209" s="301"/>
      <c r="I209" s="303"/>
      <c r="J209" s="290"/>
      <c r="K209" s="374"/>
      <c r="L209" s="292"/>
      <c r="M209" s="292"/>
      <c r="N209" s="292"/>
      <c r="O209" s="291"/>
      <c r="P209" s="291"/>
      <c r="Q209" s="372"/>
      <c r="R209" s="291"/>
      <c r="S209" s="291"/>
      <c r="T209" s="291"/>
      <c r="U209" s="291"/>
      <c r="V209" s="291"/>
      <c r="W209" s="372"/>
      <c r="X209" s="291"/>
      <c r="Y209" s="291"/>
      <c r="Z209" s="291"/>
      <c r="AA209" s="284"/>
      <c r="AB209" s="284"/>
      <c r="AC209" s="377"/>
      <c r="AD209" s="263"/>
      <c r="AE209" s="261"/>
      <c r="AF209" s="365"/>
      <c r="AG209" s="366"/>
      <c r="AH209" s="366"/>
      <c r="AI209" s="366"/>
      <c r="AJ209" s="375"/>
      <c r="AK209" s="366"/>
      <c r="AL209" s="368"/>
      <c r="AM209" s="366"/>
      <c r="AN209" s="366"/>
      <c r="AO209" s="369"/>
      <c r="AP209" s="366"/>
      <c r="AQ209" s="366"/>
      <c r="AR209" s="369"/>
      <c r="AS209" s="369"/>
      <c r="AT209" s="366"/>
      <c r="AU209" s="366"/>
      <c r="AV209" s="369"/>
      <c r="AW209" s="366"/>
      <c r="AX209" s="366"/>
      <c r="AY209" s="366"/>
      <c r="AZ209" s="366"/>
      <c r="BA209" s="366"/>
    </row>
    <row r="210" spans="1:53" s="270" customFormat="1" ht="19.5" customHeight="1" x14ac:dyDescent="0.25">
      <c r="A210" s="1111" t="s">
        <v>836</v>
      </c>
      <c r="B210" s="1112"/>
      <c r="C210" s="1112"/>
      <c r="D210" s="1112"/>
      <c r="E210" s="1112"/>
      <c r="F210" s="1112"/>
      <c r="G210" s="1112"/>
      <c r="H210" s="1112"/>
      <c r="I210" s="1112"/>
      <c r="J210" s="1112"/>
      <c r="K210" s="1112"/>
      <c r="L210" s="1112"/>
      <c r="M210" s="1112"/>
      <c r="N210" s="1112"/>
      <c r="O210" s="1112"/>
      <c r="P210" s="1112"/>
      <c r="Q210" s="1112"/>
      <c r="R210" s="1112"/>
      <c r="S210" s="1112"/>
      <c r="T210" s="1112"/>
      <c r="U210" s="1112"/>
      <c r="V210" s="1112"/>
      <c r="W210" s="1112"/>
      <c r="X210" s="1112"/>
      <c r="Y210" s="1112"/>
      <c r="Z210" s="1112"/>
      <c r="AA210" s="1112"/>
      <c r="AB210" s="1112"/>
      <c r="AC210" s="1113"/>
      <c r="AD210" s="272"/>
      <c r="AF210" s="274"/>
      <c r="AG210" s="272"/>
      <c r="AH210" s="272"/>
      <c r="AI210" s="272"/>
      <c r="AJ210" s="380"/>
      <c r="AK210" s="272"/>
      <c r="AL210" s="273"/>
      <c r="AM210" s="272"/>
      <c r="AN210" s="272"/>
      <c r="AO210" s="274"/>
      <c r="AP210" s="272"/>
      <c r="AQ210" s="272"/>
      <c r="AR210" s="274"/>
      <c r="AS210" s="274"/>
      <c r="AT210" s="272"/>
      <c r="AU210" s="272"/>
      <c r="AV210" s="274"/>
      <c r="AW210" s="272"/>
      <c r="AX210" s="272"/>
      <c r="AY210" s="272"/>
      <c r="AZ210" s="272"/>
      <c r="BA210" s="272"/>
    </row>
    <row r="211" spans="1:53" ht="56.25" customHeight="1" x14ac:dyDescent="0.25">
      <c r="A211" s="1012" t="s">
        <v>225</v>
      </c>
      <c r="B211" s="277"/>
      <c r="C211" s="277"/>
      <c r="D211" s="287"/>
      <c r="E211" s="278" t="s">
        <v>488</v>
      </c>
      <c r="F211" s="279" t="s">
        <v>837</v>
      </c>
      <c r="G211" s="277" t="s">
        <v>489</v>
      </c>
      <c r="H211" s="278" t="s">
        <v>1170</v>
      </c>
      <c r="I211" s="279" t="s">
        <v>838</v>
      </c>
      <c r="J211" s="280" t="s">
        <v>1171</v>
      </c>
      <c r="K211" s="280" t="s">
        <v>490</v>
      </c>
      <c r="L211" s="281" t="s">
        <v>489</v>
      </c>
      <c r="M211" s="280" t="s">
        <v>1172</v>
      </c>
      <c r="N211" s="354" t="s">
        <v>838</v>
      </c>
      <c r="O211" s="280" t="s">
        <v>1171</v>
      </c>
      <c r="P211" s="280" t="s">
        <v>826</v>
      </c>
      <c r="Q211" s="282" t="s">
        <v>1173</v>
      </c>
      <c r="R211" s="280" t="s">
        <v>1174</v>
      </c>
      <c r="S211" s="280" t="s">
        <v>839</v>
      </c>
      <c r="T211" s="280" t="s">
        <v>1171</v>
      </c>
      <c r="U211" s="280" t="s">
        <v>1392</v>
      </c>
      <c r="V211" s="282" t="s">
        <v>1173</v>
      </c>
      <c r="W211" s="280" t="s">
        <v>841</v>
      </c>
      <c r="X211" s="280" t="s">
        <v>1394</v>
      </c>
      <c r="Y211" s="280" t="s">
        <v>839</v>
      </c>
      <c r="Z211" s="283"/>
      <c r="AA211" s="284"/>
      <c r="AB211" s="284"/>
      <c r="AC211" s="284"/>
      <c r="AD211" s="263"/>
      <c r="AQ211" s="355"/>
      <c r="AR211" s="355"/>
      <c r="AS211" s="355"/>
    </row>
    <row r="212" spans="1:53" s="270" customFormat="1" ht="12" customHeight="1" x14ac:dyDescent="0.25">
      <c r="A212" s="1013"/>
      <c r="B212" s="285" t="s">
        <v>1175</v>
      </c>
      <c r="C212" s="277">
        <f>C219</f>
        <v>159.49040785586701</v>
      </c>
      <c r="D212" s="336">
        <f>C212*$D$5</f>
        <v>32.217062386885139</v>
      </c>
      <c r="E212" s="286" t="s">
        <v>1176</v>
      </c>
      <c r="F212" s="356"/>
      <c r="G212" s="288"/>
      <c r="H212" s="288"/>
      <c r="I212" s="289">
        <f>SUM(I213:I220)</f>
        <v>11.055</v>
      </c>
      <c r="J212" s="290" t="s">
        <v>1176</v>
      </c>
      <c r="K212" s="357"/>
      <c r="L212" s="291"/>
      <c r="M212" s="291"/>
      <c r="N212" s="433">
        <f>SUM(N213:N220)</f>
        <v>0.49200258284390391</v>
      </c>
      <c r="O212" s="291" t="s">
        <v>1176</v>
      </c>
      <c r="P212" s="291"/>
      <c r="Q212" s="372"/>
      <c r="R212" s="294"/>
      <c r="S212" s="433">
        <f>SUM(S213:S220)</f>
        <v>0.62571418133541268</v>
      </c>
      <c r="T212" s="291" t="s">
        <v>1176</v>
      </c>
      <c r="U212" s="307"/>
      <c r="V212" s="308"/>
      <c r="W212" s="306"/>
      <c r="X212" s="292"/>
      <c r="Y212" s="433">
        <f>SUM(Y213:Y220)</f>
        <v>26.093514863058715</v>
      </c>
      <c r="Z212" s="296">
        <f>(C212+D212+I212+N212+Y212+S213)*$Z$5</f>
        <v>298.52084857586709</v>
      </c>
      <c r="AA212" s="297">
        <f>C212+D212+I212+N212+S212+Y212+Z212</f>
        <v>528.49455044585727</v>
      </c>
      <c r="AB212" s="298">
        <v>0.25</v>
      </c>
      <c r="AC212" s="358">
        <f>AA212*(1+AB212)</f>
        <v>660.61818805732162</v>
      </c>
      <c r="AD212" s="265"/>
      <c r="AE212" s="261"/>
      <c r="AF212" s="262"/>
      <c r="AG212" s="263"/>
      <c r="AH212" s="263"/>
      <c r="AI212" s="355"/>
      <c r="AJ212" s="359"/>
      <c r="AK212" s="360"/>
      <c r="AL212" s="264"/>
      <c r="AM212" s="361"/>
      <c r="AN212" s="143"/>
      <c r="AO212" s="362"/>
      <c r="AP212" s="363"/>
      <c r="AQ212" s="363"/>
      <c r="AR212" s="363"/>
      <c r="AS212" s="363"/>
      <c r="AT212" s="363"/>
      <c r="AU212" s="362"/>
      <c r="AV212" s="362"/>
      <c r="AW212" s="364"/>
      <c r="AX212" s="272"/>
      <c r="AY212" s="272"/>
      <c r="AZ212" s="272"/>
      <c r="BA212" s="272"/>
    </row>
    <row r="213" spans="1:53" s="371" customFormat="1" ht="12.75" customHeight="1" x14ac:dyDescent="0.25">
      <c r="A213" s="1013"/>
      <c r="B213" s="299" t="s">
        <v>830</v>
      </c>
      <c r="C213" s="277"/>
      <c r="D213" s="336"/>
      <c r="E213" s="300" t="s">
        <v>2186</v>
      </c>
      <c r="F213" s="301" t="s">
        <v>1441</v>
      </c>
      <c r="G213" s="302">
        <v>5.36</v>
      </c>
      <c r="H213" s="301">
        <v>1</v>
      </c>
      <c r="I213" s="303">
        <f>G213*H213</f>
        <v>5.36</v>
      </c>
      <c r="J213" s="290" t="s">
        <v>1291</v>
      </c>
      <c r="K213" s="304">
        <v>2</v>
      </c>
      <c r="L213" s="305">
        <v>750</v>
      </c>
      <c r="M213" s="304">
        <v>2</v>
      </c>
      <c r="N213" s="433">
        <f>L213/'Исп. коэффициенты'!E52*(C217+C218)</f>
        <v>0.4241401576240551</v>
      </c>
      <c r="O213" s="291" t="s">
        <v>1667</v>
      </c>
      <c r="P213" s="291">
        <v>4500</v>
      </c>
      <c r="Q213" s="291">
        <v>19.670000000000002</v>
      </c>
      <c r="R213" s="291">
        <v>885.15</v>
      </c>
      <c r="S213" s="433">
        <f>R213/'Исп. коэффициенты'!E52*C217</f>
        <v>0.2502851070139549</v>
      </c>
      <c r="T213" s="306" t="s">
        <v>1435</v>
      </c>
      <c r="U213" s="307">
        <v>6785401.3499999996</v>
      </c>
      <c r="V213" s="308">
        <v>1.3599999999999999E-2</v>
      </c>
      <c r="W213" s="306">
        <f>'Исп. коэффициенты'!E124</f>
        <v>2978.5</v>
      </c>
      <c r="X213" s="433">
        <f>U213*V213</f>
        <v>92281.45835999999</v>
      </c>
      <c r="Y213" s="295">
        <f>X213/'Исп. коэффициенты'!E52*C217</f>
        <v>26.093514863058715</v>
      </c>
      <c r="Z213" s="291"/>
      <c r="AA213" s="284"/>
      <c r="AB213" s="284"/>
      <c r="AC213" s="377"/>
      <c r="AD213" s="263"/>
      <c r="AE213" s="261"/>
      <c r="AF213" s="365"/>
      <c r="AG213" s="366"/>
      <c r="AH213" s="366"/>
      <c r="AI213" s="366"/>
      <c r="AJ213" s="367"/>
      <c r="AK213" s="366"/>
      <c r="AL213" s="368"/>
      <c r="AM213" s="366"/>
      <c r="AN213" s="366"/>
      <c r="AO213" s="369"/>
      <c r="AP213" s="366"/>
      <c r="AQ213" s="366"/>
      <c r="AR213" s="369"/>
      <c r="AS213" s="369"/>
      <c r="AT213" s="370"/>
      <c r="AU213" s="366"/>
      <c r="AV213" s="369"/>
      <c r="AW213" s="366"/>
      <c r="AX213" s="366"/>
      <c r="AY213" s="366"/>
      <c r="AZ213" s="366"/>
      <c r="BA213" s="366"/>
    </row>
    <row r="214" spans="1:53" s="371" customFormat="1" x14ac:dyDescent="0.25">
      <c r="A214" s="1013"/>
      <c r="B214" s="309" t="s">
        <v>1178</v>
      </c>
      <c r="C214" s="310">
        <f>C193</f>
        <v>33.667709452234185</v>
      </c>
      <c r="D214" s="336"/>
      <c r="E214" s="300" t="s">
        <v>2187</v>
      </c>
      <c r="F214" s="301" t="s">
        <v>1</v>
      </c>
      <c r="G214" s="302">
        <v>6.3E-2</v>
      </c>
      <c r="H214" s="301">
        <v>5</v>
      </c>
      <c r="I214" s="303">
        <f>G214*H214</f>
        <v>0.315</v>
      </c>
      <c r="J214" s="290" t="s">
        <v>1445</v>
      </c>
      <c r="K214" s="292">
        <v>2</v>
      </c>
      <c r="L214" s="311">
        <v>95</v>
      </c>
      <c r="M214" s="304">
        <v>2</v>
      </c>
      <c r="N214" s="433">
        <f>L214/'Исп. коэффициенты'!E52*(C217+C218)</f>
        <v>5.3724419965713643E-2</v>
      </c>
      <c r="O214" s="291" t="s">
        <v>1668</v>
      </c>
      <c r="P214" s="291">
        <v>6750</v>
      </c>
      <c r="Q214" s="291">
        <v>19.670000000000002</v>
      </c>
      <c r="R214" s="291">
        <v>1327.73</v>
      </c>
      <c r="S214" s="433">
        <f>R214/'Исп. коэффициенты'!E52*C217</f>
        <v>0.37542907432145778</v>
      </c>
      <c r="T214" s="291"/>
      <c r="U214" s="291"/>
      <c r="V214" s="291"/>
      <c r="W214" s="372"/>
      <c r="X214" s="291"/>
      <c r="Y214" s="291"/>
      <c r="Z214" s="291"/>
      <c r="AA214" s="284"/>
      <c r="AB214" s="284"/>
      <c r="AC214" s="377"/>
      <c r="AD214" s="263"/>
      <c r="AE214" s="261"/>
      <c r="AF214" s="365"/>
      <c r="AG214" s="366"/>
      <c r="AH214" s="366"/>
      <c r="AI214" s="366"/>
      <c r="AJ214" s="367"/>
      <c r="AK214" s="366"/>
      <c r="AL214" s="368"/>
      <c r="AM214" s="373"/>
      <c r="AN214" s="366"/>
      <c r="AO214" s="369"/>
      <c r="AP214" s="366"/>
      <c r="AQ214" s="366"/>
      <c r="AR214" s="369"/>
      <c r="AS214" s="369"/>
      <c r="AT214" s="366"/>
      <c r="AU214" s="366"/>
      <c r="AV214" s="369"/>
      <c r="AW214" s="366"/>
      <c r="AX214" s="366"/>
      <c r="AY214" s="366"/>
      <c r="AZ214" s="366"/>
      <c r="BA214" s="366"/>
    </row>
    <row r="215" spans="1:53" s="371" customFormat="1" ht="12.75" customHeight="1" x14ac:dyDescent="0.25">
      <c r="A215" s="1013"/>
      <c r="B215" s="286" t="s">
        <v>1179</v>
      </c>
      <c r="C215" s="277">
        <f>C204</f>
        <v>19.495759833054819</v>
      </c>
      <c r="D215" s="336"/>
      <c r="E215" s="300" t="s">
        <v>2112</v>
      </c>
      <c r="F215" s="301" t="s">
        <v>1</v>
      </c>
      <c r="G215" s="302">
        <v>0.47</v>
      </c>
      <c r="H215" s="302">
        <v>10</v>
      </c>
      <c r="I215" s="303">
        <f>G215*H215</f>
        <v>4.6999999999999993</v>
      </c>
      <c r="J215" s="290" t="s">
        <v>1513</v>
      </c>
      <c r="K215" s="292">
        <v>2</v>
      </c>
      <c r="L215" s="292">
        <v>25</v>
      </c>
      <c r="M215" s="304">
        <v>0.5</v>
      </c>
      <c r="N215" s="433">
        <f>L215/'Исп. коэффициенты'!E52*(C217+C218)</f>
        <v>1.413800525413517E-2</v>
      </c>
      <c r="O215" s="291"/>
      <c r="P215" s="291"/>
      <c r="Q215" s="372"/>
      <c r="R215" s="291"/>
      <c r="S215" s="291"/>
      <c r="T215" s="291"/>
      <c r="U215" s="291"/>
      <c r="V215" s="291"/>
      <c r="W215" s="372"/>
      <c r="X215" s="291"/>
      <c r="Y215" s="291"/>
      <c r="Z215" s="291"/>
      <c r="AA215" s="284"/>
      <c r="AB215" s="284"/>
      <c r="AC215" s="377"/>
      <c r="AD215" s="263"/>
      <c r="AE215" s="261"/>
      <c r="AF215" s="365"/>
      <c r="AG215" s="366"/>
      <c r="AH215" s="366"/>
      <c r="AI215" s="366"/>
      <c r="AJ215" s="367"/>
      <c r="AK215" s="366"/>
      <c r="AL215" s="368"/>
      <c r="AM215" s="366"/>
      <c r="AN215" s="366"/>
      <c r="AO215" s="369"/>
      <c r="AP215" s="366"/>
      <c r="AQ215" s="366"/>
      <c r="AR215" s="369"/>
      <c r="AS215" s="369"/>
      <c r="AT215" s="366"/>
      <c r="AU215" s="366"/>
      <c r="AV215" s="369"/>
      <c r="AW215" s="366"/>
      <c r="AX215" s="366"/>
      <c r="AY215" s="366"/>
      <c r="AZ215" s="366"/>
      <c r="BA215" s="366"/>
    </row>
    <row r="216" spans="1:53" s="371" customFormat="1" ht="12.75" customHeight="1" x14ac:dyDescent="0.25">
      <c r="A216" s="1013"/>
      <c r="B216" s="286" t="s">
        <v>831</v>
      </c>
      <c r="C216" s="313"/>
      <c r="D216" s="336"/>
      <c r="E216" s="300" t="s">
        <v>9</v>
      </c>
      <c r="F216" s="376" t="s">
        <v>1441</v>
      </c>
      <c r="G216" s="302">
        <v>0.68</v>
      </c>
      <c r="H216" s="301">
        <v>1</v>
      </c>
      <c r="I216" s="303">
        <f t="shared" ref="I216" si="20">G216*H216</f>
        <v>0.68</v>
      </c>
      <c r="J216" s="290"/>
      <c r="K216" s="374"/>
      <c r="L216" s="292"/>
      <c r="M216" s="292"/>
      <c r="N216" s="292"/>
      <c r="O216" s="291"/>
      <c r="P216" s="291"/>
      <c r="Q216" s="372"/>
      <c r="R216" s="291"/>
      <c r="S216" s="291"/>
      <c r="T216" s="291"/>
      <c r="U216" s="291"/>
      <c r="V216" s="291"/>
      <c r="W216" s="372"/>
      <c r="X216" s="291"/>
      <c r="Y216" s="291"/>
      <c r="Z216" s="291"/>
      <c r="AA216" s="284"/>
      <c r="AB216" s="284"/>
      <c r="AC216" s="377"/>
      <c r="AD216" s="263"/>
      <c r="AE216" s="261"/>
      <c r="AF216" s="365"/>
      <c r="AG216" s="366"/>
      <c r="AH216" s="366"/>
      <c r="AI216" s="366"/>
      <c r="AJ216" s="367"/>
      <c r="AK216" s="366"/>
      <c r="AL216" s="368"/>
      <c r="AM216" s="366"/>
      <c r="AN216" s="366"/>
      <c r="AO216" s="369"/>
      <c r="AP216" s="366"/>
      <c r="AQ216" s="366"/>
      <c r="AR216" s="369"/>
      <c r="AS216" s="369"/>
      <c r="AT216" s="366"/>
      <c r="AU216" s="366"/>
      <c r="AV216" s="369"/>
      <c r="AW216" s="366"/>
      <c r="AX216" s="366"/>
      <c r="AY216" s="366"/>
      <c r="AZ216" s="366"/>
      <c r="BA216" s="366"/>
    </row>
    <row r="217" spans="1:53" s="371" customFormat="1" ht="12.75" customHeight="1" x14ac:dyDescent="0.25">
      <c r="A217" s="1013"/>
      <c r="B217" s="309" t="s">
        <v>1178</v>
      </c>
      <c r="C217" s="314">
        <v>3</v>
      </c>
      <c r="D217" s="336"/>
      <c r="E217" s="300"/>
      <c r="F217" s="301"/>
      <c r="G217" s="302"/>
      <c r="H217" s="301"/>
      <c r="I217" s="303"/>
      <c r="J217" s="290"/>
      <c r="K217" s="374"/>
      <c r="L217" s="292"/>
      <c r="M217" s="292"/>
      <c r="N217" s="292"/>
      <c r="O217" s="291"/>
      <c r="P217" s="291"/>
      <c r="Q217" s="372"/>
      <c r="R217" s="291"/>
      <c r="S217" s="291"/>
      <c r="T217" s="291"/>
      <c r="U217" s="291"/>
      <c r="V217" s="291"/>
      <c r="W217" s="372"/>
      <c r="X217" s="291"/>
      <c r="Y217" s="291"/>
      <c r="Z217" s="291"/>
      <c r="AA217" s="284"/>
      <c r="AB217" s="284"/>
      <c r="AC217" s="377"/>
      <c r="AD217" s="263"/>
      <c r="AE217" s="261"/>
      <c r="AF217" s="365"/>
      <c r="AG217" s="366"/>
      <c r="AH217" s="366"/>
      <c r="AI217" s="366"/>
      <c r="AJ217" s="375"/>
      <c r="AK217" s="366"/>
      <c r="AL217" s="368"/>
      <c r="AM217" s="366"/>
      <c r="AN217" s="366"/>
      <c r="AO217" s="369"/>
      <c r="AP217" s="366"/>
      <c r="AQ217" s="366"/>
      <c r="AR217" s="369"/>
      <c r="AS217" s="369"/>
      <c r="AT217" s="366"/>
      <c r="AU217" s="366"/>
      <c r="AV217" s="369"/>
      <c r="AW217" s="366"/>
      <c r="AX217" s="366"/>
      <c r="AY217" s="366"/>
      <c r="AZ217" s="366"/>
      <c r="BA217" s="366"/>
    </row>
    <row r="218" spans="1:53" s="371" customFormat="1" ht="12.75" customHeight="1" x14ac:dyDescent="0.25">
      <c r="A218" s="1013"/>
      <c r="B218" s="286" t="s">
        <v>1179</v>
      </c>
      <c r="C218" s="314">
        <v>3</v>
      </c>
      <c r="D218" s="336"/>
      <c r="E218" s="300"/>
      <c r="F218" s="376"/>
      <c r="G218" s="302"/>
      <c r="H218" s="301"/>
      <c r="I218" s="303"/>
      <c r="J218" s="290"/>
      <c r="K218" s="374"/>
      <c r="L218" s="292"/>
      <c r="M218" s="292"/>
      <c r="N218" s="292"/>
      <c r="O218" s="291"/>
      <c r="P218" s="291"/>
      <c r="Q218" s="372"/>
      <c r="R218" s="291"/>
      <c r="S218" s="291"/>
      <c r="T218" s="291"/>
      <c r="U218" s="291"/>
      <c r="V218" s="291"/>
      <c r="W218" s="372"/>
      <c r="X218" s="291"/>
      <c r="Y218" s="291"/>
      <c r="Z218" s="291"/>
      <c r="AA218" s="284"/>
      <c r="AB218" s="284"/>
      <c r="AC218" s="377"/>
      <c r="AD218" s="263"/>
      <c r="AE218" s="261"/>
      <c r="AF218" s="365"/>
      <c r="AG218" s="366"/>
      <c r="AH218" s="366"/>
      <c r="AI218" s="366"/>
      <c r="AJ218" s="375"/>
      <c r="AK218" s="366"/>
      <c r="AL218" s="368"/>
      <c r="AM218" s="366"/>
      <c r="AN218" s="366"/>
      <c r="AO218" s="369"/>
      <c r="AP218" s="366"/>
      <c r="AQ218" s="366"/>
      <c r="AR218" s="369"/>
      <c r="AS218" s="369"/>
      <c r="AT218" s="366"/>
      <c r="AU218" s="366"/>
      <c r="AV218" s="369"/>
      <c r="AW218" s="366"/>
      <c r="AX218" s="366"/>
      <c r="AY218" s="366"/>
      <c r="AZ218" s="366"/>
      <c r="BA218" s="366"/>
    </row>
    <row r="219" spans="1:53" s="371" customFormat="1" ht="12.75" customHeight="1" x14ac:dyDescent="0.25">
      <c r="A219" s="1013"/>
      <c r="B219" s="315" t="s">
        <v>1181</v>
      </c>
      <c r="C219" s="277">
        <f>C214*C217+C215*C218</f>
        <v>159.49040785586701</v>
      </c>
      <c r="D219" s="336"/>
      <c r="E219" s="300"/>
      <c r="F219" s="376"/>
      <c r="G219" s="302"/>
      <c r="H219" s="301"/>
      <c r="I219" s="303"/>
      <c r="J219" s="290"/>
      <c r="K219" s="374"/>
      <c r="L219" s="292"/>
      <c r="M219" s="292"/>
      <c r="N219" s="292"/>
      <c r="O219" s="291"/>
      <c r="P219" s="291"/>
      <c r="Q219" s="372"/>
      <c r="R219" s="291"/>
      <c r="S219" s="291"/>
      <c r="T219" s="291"/>
      <c r="U219" s="291"/>
      <c r="V219" s="291"/>
      <c r="W219" s="372"/>
      <c r="X219" s="291"/>
      <c r="Y219" s="291"/>
      <c r="Z219" s="291"/>
      <c r="AA219" s="284"/>
      <c r="AB219" s="284"/>
      <c r="AC219" s="377"/>
      <c r="AD219" s="263"/>
      <c r="AE219" s="261"/>
      <c r="AF219" s="365"/>
      <c r="AG219" s="366"/>
      <c r="AH219" s="366"/>
      <c r="AI219" s="366"/>
      <c r="AJ219" s="367"/>
      <c r="AK219" s="366"/>
      <c r="AL219" s="368"/>
      <c r="AM219" s="366"/>
      <c r="AN219" s="366"/>
      <c r="AO219" s="369"/>
      <c r="AP219" s="366"/>
      <c r="AQ219" s="366"/>
      <c r="AR219" s="369"/>
      <c r="AS219" s="369"/>
      <c r="AT219" s="366"/>
      <c r="AU219" s="366"/>
      <c r="AV219" s="369"/>
      <c r="AW219" s="366"/>
      <c r="AX219" s="366"/>
      <c r="AY219" s="366"/>
      <c r="AZ219" s="366"/>
      <c r="BA219" s="366"/>
    </row>
    <row r="220" spans="1:53" s="371" customFormat="1" ht="12.75" customHeight="1" x14ac:dyDescent="0.25">
      <c r="A220" s="1014"/>
      <c r="B220" s="315"/>
      <c r="C220" s="314"/>
      <c r="D220" s="337"/>
      <c r="E220" s="300"/>
      <c r="F220" s="376"/>
      <c r="G220" s="302"/>
      <c r="H220" s="301"/>
      <c r="I220" s="303"/>
      <c r="J220" s="290"/>
      <c r="K220" s="374"/>
      <c r="L220" s="292"/>
      <c r="M220" s="292"/>
      <c r="N220" s="292"/>
      <c r="O220" s="291"/>
      <c r="P220" s="291"/>
      <c r="Q220" s="372"/>
      <c r="R220" s="291"/>
      <c r="S220" s="291"/>
      <c r="T220" s="291"/>
      <c r="U220" s="291"/>
      <c r="V220" s="291"/>
      <c r="W220" s="372"/>
      <c r="X220" s="291"/>
      <c r="Y220" s="291"/>
      <c r="Z220" s="291"/>
      <c r="AA220" s="284"/>
      <c r="AB220" s="284"/>
      <c r="AC220" s="377"/>
      <c r="AD220" s="263"/>
      <c r="AE220" s="261"/>
      <c r="AF220" s="365"/>
      <c r="AG220" s="366"/>
      <c r="AH220" s="366"/>
      <c r="AI220" s="366"/>
      <c r="AJ220" s="375"/>
      <c r="AK220" s="366"/>
      <c r="AL220" s="368"/>
      <c r="AM220" s="366"/>
      <c r="AN220" s="366"/>
      <c r="AO220" s="369"/>
      <c r="AP220" s="366"/>
      <c r="AQ220" s="366"/>
      <c r="AR220" s="369"/>
      <c r="AS220" s="369"/>
      <c r="AT220" s="366"/>
      <c r="AU220" s="366"/>
      <c r="AV220" s="369"/>
      <c r="AW220" s="366"/>
      <c r="AX220" s="366"/>
      <c r="AY220" s="366"/>
      <c r="AZ220" s="366"/>
      <c r="BA220" s="366"/>
    </row>
    <row r="221" spans="1:53" ht="56.25" customHeight="1" x14ac:dyDescent="0.25">
      <c r="A221" s="1012" t="s">
        <v>225</v>
      </c>
      <c r="B221" s="277"/>
      <c r="C221" s="277"/>
      <c r="D221" s="287"/>
      <c r="E221" s="278" t="s">
        <v>488</v>
      </c>
      <c r="F221" s="279" t="s">
        <v>837</v>
      </c>
      <c r="G221" s="277" t="s">
        <v>489</v>
      </c>
      <c r="H221" s="278" t="s">
        <v>1170</v>
      </c>
      <c r="I221" s="279" t="s">
        <v>838</v>
      </c>
      <c r="J221" s="280" t="s">
        <v>1171</v>
      </c>
      <c r="K221" s="280" t="s">
        <v>490</v>
      </c>
      <c r="L221" s="281" t="s">
        <v>489</v>
      </c>
      <c r="M221" s="280" t="s">
        <v>1172</v>
      </c>
      <c r="N221" s="354" t="s">
        <v>838</v>
      </c>
      <c r="O221" s="280" t="s">
        <v>1171</v>
      </c>
      <c r="P221" s="280" t="s">
        <v>826</v>
      </c>
      <c r="Q221" s="282" t="s">
        <v>1173</v>
      </c>
      <c r="R221" s="280" t="s">
        <v>1174</v>
      </c>
      <c r="S221" s="280" t="s">
        <v>839</v>
      </c>
      <c r="T221" s="280" t="s">
        <v>1171</v>
      </c>
      <c r="U221" s="280" t="s">
        <v>1392</v>
      </c>
      <c r="V221" s="280" t="s">
        <v>841</v>
      </c>
      <c r="W221" s="282" t="s">
        <v>1173</v>
      </c>
      <c r="X221" s="280" t="s">
        <v>1394</v>
      </c>
      <c r="Y221" s="280" t="s">
        <v>839</v>
      </c>
      <c r="Z221" s="283"/>
      <c r="AA221" s="284"/>
      <c r="AB221" s="284"/>
      <c r="AC221" s="377"/>
      <c r="AD221" s="263"/>
      <c r="AQ221" s="355"/>
      <c r="AR221" s="355"/>
      <c r="AS221" s="355"/>
    </row>
    <row r="222" spans="1:53" s="270" customFormat="1" ht="12" customHeight="1" x14ac:dyDescent="0.25">
      <c r="A222" s="1013"/>
      <c r="B222" s="285" t="s">
        <v>1175</v>
      </c>
      <c r="C222" s="277">
        <f>C229</f>
        <v>159.49040785586701</v>
      </c>
      <c r="D222" s="336">
        <f>C222*$D$5</f>
        <v>32.217062386885139</v>
      </c>
      <c r="E222" s="286" t="s">
        <v>1176</v>
      </c>
      <c r="F222" s="356"/>
      <c r="G222" s="288"/>
      <c r="H222" s="288"/>
      <c r="I222" s="289">
        <f>SUM(I223:I230)</f>
        <v>11.055</v>
      </c>
      <c r="J222" s="290" t="s">
        <v>1176</v>
      </c>
      <c r="K222" s="357"/>
      <c r="L222" s="291"/>
      <c r="M222" s="291"/>
      <c r="N222" s="433">
        <f>SUM(N223:N230)</f>
        <v>0.49200258284390391</v>
      </c>
      <c r="O222" s="291" t="s">
        <v>1176</v>
      </c>
      <c r="P222" s="291"/>
      <c r="Q222" s="372"/>
      <c r="R222" s="294"/>
      <c r="S222" s="433">
        <f>SUM(S223:S230)</f>
        <v>0.62571418133541268</v>
      </c>
      <c r="T222" s="291" t="s">
        <v>1176</v>
      </c>
      <c r="U222" s="307"/>
      <c r="V222" s="308"/>
      <c r="W222" s="306"/>
      <c r="X222" s="292"/>
      <c r="Y222" s="433">
        <f>SUM(Y223:Y230)</f>
        <v>26.093514863058715</v>
      </c>
      <c r="Z222" s="296">
        <f>(C222+D222+I222+N222+Y222)*$Z$5</f>
        <v>298.19543096003775</v>
      </c>
      <c r="AA222" s="297">
        <f>C222+D222+I222+N222+S222+Y222+Z222</f>
        <v>528.16913283002793</v>
      </c>
      <c r="AB222" s="298">
        <v>0.25</v>
      </c>
      <c r="AC222" s="358">
        <f>AA222*(1+AB222)</f>
        <v>660.21141603753495</v>
      </c>
      <c r="AD222" s="265"/>
      <c r="AE222" s="261"/>
      <c r="AF222" s="262"/>
      <c r="AG222" s="263"/>
      <c r="AH222" s="263"/>
      <c r="AI222" s="355"/>
      <c r="AJ222" s="359"/>
      <c r="AK222" s="360"/>
      <c r="AL222" s="264"/>
      <c r="AM222" s="361"/>
      <c r="AN222" s="143"/>
      <c r="AO222" s="362"/>
      <c r="AP222" s="363"/>
      <c r="AQ222" s="363"/>
      <c r="AR222" s="363"/>
      <c r="AS222" s="363"/>
      <c r="AT222" s="363"/>
      <c r="AU222" s="362"/>
      <c r="AV222" s="362"/>
      <c r="AW222" s="364"/>
      <c r="AX222" s="272"/>
      <c r="AY222" s="272"/>
      <c r="AZ222" s="272"/>
      <c r="BA222" s="272"/>
    </row>
    <row r="223" spans="1:53" s="371" customFormat="1" ht="12.75" customHeight="1" x14ac:dyDescent="0.25">
      <c r="A223" s="1013"/>
      <c r="B223" s="299" t="s">
        <v>830</v>
      </c>
      <c r="C223" s="277"/>
      <c r="D223" s="270"/>
      <c r="E223" s="300" t="s">
        <v>2186</v>
      </c>
      <c r="F223" s="301" t="s">
        <v>1441</v>
      </c>
      <c r="G223" s="302">
        <v>5.36</v>
      </c>
      <c r="H223" s="301">
        <v>1</v>
      </c>
      <c r="I223" s="303">
        <f>G223*H223</f>
        <v>5.36</v>
      </c>
      <c r="J223" s="290" t="s">
        <v>1291</v>
      </c>
      <c r="K223" s="304">
        <v>2</v>
      </c>
      <c r="L223" s="305">
        <v>750</v>
      </c>
      <c r="M223" s="304">
        <v>2</v>
      </c>
      <c r="N223" s="433">
        <f>L223/'Исп. коэффициенты'!E52*(C227+C228)</f>
        <v>0.4241401576240551</v>
      </c>
      <c r="O223" s="291" t="s">
        <v>1667</v>
      </c>
      <c r="P223" s="291">
        <v>4500</v>
      </c>
      <c r="Q223" s="291">
        <v>19.670000000000002</v>
      </c>
      <c r="R223" s="291">
        <v>885.15</v>
      </c>
      <c r="S223" s="433">
        <f>R223/'Исп. коэффициенты'!E52*C227</f>
        <v>0.2502851070139549</v>
      </c>
      <c r="T223" s="306" t="s">
        <v>1435</v>
      </c>
      <c r="U223" s="307">
        <v>6785401.3499999996</v>
      </c>
      <c r="V223" s="308">
        <v>1.3599999999999999E-2</v>
      </c>
      <c r="W223" s="306">
        <f>'Исп. коэффициенты'!E124</f>
        <v>2978.5</v>
      </c>
      <c r="X223" s="433">
        <f>U223*V223</f>
        <v>92281.45835999999</v>
      </c>
      <c r="Y223" s="295">
        <f>X223/'Исп. коэффициенты'!E52*C227</f>
        <v>26.093514863058715</v>
      </c>
      <c r="Z223" s="291"/>
      <c r="AA223" s="284"/>
      <c r="AB223" s="284"/>
      <c r="AC223" s="377"/>
      <c r="AD223" s="263"/>
      <c r="AE223" s="261"/>
      <c r="AF223" s="365"/>
      <c r="AG223" s="366"/>
      <c r="AH223" s="366"/>
      <c r="AI223" s="366"/>
      <c r="AJ223" s="367"/>
      <c r="AK223" s="366"/>
      <c r="AL223" s="368"/>
      <c r="AM223" s="366"/>
      <c r="AN223" s="366"/>
      <c r="AO223" s="369"/>
      <c r="AP223" s="366"/>
      <c r="AQ223" s="366"/>
      <c r="AR223" s="369"/>
      <c r="AS223" s="369"/>
      <c r="AT223" s="370"/>
      <c r="AU223" s="366"/>
      <c r="AV223" s="369"/>
      <c r="AW223" s="366"/>
      <c r="AX223" s="366"/>
      <c r="AY223" s="366"/>
      <c r="AZ223" s="366"/>
      <c r="BA223" s="366"/>
    </row>
    <row r="224" spans="1:53" s="371" customFormat="1" x14ac:dyDescent="0.25">
      <c r="A224" s="1013"/>
      <c r="B224" s="309" t="s">
        <v>1178</v>
      </c>
      <c r="C224" s="310">
        <f>C214</f>
        <v>33.667709452234185</v>
      </c>
      <c r="D224" s="336"/>
      <c r="E224" s="300" t="s">
        <v>2187</v>
      </c>
      <c r="F224" s="301" t="s">
        <v>1</v>
      </c>
      <c r="G224" s="302">
        <v>6.3E-2</v>
      </c>
      <c r="H224" s="301">
        <v>5</v>
      </c>
      <c r="I224" s="303">
        <f>G224*H224</f>
        <v>0.315</v>
      </c>
      <c r="J224" s="290" t="s">
        <v>1445</v>
      </c>
      <c r="K224" s="292">
        <v>2</v>
      </c>
      <c r="L224" s="311">
        <v>95</v>
      </c>
      <c r="M224" s="304">
        <v>2</v>
      </c>
      <c r="N224" s="433">
        <f>L224/'Исп. коэффициенты'!E52*(C227+C228)</f>
        <v>5.3724419965713643E-2</v>
      </c>
      <c r="O224" s="291" t="s">
        <v>1668</v>
      </c>
      <c r="P224" s="291">
        <v>6750</v>
      </c>
      <c r="Q224" s="291">
        <v>19.670000000000002</v>
      </c>
      <c r="R224" s="291">
        <v>1327.73</v>
      </c>
      <c r="S224" s="433">
        <f>R224/'Исп. коэффициенты'!E52*C227</f>
        <v>0.37542907432145778</v>
      </c>
      <c r="T224" s="291"/>
      <c r="U224" s="291"/>
      <c r="V224" s="291"/>
      <c r="W224" s="372"/>
      <c r="X224" s="291"/>
      <c r="Y224" s="291"/>
      <c r="Z224" s="291"/>
      <c r="AA224" s="284"/>
      <c r="AB224" s="284"/>
      <c r="AC224" s="377"/>
      <c r="AD224" s="263"/>
      <c r="AE224" s="261"/>
      <c r="AF224" s="365"/>
      <c r="AG224" s="366"/>
      <c r="AH224" s="366"/>
      <c r="AI224" s="366"/>
      <c r="AJ224" s="367"/>
      <c r="AK224" s="366"/>
      <c r="AL224" s="368"/>
      <c r="AM224" s="373"/>
      <c r="AN224" s="366"/>
      <c r="AO224" s="369"/>
      <c r="AP224" s="366"/>
      <c r="AQ224" s="366"/>
      <c r="AR224" s="369"/>
      <c r="AS224" s="369"/>
      <c r="AT224" s="366"/>
      <c r="AU224" s="366"/>
      <c r="AV224" s="369"/>
      <c r="AW224" s="366"/>
      <c r="AX224" s="366"/>
      <c r="AY224" s="366"/>
      <c r="AZ224" s="366"/>
      <c r="BA224" s="366"/>
    </row>
    <row r="225" spans="1:53" s="371" customFormat="1" ht="12.75" customHeight="1" x14ac:dyDescent="0.25">
      <c r="A225" s="1013"/>
      <c r="B225" s="286" t="s">
        <v>1179</v>
      </c>
      <c r="C225" s="277">
        <f>C215</f>
        <v>19.495759833054819</v>
      </c>
      <c r="D225" s="336"/>
      <c r="E225" s="300" t="s">
        <v>2112</v>
      </c>
      <c r="F225" s="301" t="s">
        <v>1</v>
      </c>
      <c r="G225" s="302">
        <v>0.47</v>
      </c>
      <c r="H225" s="302">
        <v>10</v>
      </c>
      <c r="I225" s="303">
        <f>G225*H225</f>
        <v>4.6999999999999993</v>
      </c>
      <c r="J225" s="290" t="s">
        <v>1513</v>
      </c>
      <c r="K225" s="292">
        <v>2</v>
      </c>
      <c r="L225" s="292">
        <v>25</v>
      </c>
      <c r="M225" s="304">
        <v>0.5</v>
      </c>
      <c r="N225" s="433">
        <f>L225/'Исп. коэффициенты'!E52*(C227+C228)</f>
        <v>1.413800525413517E-2</v>
      </c>
      <c r="O225" s="291"/>
      <c r="P225" s="291"/>
      <c r="Q225" s="372"/>
      <c r="R225" s="291"/>
      <c r="S225" s="291"/>
      <c r="T225" s="291"/>
      <c r="U225" s="291"/>
      <c r="V225" s="291"/>
      <c r="W225" s="372"/>
      <c r="X225" s="291"/>
      <c r="Y225" s="291"/>
      <c r="Z225" s="291"/>
      <c r="AA225" s="284"/>
      <c r="AB225" s="284"/>
      <c r="AC225" s="377"/>
      <c r="AD225" s="263"/>
      <c r="AE225" s="261"/>
      <c r="AF225" s="365"/>
      <c r="AG225" s="366"/>
      <c r="AH225" s="366"/>
      <c r="AI225" s="366"/>
      <c r="AJ225" s="367"/>
      <c r="AK225" s="366"/>
      <c r="AL225" s="368"/>
      <c r="AM225" s="366"/>
      <c r="AN225" s="366"/>
      <c r="AO225" s="369"/>
      <c r="AP225" s="366"/>
      <c r="AQ225" s="366"/>
      <c r="AR225" s="369"/>
      <c r="AS225" s="369"/>
      <c r="AT225" s="366"/>
      <c r="AU225" s="366"/>
      <c r="AV225" s="369"/>
      <c r="AW225" s="366"/>
      <c r="AX225" s="366"/>
      <c r="AY225" s="366"/>
      <c r="AZ225" s="366"/>
      <c r="BA225" s="366"/>
    </row>
    <row r="226" spans="1:53" s="371" customFormat="1" ht="12.75" customHeight="1" x14ac:dyDescent="0.25">
      <c r="A226" s="1013"/>
      <c r="B226" s="286" t="s">
        <v>831</v>
      </c>
      <c r="C226" s="313"/>
      <c r="D226" s="336"/>
      <c r="E226" s="300" t="s">
        <v>9</v>
      </c>
      <c r="F226" s="376" t="s">
        <v>1441</v>
      </c>
      <c r="G226" s="302">
        <v>0.68</v>
      </c>
      <c r="H226" s="301">
        <v>1</v>
      </c>
      <c r="I226" s="303">
        <f t="shared" ref="I226" si="21">G226*H226</f>
        <v>0.68</v>
      </c>
      <c r="J226" s="290"/>
      <c r="K226" s="374"/>
      <c r="L226" s="292"/>
      <c r="M226" s="292"/>
      <c r="N226" s="292"/>
      <c r="O226" s="291"/>
      <c r="P226" s="291"/>
      <c r="Q226" s="372"/>
      <c r="R226" s="291"/>
      <c r="S226" s="291"/>
      <c r="T226" s="291"/>
      <c r="U226" s="291"/>
      <c r="V226" s="291"/>
      <c r="W226" s="372"/>
      <c r="X226" s="291"/>
      <c r="Y226" s="291"/>
      <c r="Z226" s="291"/>
      <c r="AA226" s="284"/>
      <c r="AB226" s="284"/>
      <c r="AC226" s="377"/>
      <c r="AD226" s="263"/>
      <c r="AE226" s="261"/>
      <c r="AF226" s="365"/>
      <c r="AG226" s="366"/>
      <c r="AH226" s="366"/>
      <c r="AI226" s="366"/>
      <c r="AJ226" s="367"/>
      <c r="AK226" s="366"/>
      <c r="AL226" s="368"/>
      <c r="AM226" s="366"/>
      <c r="AN226" s="366"/>
      <c r="AO226" s="369"/>
      <c r="AP226" s="366"/>
      <c r="AQ226" s="366"/>
      <c r="AR226" s="369"/>
      <c r="AS226" s="369"/>
      <c r="AT226" s="366"/>
      <c r="AU226" s="366"/>
      <c r="AV226" s="369"/>
      <c r="AW226" s="366"/>
      <c r="AX226" s="366"/>
      <c r="AY226" s="366"/>
      <c r="AZ226" s="366"/>
      <c r="BA226" s="366"/>
    </row>
    <row r="227" spans="1:53" s="371" customFormat="1" ht="12.75" customHeight="1" x14ac:dyDescent="0.25">
      <c r="A227" s="1013"/>
      <c r="B227" s="309" t="s">
        <v>1178</v>
      </c>
      <c r="C227" s="314">
        <v>3</v>
      </c>
      <c r="D227" s="336"/>
      <c r="E227" s="300"/>
      <c r="F227" s="301"/>
      <c r="G227" s="302"/>
      <c r="H227" s="301"/>
      <c r="I227" s="303"/>
      <c r="J227" s="290"/>
      <c r="K227" s="374"/>
      <c r="L227" s="292"/>
      <c r="M227" s="292"/>
      <c r="N227" s="292"/>
      <c r="O227" s="291"/>
      <c r="P227" s="291"/>
      <c r="Q227" s="372"/>
      <c r="R227" s="291"/>
      <c r="S227" s="291"/>
      <c r="T227" s="291"/>
      <c r="U227" s="291"/>
      <c r="V227" s="291"/>
      <c r="W227" s="372"/>
      <c r="X227" s="291"/>
      <c r="Y227" s="291"/>
      <c r="Z227" s="291"/>
      <c r="AA227" s="284"/>
      <c r="AB227" s="284"/>
      <c r="AC227" s="377"/>
      <c r="AD227" s="263"/>
      <c r="AE227" s="261"/>
      <c r="AF227" s="365"/>
      <c r="AG227" s="366"/>
      <c r="AH227" s="366"/>
      <c r="AI227" s="366"/>
      <c r="AJ227" s="375"/>
      <c r="AK227" s="366"/>
      <c r="AL227" s="368"/>
      <c r="AM227" s="366"/>
      <c r="AN227" s="366"/>
      <c r="AO227" s="369"/>
      <c r="AP227" s="366"/>
      <c r="AQ227" s="366"/>
      <c r="AR227" s="369"/>
      <c r="AS227" s="369"/>
      <c r="AT227" s="366"/>
      <c r="AU227" s="366"/>
      <c r="AV227" s="369"/>
      <c r="AW227" s="366"/>
      <c r="AX227" s="366"/>
      <c r="AY227" s="366"/>
      <c r="AZ227" s="366"/>
      <c r="BA227" s="366"/>
    </row>
    <row r="228" spans="1:53" s="371" customFormat="1" ht="12.75" customHeight="1" x14ac:dyDescent="0.25">
      <c r="A228" s="1013"/>
      <c r="B228" s="286" t="s">
        <v>1179</v>
      </c>
      <c r="C228" s="314">
        <v>3</v>
      </c>
      <c r="D228" s="336"/>
      <c r="E228" s="300"/>
      <c r="F228" s="376"/>
      <c r="G228" s="302"/>
      <c r="H228" s="301"/>
      <c r="I228" s="303"/>
      <c r="J228" s="290"/>
      <c r="K228" s="374"/>
      <c r="L228" s="292"/>
      <c r="M228" s="292"/>
      <c r="N228" s="292"/>
      <c r="O228" s="291"/>
      <c r="P228" s="291"/>
      <c r="Q228" s="372"/>
      <c r="R228" s="291"/>
      <c r="S228" s="291"/>
      <c r="T228" s="291"/>
      <c r="U228" s="291"/>
      <c r="V228" s="291"/>
      <c r="W228" s="372"/>
      <c r="X228" s="291"/>
      <c r="Y228" s="291"/>
      <c r="Z228" s="291"/>
      <c r="AA228" s="284"/>
      <c r="AB228" s="284"/>
      <c r="AC228" s="377"/>
      <c r="AD228" s="263"/>
      <c r="AE228" s="261"/>
      <c r="AF228" s="365"/>
      <c r="AG228" s="366"/>
      <c r="AH228" s="366"/>
      <c r="AI228" s="366"/>
      <c r="AJ228" s="375"/>
      <c r="AK228" s="366"/>
      <c r="AL228" s="368"/>
      <c r="AM228" s="366"/>
      <c r="AN228" s="366"/>
      <c r="AO228" s="369"/>
      <c r="AP228" s="366"/>
      <c r="AQ228" s="366"/>
      <c r="AR228" s="369"/>
      <c r="AS228" s="369"/>
      <c r="AT228" s="366"/>
      <c r="AU228" s="366"/>
      <c r="AV228" s="369"/>
      <c r="AW228" s="366"/>
      <c r="AX228" s="366"/>
      <c r="AY228" s="366"/>
      <c r="AZ228" s="366"/>
      <c r="BA228" s="366"/>
    </row>
    <row r="229" spans="1:53" s="371" customFormat="1" ht="12.75" customHeight="1" x14ac:dyDescent="0.25">
      <c r="A229" s="1013"/>
      <c r="B229" s="315" t="s">
        <v>1181</v>
      </c>
      <c r="C229" s="277">
        <f>C224*C227+C225*C228</f>
        <v>159.49040785586701</v>
      </c>
      <c r="D229" s="336"/>
      <c r="E229" s="300"/>
      <c r="F229" s="376"/>
      <c r="G229" s="302"/>
      <c r="H229" s="301"/>
      <c r="I229" s="303"/>
      <c r="J229" s="290"/>
      <c r="K229" s="374"/>
      <c r="L229" s="292"/>
      <c r="M229" s="292"/>
      <c r="N229" s="292"/>
      <c r="O229" s="291"/>
      <c r="P229" s="291"/>
      <c r="Q229" s="372"/>
      <c r="R229" s="291"/>
      <c r="S229" s="291"/>
      <c r="T229" s="291"/>
      <c r="U229" s="291"/>
      <c r="V229" s="291"/>
      <c r="W229" s="372"/>
      <c r="X229" s="291"/>
      <c r="Y229" s="291"/>
      <c r="Z229" s="291"/>
      <c r="AA229" s="284"/>
      <c r="AB229" s="284"/>
      <c r="AC229" s="377"/>
      <c r="AD229" s="263"/>
      <c r="AE229" s="261"/>
      <c r="AF229" s="365"/>
      <c r="AG229" s="366"/>
      <c r="AH229" s="366"/>
      <c r="AI229" s="366"/>
      <c r="AJ229" s="367"/>
      <c r="AK229" s="366"/>
      <c r="AL229" s="368"/>
      <c r="AM229" s="366"/>
      <c r="AN229" s="366"/>
      <c r="AO229" s="369"/>
      <c r="AP229" s="366"/>
      <c r="AQ229" s="366"/>
      <c r="AR229" s="369"/>
      <c r="AS229" s="369"/>
      <c r="AT229" s="366"/>
      <c r="AU229" s="366"/>
      <c r="AV229" s="369"/>
      <c r="AW229" s="366"/>
      <c r="AX229" s="366"/>
      <c r="AY229" s="366"/>
      <c r="AZ229" s="366"/>
      <c r="BA229" s="366"/>
    </row>
    <row r="230" spans="1:53" s="371" customFormat="1" ht="12.75" customHeight="1" x14ac:dyDescent="0.25">
      <c r="A230" s="1014"/>
      <c r="B230" s="315"/>
      <c r="C230" s="277"/>
      <c r="D230" s="337"/>
      <c r="E230" s="300"/>
      <c r="F230" s="376"/>
      <c r="G230" s="302"/>
      <c r="H230" s="301"/>
      <c r="I230" s="303"/>
      <c r="J230" s="290"/>
      <c r="K230" s="374"/>
      <c r="L230" s="292"/>
      <c r="M230" s="292"/>
      <c r="N230" s="292"/>
      <c r="O230" s="291"/>
      <c r="P230" s="291"/>
      <c r="Q230" s="372"/>
      <c r="R230" s="291"/>
      <c r="S230" s="291"/>
      <c r="T230" s="291"/>
      <c r="U230" s="291"/>
      <c r="V230" s="291"/>
      <c r="W230" s="372"/>
      <c r="X230" s="291"/>
      <c r="Y230" s="291"/>
      <c r="Z230" s="291"/>
      <c r="AA230" s="284"/>
      <c r="AB230" s="284"/>
      <c r="AC230" s="377"/>
      <c r="AD230" s="263"/>
      <c r="AE230" s="261"/>
      <c r="AF230" s="365"/>
      <c r="AG230" s="366"/>
      <c r="AH230" s="366"/>
      <c r="AI230" s="366"/>
      <c r="AJ230" s="367"/>
      <c r="AK230" s="366"/>
      <c r="AL230" s="368"/>
      <c r="AM230" s="366"/>
      <c r="AN230" s="366"/>
      <c r="AO230" s="369"/>
      <c r="AP230" s="366"/>
      <c r="AQ230" s="366"/>
      <c r="AR230" s="369"/>
      <c r="AS230" s="369"/>
      <c r="AT230" s="366"/>
      <c r="AU230" s="366"/>
      <c r="AV230" s="369"/>
      <c r="AW230" s="366"/>
      <c r="AX230" s="366"/>
      <c r="AY230" s="366"/>
      <c r="AZ230" s="366"/>
      <c r="BA230" s="366"/>
    </row>
    <row r="231" spans="1:53" ht="56.25" customHeight="1" x14ac:dyDescent="0.25">
      <c r="A231" s="1012" t="s">
        <v>233</v>
      </c>
      <c r="B231" s="277"/>
      <c r="C231" s="277"/>
      <c r="D231" s="287"/>
      <c r="E231" s="278" t="s">
        <v>488</v>
      </c>
      <c r="F231" s="279" t="s">
        <v>837</v>
      </c>
      <c r="G231" s="277" t="s">
        <v>489</v>
      </c>
      <c r="H231" s="278" t="s">
        <v>1170</v>
      </c>
      <c r="I231" s="279" t="s">
        <v>838</v>
      </c>
      <c r="J231" s="280" t="s">
        <v>1171</v>
      </c>
      <c r="K231" s="280" t="s">
        <v>490</v>
      </c>
      <c r="L231" s="281" t="s">
        <v>489</v>
      </c>
      <c r="M231" s="280" t="s">
        <v>1172</v>
      </c>
      <c r="N231" s="354" t="s">
        <v>838</v>
      </c>
      <c r="O231" s="280" t="s">
        <v>1171</v>
      </c>
      <c r="P231" s="280" t="s">
        <v>826</v>
      </c>
      <c r="Q231" s="282" t="s">
        <v>1173</v>
      </c>
      <c r="R231" s="280" t="s">
        <v>1174</v>
      </c>
      <c r="S231" s="280" t="s">
        <v>839</v>
      </c>
      <c r="T231" s="280" t="s">
        <v>1171</v>
      </c>
      <c r="U231" s="280" t="s">
        <v>1392</v>
      </c>
      <c r="V231" s="282" t="s">
        <v>1173</v>
      </c>
      <c r="W231" s="280" t="s">
        <v>841</v>
      </c>
      <c r="X231" s="280" t="s">
        <v>1394</v>
      </c>
      <c r="Y231" s="280" t="s">
        <v>839</v>
      </c>
      <c r="Z231" s="283"/>
      <c r="AA231" s="284"/>
      <c r="AB231" s="284"/>
      <c r="AC231" s="377"/>
      <c r="AD231" s="263"/>
      <c r="AQ231" s="355"/>
      <c r="AR231" s="355"/>
      <c r="AS231" s="355"/>
    </row>
    <row r="232" spans="1:53" s="270" customFormat="1" ht="12" customHeight="1" x14ac:dyDescent="0.25">
      <c r="A232" s="1013"/>
      <c r="B232" s="285" t="s">
        <v>1175</v>
      </c>
      <c r="C232" s="277">
        <f>C239</f>
        <v>159.49040785586701</v>
      </c>
      <c r="D232" s="336">
        <f>C232*$D$5</f>
        <v>32.217062386885139</v>
      </c>
      <c r="E232" s="286" t="s">
        <v>1176</v>
      </c>
      <c r="F232" s="356"/>
      <c r="G232" s="288"/>
      <c r="H232" s="288"/>
      <c r="I232" s="289">
        <f>SUM(I233:I240)</f>
        <v>11.055</v>
      </c>
      <c r="J232" s="290" t="s">
        <v>1176</v>
      </c>
      <c r="K232" s="357"/>
      <c r="L232" s="291"/>
      <c r="M232" s="291"/>
      <c r="N232" s="433">
        <f>SUM(N233:N240)</f>
        <v>0.49200258284390391</v>
      </c>
      <c r="O232" s="291" t="s">
        <v>1176</v>
      </c>
      <c r="P232" s="291"/>
      <c r="Q232" s="372"/>
      <c r="R232" s="294"/>
      <c r="S232" s="433">
        <f>SUM(S233:S240)</f>
        <v>0.62571418133541268</v>
      </c>
      <c r="T232" s="291" t="s">
        <v>1176</v>
      </c>
      <c r="U232" s="307"/>
      <c r="V232" s="308"/>
      <c r="W232" s="306"/>
      <c r="X232" s="292"/>
      <c r="Y232" s="433">
        <f>SUM(Y233:Y240)</f>
        <v>26.093514863058715</v>
      </c>
      <c r="Z232" s="296">
        <f>(C232+D232+I232+N232+Y232)*$Z$5</f>
        <v>298.19543096003775</v>
      </c>
      <c r="AA232" s="297">
        <f>C232+D232+I232+N232+S232+Y232+Z232</f>
        <v>528.16913283002793</v>
      </c>
      <c r="AB232" s="298">
        <v>0.25</v>
      </c>
      <c r="AC232" s="358">
        <f>AA232*(1+AB232)</f>
        <v>660.21141603753495</v>
      </c>
      <c r="AD232" s="265"/>
      <c r="AE232" s="261"/>
      <c r="AF232" s="262"/>
      <c r="AG232" s="263"/>
      <c r="AH232" s="263"/>
      <c r="AI232" s="355"/>
      <c r="AJ232" s="359"/>
      <c r="AK232" s="360"/>
      <c r="AL232" s="264"/>
      <c r="AM232" s="361"/>
      <c r="AN232" s="143"/>
      <c r="AO232" s="362"/>
      <c r="AP232" s="363"/>
      <c r="AQ232" s="363"/>
      <c r="AR232" s="363"/>
      <c r="AS232" s="363"/>
      <c r="AT232" s="363"/>
      <c r="AU232" s="362"/>
      <c r="AV232" s="362"/>
      <c r="AW232" s="364"/>
      <c r="AX232" s="272"/>
      <c r="AY232" s="272"/>
      <c r="AZ232" s="272"/>
      <c r="BA232" s="272"/>
    </row>
    <row r="233" spans="1:53" s="371" customFormat="1" ht="12.75" customHeight="1" x14ac:dyDescent="0.25">
      <c r="A233" s="1013"/>
      <c r="B233" s="299" t="s">
        <v>830</v>
      </c>
      <c r="C233" s="277"/>
      <c r="D233" s="336"/>
      <c r="E233" s="300" t="s">
        <v>2186</v>
      </c>
      <c r="F233" s="301" t="s">
        <v>1441</v>
      </c>
      <c r="G233" s="302">
        <v>5.36</v>
      </c>
      <c r="H233" s="301">
        <v>1</v>
      </c>
      <c r="I233" s="303">
        <f>G233*H233</f>
        <v>5.36</v>
      </c>
      <c r="J233" s="290" t="s">
        <v>1291</v>
      </c>
      <c r="K233" s="304">
        <v>2</v>
      </c>
      <c r="L233" s="305">
        <v>750</v>
      </c>
      <c r="M233" s="304">
        <v>2</v>
      </c>
      <c r="N233" s="433">
        <f>L233/'Исп. коэффициенты'!E52*(C237+C238)</f>
        <v>0.4241401576240551</v>
      </c>
      <c r="O233" s="291" t="s">
        <v>1667</v>
      </c>
      <c r="P233" s="291">
        <v>4500</v>
      </c>
      <c r="Q233" s="291">
        <v>19.670000000000002</v>
      </c>
      <c r="R233" s="291">
        <v>885.15</v>
      </c>
      <c r="S233" s="433">
        <f>R233/'Исп. коэффициенты'!E52*C237</f>
        <v>0.2502851070139549</v>
      </c>
      <c r="T233" s="306" t="s">
        <v>1435</v>
      </c>
      <c r="U233" s="307">
        <v>6785401.3499999996</v>
      </c>
      <c r="V233" s="308">
        <v>1.3599999999999999E-2</v>
      </c>
      <c r="W233" s="306">
        <f>'Исп. коэффициенты'!E124</f>
        <v>2978.5</v>
      </c>
      <c r="X233" s="433">
        <f>U233*V233</f>
        <v>92281.45835999999</v>
      </c>
      <c r="Y233" s="295">
        <f>X233/'Исп. коэффициенты'!E52*C237</f>
        <v>26.093514863058715</v>
      </c>
      <c r="Z233" s="291"/>
      <c r="AA233" s="284"/>
      <c r="AB233" s="284"/>
      <c r="AC233" s="377"/>
      <c r="AD233" s="263"/>
      <c r="AE233" s="261"/>
      <c r="AF233" s="365"/>
      <c r="AG233" s="366"/>
      <c r="AH233" s="366"/>
      <c r="AI233" s="366"/>
      <c r="AJ233" s="367"/>
      <c r="AK233" s="366"/>
      <c r="AL233" s="368"/>
      <c r="AM233" s="366"/>
      <c r="AN233" s="366"/>
      <c r="AO233" s="369"/>
      <c r="AP233" s="366"/>
      <c r="AQ233" s="366"/>
      <c r="AR233" s="369"/>
      <c r="AS233" s="369"/>
      <c r="AT233" s="370"/>
      <c r="AU233" s="366"/>
      <c r="AV233" s="369"/>
      <c r="AW233" s="366"/>
      <c r="AX233" s="366"/>
      <c r="AY233" s="366"/>
      <c r="AZ233" s="366"/>
      <c r="BA233" s="366"/>
    </row>
    <row r="234" spans="1:53" s="371" customFormat="1" x14ac:dyDescent="0.25">
      <c r="A234" s="1013"/>
      <c r="B234" s="309" t="s">
        <v>1178</v>
      </c>
      <c r="C234" s="310">
        <f>C224</f>
        <v>33.667709452234185</v>
      </c>
      <c r="D234" s="336"/>
      <c r="E234" s="300" t="s">
        <v>2187</v>
      </c>
      <c r="F234" s="301" t="s">
        <v>1</v>
      </c>
      <c r="G234" s="302">
        <v>6.3E-2</v>
      </c>
      <c r="H234" s="301">
        <v>5</v>
      </c>
      <c r="I234" s="303">
        <f>G234*H234</f>
        <v>0.315</v>
      </c>
      <c r="J234" s="290" t="s">
        <v>1445</v>
      </c>
      <c r="K234" s="292">
        <v>2</v>
      </c>
      <c r="L234" s="311">
        <v>95</v>
      </c>
      <c r="M234" s="304">
        <v>2</v>
      </c>
      <c r="N234" s="433">
        <f>L234/'Исп. коэффициенты'!E52*(C237+C238)</f>
        <v>5.3724419965713643E-2</v>
      </c>
      <c r="O234" s="291" t="s">
        <v>1668</v>
      </c>
      <c r="P234" s="291">
        <v>6750</v>
      </c>
      <c r="Q234" s="291">
        <v>19.670000000000002</v>
      </c>
      <c r="R234" s="291">
        <v>1327.73</v>
      </c>
      <c r="S234" s="433">
        <f>R234/'Исп. коэффициенты'!E52*C237</f>
        <v>0.37542907432145778</v>
      </c>
      <c r="T234" s="291"/>
      <c r="U234" s="291"/>
      <c r="V234" s="291"/>
      <c r="W234" s="372"/>
      <c r="X234" s="291"/>
      <c r="Y234" s="291"/>
      <c r="Z234" s="291"/>
      <c r="AA234" s="284"/>
      <c r="AB234" s="284"/>
      <c r="AC234" s="377"/>
      <c r="AD234" s="263"/>
      <c r="AE234" s="261"/>
      <c r="AF234" s="365"/>
      <c r="AG234" s="366"/>
      <c r="AH234" s="366"/>
      <c r="AI234" s="366"/>
      <c r="AJ234" s="367"/>
      <c r="AK234" s="366"/>
      <c r="AL234" s="368"/>
      <c r="AM234" s="373"/>
      <c r="AN234" s="366"/>
      <c r="AO234" s="369"/>
      <c r="AP234" s="366"/>
      <c r="AQ234" s="366"/>
      <c r="AR234" s="369"/>
      <c r="AS234" s="369"/>
      <c r="AT234" s="366"/>
      <c r="AU234" s="366"/>
      <c r="AV234" s="369"/>
      <c r="AW234" s="366"/>
      <c r="AX234" s="366"/>
      <c r="AY234" s="366"/>
      <c r="AZ234" s="366"/>
      <c r="BA234" s="366"/>
    </row>
    <row r="235" spans="1:53" s="371" customFormat="1" ht="12.75" customHeight="1" x14ac:dyDescent="0.25">
      <c r="A235" s="1013"/>
      <c r="B235" s="286" t="s">
        <v>1179</v>
      </c>
      <c r="C235" s="277">
        <f>C225</f>
        <v>19.495759833054819</v>
      </c>
      <c r="D235" s="336"/>
      <c r="E235" s="300" t="s">
        <v>2112</v>
      </c>
      <c r="F235" s="301" t="s">
        <v>1</v>
      </c>
      <c r="G235" s="302">
        <v>0.47</v>
      </c>
      <c r="H235" s="302">
        <v>10</v>
      </c>
      <c r="I235" s="303">
        <f>G235*H235</f>
        <v>4.6999999999999993</v>
      </c>
      <c r="J235" s="290" t="s">
        <v>1513</v>
      </c>
      <c r="K235" s="292">
        <v>2</v>
      </c>
      <c r="L235" s="292">
        <v>25</v>
      </c>
      <c r="M235" s="304">
        <v>0.5</v>
      </c>
      <c r="N235" s="433">
        <f>L235/'Исп. коэффициенты'!E52*(C237+C238)</f>
        <v>1.413800525413517E-2</v>
      </c>
      <c r="O235" s="291"/>
      <c r="P235" s="291"/>
      <c r="Q235" s="372"/>
      <c r="R235" s="291"/>
      <c r="S235" s="291"/>
      <c r="T235" s="291"/>
      <c r="U235" s="291"/>
      <c r="V235" s="291"/>
      <c r="W235" s="372"/>
      <c r="X235" s="291"/>
      <c r="Y235" s="291"/>
      <c r="Z235" s="291"/>
      <c r="AA235" s="284"/>
      <c r="AB235" s="284"/>
      <c r="AC235" s="377"/>
      <c r="AD235" s="263"/>
      <c r="AE235" s="261"/>
      <c r="AF235" s="365"/>
      <c r="AG235" s="366"/>
      <c r="AH235" s="366"/>
      <c r="AI235" s="366"/>
      <c r="AJ235" s="367"/>
      <c r="AK235" s="366"/>
      <c r="AL235" s="368"/>
      <c r="AM235" s="366"/>
      <c r="AN235" s="366"/>
      <c r="AO235" s="369"/>
      <c r="AP235" s="366"/>
      <c r="AQ235" s="366"/>
      <c r="AR235" s="369"/>
      <c r="AS235" s="369"/>
      <c r="AT235" s="366"/>
      <c r="AU235" s="366"/>
      <c r="AV235" s="369"/>
      <c r="AW235" s="366"/>
      <c r="AX235" s="366"/>
      <c r="AY235" s="366"/>
      <c r="AZ235" s="366"/>
      <c r="BA235" s="366"/>
    </row>
    <row r="236" spans="1:53" s="371" customFormat="1" ht="12.75" customHeight="1" x14ac:dyDescent="0.25">
      <c r="A236" s="1013"/>
      <c r="B236" s="286" t="s">
        <v>831</v>
      </c>
      <c r="C236" s="313"/>
      <c r="D236" s="336"/>
      <c r="E236" s="300" t="s">
        <v>9</v>
      </c>
      <c r="F236" s="376" t="s">
        <v>1441</v>
      </c>
      <c r="G236" s="302">
        <v>0.68</v>
      </c>
      <c r="H236" s="301">
        <v>1</v>
      </c>
      <c r="I236" s="303">
        <f t="shared" ref="I236" si="22">G236*H236</f>
        <v>0.68</v>
      </c>
      <c r="J236" s="290"/>
      <c r="K236" s="374"/>
      <c r="L236" s="292"/>
      <c r="M236" s="292"/>
      <c r="N236" s="292"/>
      <c r="O236" s="291"/>
      <c r="P236" s="291"/>
      <c r="Q236" s="372"/>
      <c r="R236" s="291"/>
      <c r="S236" s="291"/>
      <c r="T236" s="291"/>
      <c r="U236" s="291"/>
      <c r="V236" s="291"/>
      <c r="W236" s="372"/>
      <c r="X236" s="291"/>
      <c r="Y236" s="291"/>
      <c r="Z236" s="291"/>
      <c r="AA236" s="284"/>
      <c r="AB236" s="284"/>
      <c r="AC236" s="377"/>
      <c r="AD236" s="263"/>
      <c r="AE236" s="261"/>
      <c r="AF236" s="365"/>
      <c r="AG236" s="366"/>
      <c r="AH236" s="366"/>
      <c r="AI236" s="366"/>
      <c r="AJ236" s="367"/>
      <c r="AK236" s="366"/>
      <c r="AL236" s="368"/>
      <c r="AM236" s="366"/>
      <c r="AN236" s="366"/>
      <c r="AO236" s="369"/>
      <c r="AP236" s="366"/>
      <c r="AQ236" s="366"/>
      <c r="AR236" s="369"/>
      <c r="AS236" s="369"/>
      <c r="AT236" s="366"/>
      <c r="AU236" s="366"/>
      <c r="AV236" s="369"/>
      <c r="AW236" s="366"/>
      <c r="AX236" s="366"/>
      <c r="AY236" s="366"/>
      <c r="AZ236" s="366"/>
      <c r="BA236" s="366"/>
    </row>
    <row r="237" spans="1:53" s="371" customFormat="1" ht="12.75" customHeight="1" x14ac:dyDescent="0.25">
      <c r="A237" s="1013"/>
      <c r="B237" s="309" t="s">
        <v>1178</v>
      </c>
      <c r="C237" s="314">
        <v>3</v>
      </c>
      <c r="D237" s="336"/>
      <c r="E237" s="300"/>
      <c r="F237" s="301"/>
      <c r="G237" s="302"/>
      <c r="H237" s="301"/>
      <c r="I237" s="303"/>
      <c r="J237" s="290"/>
      <c r="K237" s="374"/>
      <c r="L237" s="292"/>
      <c r="M237" s="292"/>
      <c r="N237" s="292"/>
      <c r="O237" s="291"/>
      <c r="P237" s="291"/>
      <c r="Q237" s="372"/>
      <c r="R237" s="291"/>
      <c r="S237" s="291"/>
      <c r="T237" s="291"/>
      <c r="U237" s="291"/>
      <c r="V237" s="291"/>
      <c r="W237" s="372"/>
      <c r="X237" s="291"/>
      <c r="Y237" s="291"/>
      <c r="Z237" s="291"/>
      <c r="AA237" s="284"/>
      <c r="AB237" s="284"/>
      <c r="AC237" s="377"/>
      <c r="AD237" s="263"/>
      <c r="AE237" s="261"/>
      <c r="AF237" s="365"/>
      <c r="AG237" s="366"/>
      <c r="AH237" s="366"/>
      <c r="AI237" s="366"/>
      <c r="AJ237" s="375"/>
      <c r="AK237" s="366"/>
      <c r="AL237" s="368"/>
      <c r="AM237" s="366"/>
      <c r="AN237" s="366"/>
      <c r="AO237" s="369"/>
      <c r="AP237" s="366"/>
      <c r="AQ237" s="366"/>
      <c r="AR237" s="369"/>
      <c r="AS237" s="369"/>
      <c r="AT237" s="366"/>
      <c r="AU237" s="366"/>
      <c r="AV237" s="369"/>
      <c r="AW237" s="366"/>
      <c r="AX237" s="366"/>
      <c r="AY237" s="366"/>
      <c r="AZ237" s="366"/>
      <c r="BA237" s="366"/>
    </row>
    <row r="238" spans="1:53" s="371" customFormat="1" ht="12.75" customHeight="1" x14ac:dyDescent="0.25">
      <c r="A238" s="1013"/>
      <c r="B238" s="286" t="s">
        <v>1179</v>
      </c>
      <c r="C238" s="314">
        <v>3</v>
      </c>
      <c r="D238" s="336"/>
      <c r="E238" s="300"/>
      <c r="F238" s="376"/>
      <c r="G238" s="302"/>
      <c r="H238" s="301"/>
      <c r="I238" s="303"/>
      <c r="J238" s="290"/>
      <c r="K238" s="374"/>
      <c r="L238" s="292"/>
      <c r="M238" s="292"/>
      <c r="N238" s="292"/>
      <c r="O238" s="291"/>
      <c r="P238" s="291"/>
      <c r="Q238" s="372"/>
      <c r="R238" s="291"/>
      <c r="S238" s="291"/>
      <c r="T238" s="291"/>
      <c r="U238" s="291"/>
      <c r="V238" s="291"/>
      <c r="W238" s="372"/>
      <c r="X238" s="291"/>
      <c r="Y238" s="291"/>
      <c r="Z238" s="291"/>
      <c r="AA238" s="284"/>
      <c r="AB238" s="284"/>
      <c r="AC238" s="377"/>
      <c r="AD238" s="263"/>
      <c r="AE238" s="261"/>
      <c r="AF238" s="365"/>
      <c r="AG238" s="366"/>
      <c r="AH238" s="366"/>
      <c r="AI238" s="366"/>
      <c r="AJ238" s="375"/>
      <c r="AK238" s="366"/>
      <c r="AL238" s="368"/>
      <c r="AM238" s="366"/>
      <c r="AN238" s="366"/>
      <c r="AO238" s="369"/>
      <c r="AP238" s="366"/>
      <c r="AQ238" s="366"/>
      <c r="AR238" s="369"/>
      <c r="AS238" s="369"/>
      <c r="AT238" s="366"/>
      <c r="AU238" s="366"/>
      <c r="AV238" s="369"/>
      <c r="AW238" s="366"/>
      <c r="AX238" s="366"/>
      <c r="AY238" s="366"/>
      <c r="AZ238" s="366"/>
      <c r="BA238" s="366"/>
    </row>
    <row r="239" spans="1:53" s="371" customFormat="1" ht="12.75" customHeight="1" x14ac:dyDescent="0.25">
      <c r="A239" s="1013"/>
      <c r="B239" s="315" t="s">
        <v>1181</v>
      </c>
      <c r="C239" s="277">
        <f>C234*C237+C235*C238</f>
        <v>159.49040785586701</v>
      </c>
      <c r="D239" s="336"/>
      <c r="E239" s="300"/>
      <c r="F239" s="376"/>
      <c r="G239" s="302"/>
      <c r="H239" s="301"/>
      <c r="I239" s="303"/>
      <c r="J239" s="290"/>
      <c r="K239" s="374"/>
      <c r="L239" s="292"/>
      <c r="M239" s="292"/>
      <c r="N239" s="292"/>
      <c r="O239" s="291"/>
      <c r="P239" s="291"/>
      <c r="Q239" s="372"/>
      <c r="R239" s="291"/>
      <c r="S239" s="291"/>
      <c r="T239" s="291"/>
      <c r="U239" s="291"/>
      <c r="V239" s="291"/>
      <c r="W239" s="372"/>
      <c r="X239" s="291"/>
      <c r="Y239" s="291"/>
      <c r="Z239" s="291"/>
      <c r="AA239" s="284"/>
      <c r="AB239" s="284"/>
      <c r="AC239" s="377"/>
      <c r="AD239" s="263"/>
      <c r="AE239" s="261"/>
      <c r="AF239" s="365"/>
      <c r="AG239" s="366"/>
      <c r="AH239" s="366"/>
      <c r="AI239" s="366"/>
      <c r="AJ239" s="367"/>
      <c r="AK239" s="366"/>
      <c r="AL239" s="368"/>
      <c r="AM239" s="366"/>
      <c r="AN239" s="366"/>
      <c r="AO239" s="369"/>
      <c r="AP239" s="366"/>
      <c r="AQ239" s="366"/>
      <c r="AR239" s="369"/>
      <c r="AS239" s="369"/>
      <c r="AT239" s="366"/>
      <c r="AU239" s="366"/>
      <c r="AV239" s="369"/>
      <c r="AW239" s="366"/>
      <c r="AX239" s="366"/>
      <c r="AY239" s="366"/>
      <c r="AZ239" s="366"/>
      <c r="BA239" s="366"/>
    </row>
    <row r="240" spans="1:53" s="371" customFormat="1" ht="12.75" customHeight="1" x14ac:dyDescent="0.25">
      <c r="A240" s="1014"/>
      <c r="B240" s="315"/>
      <c r="C240" s="314"/>
      <c r="D240" s="337"/>
      <c r="E240" s="300"/>
      <c r="F240" s="376"/>
      <c r="G240" s="302"/>
      <c r="H240" s="301"/>
      <c r="I240" s="303"/>
      <c r="J240" s="290"/>
      <c r="K240" s="374"/>
      <c r="L240" s="292"/>
      <c r="M240" s="292"/>
      <c r="N240" s="292"/>
      <c r="O240" s="291"/>
      <c r="P240" s="291"/>
      <c r="Q240" s="372"/>
      <c r="R240" s="291"/>
      <c r="S240" s="291"/>
      <c r="T240" s="291"/>
      <c r="U240" s="291"/>
      <c r="V240" s="291"/>
      <c r="W240" s="372"/>
      <c r="X240" s="291"/>
      <c r="Y240" s="291"/>
      <c r="Z240" s="291"/>
      <c r="AA240" s="284"/>
      <c r="AB240" s="284"/>
      <c r="AC240" s="377"/>
      <c r="AD240" s="263"/>
      <c r="AE240" s="261"/>
      <c r="AF240" s="365"/>
      <c r="AG240" s="366"/>
      <c r="AH240" s="366"/>
      <c r="AI240" s="366"/>
      <c r="AJ240" s="375"/>
      <c r="AK240" s="366"/>
      <c r="AL240" s="368"/>
      <c r="AM240" s="366"/>
      <c r="AN240" s="366"/>
      <c r="AO240" s="369"/>
      <c r="AP240" s="366"/>
      <c r="AQ240" s="366"/>
      <c r="AR240" s="369"/>
      <c r="AS240" s="369"/>
      <c r="AT240" s="366"/>
      <c r="AU240" s="366"/>
      <c r="AV240" s="369"/>
      <c r="AW240" s="366"/>
      <c r="AX240" s="366"/>
      <c r="AY240" s="366"/>
      <c r="AZ240" s="366"/>
      <c r="BA240" s="366"/>
    </row>
    <row r="241" spans="1:53" ht="56.25" customHeight="1" x14ac:dyDescent="0.25">
      <c r="A241" s="1012" t="s">
        <v>236</v>
      </c>
      <c r="B241" s="277"/>
      <c r="C241" s="277"/>
      <c r="D241" s="287"/>
      <c r="E241" s="278" t="s">
        <v>488</v>
      </c>
      <c r="F241" s="279" t="s">
        <v>837</v>
      </c>
      <c r="G241" s="277" t="s">
        <v>489</v>
      </c>
      <c r="H241" s="278" t="s">
        <v>1170</v>
      </c>
      <c r="I241" s="279" t="s">
        <v>838</v>
      </c>
      <c r="J241" s="280" t="s">
        <v>1171</v>
      </c>
      <c r="K241" s="280" t="s">
        <v>490</v>
      </c>
      <c r="L241" s="281" t="s">
        <v>489</v>
      </c>
      <c r="M241" s="280" t="s">
        <v>1172</v>
      </c>
      <c r="N241" s="354" t="s">
        <v>838</v>
      </c>
      <c r="O241" s="280" t="s">
        <v>1171</v>
      </c>
      <c r="P241" s="280" t="s">
        <v>826</v>
      </c>
      <c r="Q241" s="282" t="s">
        <v>1173</v>
      </c>
      <c r="R241" s="280" t="s">
        <v>1174</v>
      </c>
      <c r="S241" s="280" t="s">
        <v>839</v>
      </c>
      <c r="T241" s="280" t="s">
        <v>1171</v>
      </c>
      <c r="U241" s="280" t="s">
        <v>1392</v>
      </c>
      <c r="V241" s="282" t="s">
        <v>1173</v>
      </c>
      <c r="W241" s="280" t="s">
        <v>841</v>
      </c>
      <c r="X241" s="280" t="s">
        <v>1394</v>
      </c>
      <c r="Y241" s="280" t="s">
        <v>839</v>
      </c>
      <c r="Z241" s="283"/>
      <c r="AA241" s="284"/>
      <c r="AB241" s="284"/>
      <c r="AC241" s="377"/>
      <c r="AD241" s="263"/>
      <c r="AQ241" s="355"/>
      <c r="AR241" s="355"/>
      <c r="AS241" s="355"/>
    </row>
    <row r="242" spans="1:53" s="270" customFormat="1" ht="12" customHeight="1" x14ac:dyDescent="0.25">
      <c r="A242" s="1013"/>
      <c r="B242" s="285" t="s">
        <v>1175</v>
      </c>
      <c r="C242" s="277">
        <f>C249</f>
        <v>159.49040785586701</v>
      </c>
      <c r="D242" s="336">
        <f>C242*$D$5</f>
        <v>32.217062386885139</v>
      </c>
      <c r="E242" s="286" t="s">
        <v>1176</v>
      </c>
      <c r="F242" s="356"/>
      <c r="G242" s="288"/>
      <c r="H242" s="288"/>
      <c r="I242" s="289">
        <f>SUM(I243:I250)</f>
        <v>11.055</v>
      </c>
      <c r="J242" s="290" t="s">
        <v>1176</v>
      </c>
      <c r="K242" s="357"/>
      <c r="L242" s="291"/>
      <c r="M242" s="291"/>
      <c r="N242" s="433">
        <f>SUM(N243:N250)</f>
        <v>0.49200258284390391</v>
      </c>
      <c r="O242" s="291" t="s">
        <v>1176</v>
      </c>
      <c r="P242" s="291"/>
      <c r="Q242" s="372"/>
      <c r="R242" s="294"/>
      <c r="S242" s="433">
        <f>SUM(S243:S250)</f>
        <v>0.62571418133541268</v>
      </c>
      <c r="T242" s="291" t="s">
        <v>1176</v>
      </c>
      <c r="U242" s="307"/>
      <c r="V242" s="308"/>
      <c r="W242" s="306"/>
      <c r="X242" s="292"/>
      <c r="Y242" s="433">
        <f>SUM(Y243:Y250)</f>
        <v>26.093514863058715</v>
      </c>
      <c r="Z242" s="296">
        <f>(C242+D242+I242+N242+Y242)*$Z$5</f>
        <v>298.19543096003775</v>
      </c>
      <c r="AA242" s="297">
        <f>C242+D242+I242+N242+S242+Y242+Z242</f>
        <v>528.16913283002793</v>
      </c>
      <c r="AB242" s="298">
        <v>0.25</v>
      </c>
      <c r="AC242" s="358">
        <f>AA242*(1+AB242)</f>
        <v>660.21141603753495</v>
      </c>
      <c r="AD242" s="265"/>
      <c r="AE242" s="261"/>
      <c r="AF242" s="262"/>
      <c r="AG242" s="263"/>
      <c r="AH242" s="263"/>
      <c r="AI242" s="355"/>
      <c r="AJ242" s="359"/>
      <c r="AK242" s="360"/>
      <c r="AL242" s="264"/>
      <c r="AM242" s="361"/>
      <c r="AN242" s="143"/>
      <c r="AO242" s="362"/>
      <c r="AP242" s="363"/>
      <c r="AQ242" s="363"/>
      <c r="AR242" s="363"/>
      <c r="AS242" s="363"/>
      <c r="AT242" s="363"/>
      <c r="AU242" s="362"/>
      <c r="AV242" s="362"/>
      <c r="AW242" s="364"/>
      <c r="AX242" s="272"/>
      <c r="AY242" s="272"/>
      <c r="AZ242" s="272"/>
      <c r="BA242" s="272"/>
    </row>
    <row r="243" spans="1:53" s="371" customFormat="1" ht="12.75" customHeight="1" x14ac:dyDescent="0.25">
      <c r="A243" s="1013"/>
      <c r="B243" s="299" t="s">
        <v>830</v>
      </c>
      <c r="C243" s="277"/>
      <c r="D243" s="336"/>
      <c r="E243" s="300" t="s">
        <v>2186</v>
      </c>
      <c r="F243" s="301" t="s">
        <v>1441</v>
      </c>
      <c r="G243" s="302">
        <v>5.36</v>
      </c>
      <c r="H243" s="301">
        <v>1</v>
      </c>
      <c r="I243" s="303">
        <f>G243*H243</f>
        <v>5.36</v>
      </c>
      <c r="J243" s="290" t="s">
        <v>1291</v>
      </c>
      <c r="K243" s="304">
        <v>2</v>
      </c>
      <c r="L243" s="305">
        <v>750</v>
      </c>
      <c r="M243" s="304">
        <v>2</v>
      </c>
      <c r="N243" s="433">
        <f>L243/'Исп. коэффициенты'!E52*(C247+C248)</f>
        <v>0.4241401576240551</v>
      </c>
      <c r="O243" s="291" t="s">
        <v>1667</v>
      </c>
      <c r="P243" s="291">
        <v>4500</v>
      </c>
      <c r="Q243" s="291">
        <v>19.670000000000002</v>
      </c>
      <c r="R243" s="291">
        <v>885.15</v>
      </c>
      <c r="S243" s="433">
        <f>R243/'Исп. коэффициенты'!E52*C247</f>
        <v>0.2502851070139549</v>
      </c>
      <c r="T243" s="306" t="s">
        <v>1435</v>
      </c>
      <c r="U243" s="307">
        <v>6785401.3499999996</v>
      </c>
      <c r="V243" s="308">
        <v>1.3599999999999999E-2</v>
      </c>
      <c r="W243" s="306">
        <f>'Исп. коэффициенты'!E124</f>
        <v>2978.5</v>
      </c>
      <c r="X243" s="433">
        <f>U243*V243</f>
        <v>92281.45835999999</v>
      </c>
      <c r="Y243" s="295">
        <f>X243/'Исп. коэффициенты'!E52*C247</f>
        <v>26.093514863058715</v>
      </c>
      <c r="Z243" s="291"/>
      <c r="AA243" s="284"/>
      <c r="AB243" s="284"/>
      <c r="AC243" s="377"/>
      <c r="AD243" s="263"/>
      <c r="AE243" s="261"/>
      <c r="AF243" s="365"/>
      <c r="AG243" s="366"/>
      <c r="AH243" s="366"/>
      <c r="AI243" s="366"/>
      <c r="AJ243" s="367"/>
      <c r="AK243" s="366"/>
      <c r="AL243" s="368"/>
      <c r="AM243" s="366"/>
      <c r="AN243" s="366"/>
      <c r="AO243" s="369"/>
      <c r="AP243" s="366"/>
      <c r="AQ243" s="366"/>
      <c r="AR243" s="369"/>
      <c r="AS243" s="369"/>
      <c r="AT243" s="370"/>
      <c r="AU243" s="366"/>
      <c r="AV243" s="369"/>
      <c r="AW243" s="366"/>
      <c r="AX243" s="366"/>
      <c r="AY243" s="366"/>
      <c r="AZ243" s="366"/>
      <c r="BA243" s="366"/>
    </row>
    <row r="244" spans="1:53" s="371" customFormat="1" x14ac:dyDescent="0.25">
      <c r="A244" s="1013"/>
      <c r="B244" s="309" t="s">
        <v>1178</v>
      </c>
      <c r="C244" s="310">
        <f>C234</f>
        <v>33.667709452234185</v>
      </c>
      <c r="D244" s="336"/>
      <c r="E244" s="300" t="s">
        <v>2187</v>
      </c>
      <c r="F244" s="301" t="s">
        <v>1</v>
      </c>
      <c r="G244" s="302">
        <v>6.3E-2</v>
      </c>
      <c r="H244" s="301">
        <v>5</v>
      </c>
      <c r="I244" s="303">
        <f>G244*H244</f>
        <v>0.315</v>
      </c>
      <c r="J244" s="290" t="s">
        <v>1445</v>
      </c>
      <c r="K244" s="292">
        <v>2</v>
      </c>
      <c r="L244" s="311">
        <v>95</v>
      </c>
      <c r="M244" s="304">
        <v>2</v>
      </c>
      <c r="N244" s="433">
        <f>L244/'Исп. коэффициенты'!E52*(C247+C248)</f>
        <v>5.3724419965713643E-2</v>
      </c>
      <c r="O244" s="291" t="s">
        <v>1668</v>
      </c>
      <c r="P244" s="291">
        <v>6750</v>
      </c>
      <c r="Q244" s="291">
        <v>19.670000000000002</v>
      </c>
      <c r="R244" s="291">
        <v>1327.73</v>
      </c>
      <c r="S244" s="433">
        <f>R244/'Исп. коэффициенты'!E52*C247</f>
        <v>0.37542907432145778</v>
      </c>
      <c r="T244" s="291"/>
      <c r="U244" s="291"/>
      <c r="V244" s="291"/>
      <c r="W244" s="372"/>
      <c r="X244" s="291"/>
      <c r="Y244" s="291"/>
      <c r="Z244" s="291"/>
      <c r="AA244" s="284"/>
      <c r="AB244" s="284"/>
      <c r="AC244" s="377"/>
      <c r="AD244" s="263"/>
      <c r="AE244" s="261"/>
      <c r="AF244" s="365"/>
      <c r="AG244" s="366"/>
      <c r="AH244" s="366"/>
      <c r="AI244" s="366"/>
      <c r="AJ244" s="367"/>
      <c r="AK244" s="366"/>
      <c r="AL244" s="368"/>
      <c r="AM244" s="373"/>
      <c r="AN244" s="366"/>
      <c r="AO244" s="369"/>
      <c r="AP244" s="366"/>
      <c r="AQ244" s="366"/>
      <c r="AR244" s="369"/>
      <c r="AS244" s="369"/>
      <c r="AT244" s="366"/>
      <c r="AU244" s="366"/>
      <c r="AV244" s="369"/>
      <c r="AW244" s="366"/>
      <c r="AX244" s="366"/>
      <c r="AY244" s="366"/>
      <c r="AZ244" s="366"/>
      <c r="BA244" s="366"/>
    </row>
    <row r="245" spans="1:53" s="371" customFormat="1" ht="12.75" customHeight="1" x14ac:dyDescent="0.25">
      <c r="A245" s="1013"/>
      <c r="B245" s="286" t="s">
        <v>1179</v>
      </c>
      <c r="C245" s="277">
        <f>C235</f>
        <v>19.495759833054819</v>
      </c>
      <c r="D245" s="336"/>
      <c r="E245" s="300" t="s">
        <v>2112</v>
      </c>
      <c r="F245" s="301" t="s">
        <v>1</v>
      </c>
      <c r="G245" s="302">
        <v>0.47</v>
      </c>
      <c r="H245" s="302">
        <v>10</v>
      </c>
      <c r="I245" s="303">
        <f>G245*H245</f>
        <v>4.6999999999999993</v>
      </c>
      <c r="J245" s="290" t="s">
        <v>1513</v>
      </c>
      <c r="K245" s="292">
        <v>2</v>
      </c>
      <c r="L245" s="292">
        <v>25</v>
      </c>
      <c r="M245" s="304">
        <v>0.5</v>
      </c>
      <c r="N245" s="433">
        <f>L245/'Исп. коэффициенты'!E52*(C247+C248)</f>
        <v>1.413800525413517E-2</v>
      </c>
      <c r="O245" s="291"/>
      <c r="P245" s="291"/>
      <c r="Q245" s="372"/>
      <c r="R245" s="291"/>
      <c r="S245" s="291"/>
      <c r="T245" s="291"/>
      <c r="U245" s="291"/>
      <c r="V245" s="291"/>
      <c r="W245" s="372"/>
      <c r="X245" s="291"/>
      <c r="Y245" s="291"/>
      <c r="Z245" s="291"/>
      <c r="AA245" s="284"/>
      <c r="AB245" s="284"/>
      <c r="AC245" s="377"/>
      <c r="AD245" s="263"/>
      <c r="AE245" s="261"/>
      <c r="AF245" s="365"/>
      <c r="AG245" s="366"/>
      <c r="AH245" s="366"/>
      <c r="AI245" s="366"/>
      <c r="AJ245" s="367"/>
      <c r="AK245" s="366"/>
      <c r="AL245" s="368"/>
      <c r="AM245" s="366"/>
      <c r="AN245" s="366"/>
      <c r="AO245" s="369"/>
      <c r="AP245" s="366"/>
      <c r="AQ245" s="366"/>
      <c r="AR245" s="369"/>
      <c r="AS245" s="369"/>
      <c r="AT245" s="366"/>
      <c r="AU245" s="366"/>
      <c r="AV245" s="369"/>
      <c r="AW245" s="366"/>
      <c r="AX245" s="366"/>
      <c r="AY245" s="366"/>
      <c r="AZ245" s="366"/>
      <c r="BA245" s="366"/>
    </row>
    <row r="246" spans="1:53" s="371" customFormat="1" ht="12.75" customHeight="1" x14ac:dyDescent="0.25">
      <c r="A246" s="1013"/>
      <c r="B246" s="286" t="s">
        <v>831</v>
      </c>
      <c r="C246" s="313"/>
      <c r="D246" s="336"/>
      <c r="E246" s="300" t="s">
        <v>9</v>
      </c>
      <c r="F246" s="376" t="s">
        <v>1441</v>
      </c>
      <c r="G246" s="302">
        <v>0.68</v>
      </c>
      <c r="H246" s="301">
        <v>1</v>
      </c>
      <c r="I246" s="303">
        <f t="shared" ref="I246" si="23">G246*H246</f>
        <v>0.68</v>
      </c>
      <c r="J246" s="290"/>
      <c r="K246" s="374"/>
      <c r="L246" s="292"/>
      <c r="M246" s="292"/>
      <c r="N246" s="292"/>
      <c r="O246" s="291"/>
      <c r="P246" s="291"/>
      <c r="Q246" s="372"/>
      <c r="R246" s="291"/>
      <c r="S246" s="291"/>
      <c r="T246" s="291"/>
      <c r="U246" s="291"/>
      <c r="V246" s="291"/>
      <c r="W246" s="372"/>
      <c r="X246" s="291"/>
      <c r="Y246" s="291"/>
      <c r="Z246" s="291"/>
      <c r="AA246" s="284"/>
      <c r="AB246" s="284"/>
      <c r="AC246" s="377"/>
      <c r="AD246" s="263"/>
      <c r="AE246" s="261"/>
      <c r="AF246" s="365"/>
      <c r="AG246" s="366"/>
      <c r="AH246" s="366"/>
      <c r="AI246" s="366"/>
      <c r="AJ246" s="367"/>
      <c r="AK246" s="366"/>
      <c r="AL246" s="368"/>
      <c r="AM246" s="366"/>
      <c r="AN246" s="366"/>
      <c r="AO246" s="369"/>
      <c r="AP246" s="366"/>
      <c r="AQ246" s="366"/>
      <c r="AR246" s="369"/>
      <c r="AS246" s="369"/>
      <c r="AT246" s="366"/>
      <c r="AU246" s="366"/>
      <c r="AV246" s="369"/>
      <c r="AW246" s="366"/>
      <c r="AX246" s="366"/>
      <c r="AY246" s="366"/>
      <c r="AZ246" s="366"/>
      <c r="BA246" s="366"/>
    </row>
    <row r="247" spans="1:53" s="371" customFormat="1" ht="12.75" customHeight="1" x14ac:dyDescent="0.25">
      <c r="A247" s="1013"/>
      <c r="B247" s="309" t="s">
        <v>1178</v>
      </c>
      <c r="C247" s="314">
        <v>3</v>
      </c>
      <c r="D247" s="336"/>
      <c r="E247" s="300"/>
      <c r="F247" s="301"/>
      <c r="G247" s="302"/>
      <c r="H247" s="301"/>
      <c r="I247" s="303"/>
      <c r="J247" s="290"/>
      <c r="K247" s="374"/>
      <c r="L247" s="292"/>
      <c r="M247" s="292"/>
      <c r="N247" s="292"/>
      <c r="O247" s="291"/>
      <c r="P247" s="291"/>
      <c r="Q247" s="372"/>
      <c r="R247" s="291"/>
      <c r="S247" s="291"/>
      <c r="T247" s="291"/>
      <c r="U247" s="291"/>
      <c r="V247" s="291"/>
      <c r="W247" s="372"/>
      <c r="X247" s="291"/>
      <c r="Y247" s="291"/>
      <c r="Z247" s="291"/>
      <c r="AA247" s="284"/>
      <c r="AB247" s="284"/>
      <c r="AC247" s="377"/>
      <c r="AD247" s="263"/>
      <c r="AE247" s="261"/>
      <c r="AF247" s="365"/>
      <c r="AG247" s="366"/>
      <c r="AH247" s="366"/>
      <c r="AI247" s="366"/>
      <c r="AJ247" s="375"/>
      <c r="AK247" s="366"/>
      <c r="AL247" s="368"/>
      <c r="AM247" s="366"/>
      <c r="AN247" s="366"/>
      <c r="AO247" s="369"/>
      <c r="AP247" s="366"/>
      <c r="AQ247" s="366"/>
      <c r="AR247" s="369"/>
      <c r="AS247" s="369"/>
      <c r="AT247" s="366"/>
      <c r="AU247" s="366"/>
      <c r="AV247" s="369"/>
      <c r="AW247" s="366"/>
      <c r="AX247" s="366"/>
      <c r="AY247" s="366"/>
      <c r="AZ247" s="366"/>
      <c r="BA247" s="366"/>
    </row>
    <row r="248" spans="1:53" s="371" customFormat="1" ht="12.75" customHeight="1" x14ac:dyDescent="0.25">
      <c r="A248" s="1013"/>
      <c r="B248" s="286" t="s">
        <v>1179</v>
      </c>
      <c r="C248" s="314">
        <v>3</v>
      </c>
      <c r="D248" s="336"/>
      <c r="E248" s="300"/>
      <c r="F248" s="376"/>
      <c r="G248" s="302"/>
      <c r="H248" s="301"/>
      <c r="I248" s="303"/>
      <c r="J248" s="290"/>
      <c r="K248" s="374"/>
      <c r="L248" s="292"/>
      <c r="M248" s="292"/>
      <c r="N248" s="292"/>
      <c r="O248" s="291"/>
      <c r="P248" s="291"/>
      <c r="Q248" s="372"/>
      <c r="R248" s="291"/>
      <c r="S248" s="291"/>
      <c r="T248" s="291"/>
      <c r="U248" s="291"/>
      <c r="V248" s="291"/>
      <c r="W248" s="372"/>
      <c r="X248" s="291"/>
      <c r="Y248" s="291"/>
      <c r="Z248" s="291"/>
      <c r="AA248" s="284"/>
      <c r="AB248" s="284"/>
      <c r="AC248" s="377"/>
      <c r="AD248" s="263"/>
      <c r="AE248" s="261"/>
      <c r="AF248" s="365"/>
      <c r="AG248" s="366"/>
      <c r="AH248" s="366"/>
      <c r="AI248" s="366"/>
      <c r="AJ248" s="375"/>
      <c r="AK248" s="366"/>
      <c r="AL248" s="368"/>
      <c r="AM248" s="366"/>
      <c r="AN248" s="366"/>
      <c r="AO248" s="369"/>
      <c r="AP248" s="366"/>
      <c r="AQ248" s="366"/>
      <c r="AR248" s="369"/>
      <c r="AS248" s="369"/>
      <c r="AT248" s="366"/>
      <c r="AU248" s="366"/>
      <c r="AV248" s="369"/>
      <c r="AW248" s="366"/>
      <c r="AX248" s="366"/>
      <c r="AY248" s="366"/>
      <c r="AZ248" s="366"/>
      <c r="BA248" s="366"/>
    </row>
    <row r="249" spans="1:53" s="371" customFormat="1" ht="12.75" customHeight="1" x14ac:dyDescent="0.25">
      <c r="A249" s="1013"/>
      <c r="B249" s="315" t="s">
        <v>1181</v>
      </c>
      <c r="C249" s="277">
        <f>C244*C247+C245*C248</f>
        <v>159.49040785586701</v>
      </c>
      <c r="D249" s="336"/>
      <c r="E249" s="300"/>
      <c r="F249" s="376"/>
      <c r="G249" s="302"/>
      <c r="H249" s="301"/>
      <c r="I249" s="303"/>
      <c r="J249" s="290"/>
      <c r="K249" s="374"/>
      <c r="L249" s="292"/>
      <c r="M249" s="292"/>
      <c r="N249" s="292"/>
      <c r="O249" s="291"/>
      <c r="P249" s="291"/>
      <c r="Q249" s="372"/>
      <c r="R249" s="291"/>
      <c r="S249" s="291"/>
      <c r="T249" s="291"/>
      <c r="U249" s="291"/>
      <c r="V249" s="291"/>
      <c r="W249" s="372"/>
      <c r="X249" s="291"/>
      <c r="Y249" s="291"/>
      <c r="Z249" s="291"/>
      <c r="AA249" s="284"/>
      <c r="AB249" s="284"/>
      <c r="AC249" s="377"/>
      <c r="AD249" s="263"/>
      <c r="AE249" s="261"/>
      <c r="AF249" s="365"/>
      <c r="AG249" s="366"/>
      <c r="AH249" s="366"/>
      <c r="AI249" s="366"/>
      <c r="AJ249" s="367"/>
      <c r="AK249" s="366"/>
      <c r="AL249" s="368"/>
      <c r="AM249" s="366"/>
      <c r="AN249" s="366"/>
      <c r="AO249" s="369"/>
      <c r="AP249" s="366"/>
      <c r="AQ249" s="366"/>
      <c r="AR249" s="369"/>
      <c r="AS249" s="369"/>
      <c r="AT249" s="366"/>
      <c r="AU249" s="366"/>
      <c r="AV249" s="369"/>
      <c r="AW249" s="366"/>
      <c r="AX249" s="366"/>
      <c r="AY249" s="366"/>
      <c r="AZ249" s="366"/>
      <c r="BA249" s="366"/>
    </row>
    <row r="250" spans="1:53" s="371" customFormat="1" ht="12.75" customHeight="1" x14ac:dyDescent="0.25">
      <c r="A250" s="1014"/>
      <c r="B250" s="315"/>
      <c r="C250" s="314"/>
      <c r="D250" s="337"/>
      <c r="E250" s="300"/>
      <c r="F250" s="376"/>
      <c r="G250" s="302"/>
      <c r="H250" s="301"/>
      <c r="I250" s="303"/>
      <c r="J250" s="290"/>
      <c r="K250" s="374"/>
      <c r="L250" s="292"/>
      <c r="M250" s="292"/>
      <c r="N250" s="292"/>
      <c r="O250" s="291"/>
      <c r="P250" s="291"/>
      <c r="Q250" s="372"/>
      <c r="R250" s="291"/>
      <c r="S250" s="291"/>
      <c r="T250" s="291"/>
      <c r="U250" s="291"/>
      <c r="V250" s="291"/>
      <c r="W250" s="372"/>
      <c r="X250" s="291"/>
      <c r="Y250" s="291"/>
      <c r="Z250" s="291"/>
      <c r="AA250" s="284"/>
      <c r="AB250" s="284"/>
      <c r="AC250" s="377"/>
      <c r="AD250" s="263"/>
      <c r="AE250" s="261"/>
      <c r="AF250" s="365"/>
      <c r="AG250" s="366"/>
      <c r="AH250" s="366"/>
      <c r="AI250" s="366"/>
      <c r="AJ250" s="375"/>
      <c r="AK250" s="366"/>
      <c r="AL250" s="368"/>
      <c r="AM250" s="366"/>
      <c r="AN250" s="366"/>
      <c r="AO250" s="369"/>
      <c r="AP250" s="366"/>
      <c r="AQ250" s="366"/>
      <c r="AR250" s="369"/>
      <c r="AS250" s="369"/>
      <c r="AT250" s="366"/>
      <c r="AU250" s="366"/>
      <c r="AV250" s="369"/>
      <c r="AW250" s="366"/>
      <c r="AX250" s="366"/>
      <c r="AY250" s="366"/>
      <c r="AZ250" s="366"/>
      <c r="BA250" s="366"/>
    </row>
    <row r="251" spans="1:53" ht="56.25" customHeight="1" x14ac:dyDescent="0.25">
      <c r="A251" s="1012" t="s">
        <v>227</v>
      </c>
      <c r="B251" s="277"/>
      <c r="C251" s="277"/>
      <c r="D251" s="287"/>
      <c r="E251" s="278" t="s">
        <v>488</v>
      </c>
      <c r="F251" s="279" t="s">
        <v>837</v>
      </c>
      <c r="G251" s="277" t="s">
        <v>489</v>
      </c>
      <c r="H251" s="278" t="s">
        <v>1170</v>
      </c>
      <c r="I251" s="279" t="s">
        <v>838</v>
      </c>
      <c r="J251" s="280" t="s">
        <v>1171</v>
      </c>
      <c r="K251" s="280" t="s">
        <v>490</v>
      </c>
      <c r="L251" s="281" t="s">
        <v>489</v>
      </c>
      <c r="M251" s="280" t="s">
        <v>1172</v>
      </c>
      <c r="N251" s="354" t="s">
        <v>838</v>
      </c>
      <c r="O251" s="280" t="s">
        <v>1171</v>
      </c>
      <c r="P251" s="280" t="s">
        <v>826</v>
      </c>
      <c r="Q251" s="282" t="s">
        <v>1173</v>
      </c>
      <c r="R251" s="280" t="s">
        <v>1174</v>
      </c>
      <c r="S251" s="280" t="s">
        <v>839</v>
      </c>
      <c r="T251" s="280" t="s">
        <v>1171</v>
      </c>
      <c r="U251" s="280" t="s">
        <v>1392</v>
      </c>
      <c r="V251" s="282" t="s">
        <v>1173</v>
      </c>
      <c r="W251" s="280" t="s">
        <v>841</v>
      </c>
      <c r="X251" s="280" t="s">
        <v>1394</v>
      </c>
      <c r="Y251" s="280" t="s">
        <v>839</v>
      </c>
      <c r="Z251" s="283"/>
      <c r="AA251" s="284"/>
      <c r="AB251" s="284"/>
      <c r="AC251" s="377"/>
      <c r="AD251" s="263"/>
      <c r="AQ251" s="355"/>
      <c r="AR251" s="355"/>
      <c r="AS251" s="355"/>
    </row>
    <row r="252" spans="1:53" s="270" customFormat="1" ht="12" customHeight="1" x14ac:dyDescent="0.25">
      <c r="A252" s="1013"/>
      <c r="B252" s="285" t="s">
        <v>1175</v>
      </c>
      <c r="C252" s="277">
        <f>C259</f>
        <v>159.49040785586701</v>
      </c>
      <c r="D252" s="336">
        <f>C252*$D$5</f>
        <v>32.217062386885139</v>
      </c>
      <c r="E252" s="286" t="s">
        <v>1176</v>
      </c>
      <c r="F252" s="356"/>
      <c r="G252" s="288"/>
      <c r="H252" s="288"/>
      <c r="I252" s="289">
        <f>SUM(I253:I260)</f>
        <v>11.055</v>
      </c>
      <c r="J252" s="290" t="s">
        <v>1176</v>
      </c>
      <c r="K252" s="357"/>
      <c r="L252" s="291"/>
      <c r="M252" s="291"/>
      <c r="N252" s="433">
        <f>SUM(N253:N260)</f>
        <v>0.49200258284390391</v>
      </c>
      <c r="O252" s="291" t="s">
        <v>1176</v>
      </c>
      <c r="P252" s="291"/>
      <c r="Q252" s="372"/>
      <c r="R252" s="294"/>
      <c r="S252" s="433">
        <f>SUM(S253:S260)</f>
        <v>0.62571418133541268</v>
      </c>
      <c r="T252" s="291" t="s">
        <v>1176</v>
      </c>
      <c r="U252" s="307"/>
      <c r="V252" s="308"/>
      <c r="W252" s="306"/>
      <c r="X252" s="292"/>
      <c r="Y252" s="433">
        <f>SUM(Y253:Y260)</f>
        <v>26.093514863058715</v>
      </c>
      <c r="Z252" s="296">
        <f>(C252+D252+I252+N252+Y252)*$Z$5</f>
        <v>298.19543096003775</v>
      </c>
      <c r="AA252" s="297">
        <f>C252+D252+I252+N252+S252+Y252+Z252</f>
        <v>528.16913283002793</v>
      </c>
      <c r="AB252" s="298">
        <v>0.25</v>
      </c>
      <c r="AC252" s="358">
        <f>AA252*(1+AB252)</f>
        <v>660.21141603753495</v>
      </c>
      <c r="AD252" s="265"/>
      <c r="AE252" s="261"/>
      <c r="AF252" s="262"/>
      <c r="AG252" s="263"/>
      <c r="AH252" s="263"/>
      <c r="AI252" s="355"/>
      <c r="AJ252" s="359"/>
      <c r="AK252" s="360"/>
      <c r="AL252" s="264"/>
      <c r="AM252" s="361"/>
      <c r="AN252" s="143"/>
      <c r="AO252" s="362"/>
      <c r="AP252" s="363"/>
      <c r="AQ252" s="363"/>
      <c r="AR252" s="363"/>
      <c r="AS252" s="363"/>
      <c r="AT252" s="363"/>
      <c r="AU252" s="362"/>
      <c r="AV252" s="362"/>
      <c r="AW252" s="364"/>
      <c r="AX252" s="272"/>
      <c r="AY252" s="272"/>
      <c r="AZ252" s="272"/>
      <c r="BA252" s="272"/>
    </row>
    <row r="253" spans="1:53" s="371" customFormat="1" ht="12.75" customHeight="1" x14ac:dyDescent="0.25">
      <c r="A253" s="1013"/>
      <c r="B253" s="299" t="s">
        <v>830</v>
      </c>
      <c r="C253" s="277"/>
      <c r="D253" s="336"/>
      <c r="E253" s="300" t="s">
        <v>2186</v>
      </c>
      <c r="F253" s="301" t="s">
        <v>1441</v>
      </c>
      <c r="G253" s="302">
        <v>5.36</v>
      </c>
      <c r="H253" s="301">
        <v>1</v>
      </c>
      <c r="I253" s="303">
        <f>G253*H253</f>
        <v>5.36</v>
      </c>
      <c r="J253" s="290" t="s">
        <v>1291</v>
      </c>
      <c r="K253" s="304">
        <v>2</v>
      </c>
      <c r="L253" s="305">
        <v>750</v>
      </c>
      <c r="M253" s="304">
        <v>2</v>
      </c>
      <c r="N253" s="433">
        <f>L253/'Исп. коэффициенты'!E52*(C257+C258)</f>
        <v>0.4241401576240551</v>
      </c>
      <c r="O253" s="291" t="s">
        <v>1667</v>
      </c>
      <c r="P253" s="291">
        <v>4500</v>
      </c>
      <c r="Q253" s="291">
        <v>19.670000000000002</v>
      </c>
      <c r="R253" s="291">
        <v>885.15</v>
      </c>
      <c r="S253" s="433">
        <f>R253/'Исп. коэффициенты'!E52*C257</f>
        <v>0.2502851070139549</v>
      </c>
      <c r="T253" s="306" t="s">
        <v>1435</v>
      </c>
      <c r="U253" s="307">
        <v>6785401.3499999996</v>
      </c>
      <c r="V253" s="308">
        <v>1.3599999999999999E-2</v>
      </c>
      <c r="W253" s="306">
        <f>'Исп. коэффициенты'!E124</f>
        <v>2978.5</v>
      </c>
      <c r="X253" s="433">
        <f>U253*V253</f>
        <v>92281.45835999999</v>
      </c>
      <c r="Y253" s="295">
        <f>X253/'Исп. коэффициенты'!E52*C257</f>
        <v>26.093514863058715</v>
      </c>
      <c r="Z253" s="291"/>
      <c r="AA253" s="284"/>
      <c r="AB253" s="284"/>
      <c r="AC253" s="377"/>
      <c r="AD253" s="263"/>
      <c r="AE253" s="261"/>
      <c r="AF253" s="365"/>
      <c r="AG253" s="366"/>
      <c r="AH253" s="366"/>
      <c r="AI253" s="366"/>
      <c r="AJ253" s="367"/>
      <c r="AK253" s="366"/>
      <c r="AL253" s="368"/>
      <c r="AM253" s="366"/>
      <c r="AN253" s="366"/>
      <c r="AO253" s="369"/>
      <c r="AP253" s="366"/>
      <c r="AQ253" s="366"/>
      <c r="AR253" s="369"/>
      <c r="AS253" s="369"/>
      <c r="AT253" s="370"/>
      <c r="AU253" s="366"/>
      <c r="AV253" s="369"/>
      <c r="AW253" s="366"/>
      <c r="AX253" s="366"/>
      <c r="AY253" s="366"/>
      <c r="AZ253" s="366"/>
      <c r="BA253" s="366"/>
    </row>
    <row r="254" spans="1:53" s="371" customFormat="1" x14ac:dyDescent="0.25">
      <c r="A254" s="1013"/>
      <c r="B254" s="309" t="s">
        <v>1178</v>
      </c>
      <c r="C254" s="310">
        <f>C244</f>
        <v>33.667709452234185</v>
      </c>
      <c r="D254" s="336"/>
      <c r="E254" s="300" t="s">
        <v>2187</v>
      </c>
      <c r="F254" s="301" t="s">
        <v>1</v>
      </c>
      <c r="G254" s="302">
        <v>6.3E-2</v>
      </c>
      <c r="H254" s="301">
        <v>5</v>
      </c>
      <c r="I254" s="303">
        <f>G254*H254</f>
        <v>0.315</v>
      </c>
      <c r="J254" s="290" t="s">
        <v>1445</v>
      </c>
      <c r="K254" s="292">
        <v>2</v>
      </c>
      <c r="L254" s="311">
        <v>95</v>
      </c>
      <c r="M254" s="304">
        <v>2</v>
      </c>
      <c r="N254" s="433">
        <f>L254/'Исп. коэффициенты'!E52*(C257+C258)</f>
        <v>5.3724419965713643E-2</v>
      </c>
      <c r="O254" s="291" t="s">
        <v>1668</v>
      </c>
      <c r="P254" s="291">
        <v>6750</v>
      </c>
      <c r="Q254" s="291">
        <v>19.670000000000002</v>
      </c>
      <c r="R254" s="291">
        <v>1327.73</v>
      </c>
      <c r="S254" s="433">
        <f>R254/'Исп. коэффициенты'!E52*C257</f>
        <v>0.37542907432145778</v>
      </c>
      <c r="T254" s="291"/>
      <c r="U254" s="291"/>
      <c r="V254" s="291"/>
      <c r="W254" s="372"/>
      <c r="X254" s="291"/>
      <c r="Y254" s="291"/>
      <c r="Z254" s="291"/>
      <c r="AA254" s="284"/>
      <c r="AB254" s="284"/>
      <c r="AC254" s="377"/>
      <c r="AD254" s="263"/>
      <c r="AE254" s="261"/>
      <c r="AF254" s="365"/>
      <c r="AG254" s="366"/>
      <c r="AH254" s="366"/>
      <c r="AI254" s="366"/>
      <c r="AJ254" s="367"/>
      <c r="AK254" s="366"/>
      <c r="AL254" s="368"/>
      <c r="AM254" s="373"/>
      <c r="AN254" s="366"/>
      <c r="AO254" s="369"/>
      <c r="AP254" s="366"/>
      <c r="AQ254" s="366"/>
      <c r="AR254" s="369"/>
      <c r="AS254" s="369"/>
      <c r="AT254" s="366"/>
      <c r="AU254" s="366"/>
      <c r="AV254" s="369"/>
      <c r="AW254" s="366"/>
      <c r="AX254" s="366"/>
      <c r="AY254" s="366"/>
      <c r="AZ254" s="366"/>
      <c r="BA254" s="366"/>
    </row>
    <row r="255" spans="1:53" s="371" customFormat="1" ht="12.75" customHeight="1" x14ac:dyDescent="0.25">
      <c r="A255" s="1013"/>
      <c r="B255" s="286" t="s">
        <v>1179</v>
      </c>
      <c r="C255" s="277">
        <f>C245</f>
        <v>19.495759833054819</v>
      </c>
      <c r="D255" s="336"/>
      <c r="E255" s="300" t="s">
        <v>2112</v>
      </c>
      <c r="F255" s="301" t="s">
        <v>1</v>
      </c>
      <c r="G255" s="302">
        <v>0.47</v>
      </c>
      <c r="H255" s="302">
        <v>10</v>
      </c>
      <c r="I255" s="303">
        <f>G255*H255</f>
        <v>4.6999999999999993</v>
      </c>
      <c r="J255" s="290" t="s">
        <v>1513</v>
      </c>
      <c r="K255" s="292">
        <v>2</v>
      </c>
      <c r="L255" s="292">
        <v>25</v>
      </c>
      <c r="M255" s="304">
        <v>0.5</v>
      </c>
      <c r="N255" s="433">
        <f>L255/'Исп. коэффициенты'!E52*(C257+C258)</f>
        <v>1.413800525413517E-2</v>
      </c>
      <c r="O255" s="291"/>
      <c r="P255" s="291"/>
      <c r="Q255" s="372"/>
      <c r="R255" s="291"/>
      <c r="S255" s="291"/>
      <c r="T255" s="291"/>
      <c r="U255" s="291"/>
      <c r="V255" s="291"/>
      <c r="W255" s="372"/>
      <c r="X255" s="291"/>
      <c r="Y255" s="291"/>
      <c r="Z255" s="291"/>
      <c r="AA255" s="284"/>
      <c r="AB255" s="284"/>
      <c r="AC255" s="377"/>
      <c r="AD255" s="263"/>
      <c r="AE255" s="261"/>
      <c r="AF255" s="365"/>
      <c r="AG255" s="366"/>
      <c r="AH255" s="366"/>
      <c r="AI255" s="366"/>
      <c r="AJ255" s="367"/>
      <c r="AK255" s="366"/>
      <c r="AL255" s="368"/>
      <c r="AM255" s="366"/>
      <c r="AN255" s="366"/>
      <c r="AO255" s="369"/>
      <c r="AP255" s="366"/>
      <c r="AQ255" s="366"/>
      <c r="AR255" s="369"/>
      <c r="AS255" s="369"/>
      <c r="AT255" s="366"/>
      <c r="AU255" s="366"/>
      <c r="AV255" s="369"/>
      <c r="AW255" s="366"/>
      <c r="AX255" s="366"/>
      <c r="AY255" s="366"/>
      <c r="AZ255" s="366"/>
      <c r="BA255" s="366"/>
    </row>
    <row r="256" spans="1:53" s="371" customFormat="1" ht="12.75" customHeight="1" x14ac:dyDescent="0.25">
      <c r="A256" s="1013"/>
      <c r="B256" s="286" t="s">
        <v>831</v>
      </c>
      <c r="C256" s="313"/>
      <c r="D256" s="336"/>
      <c r="E256" s="300" t="s">
        <v>9</v>
      </c>
      <c r="F256" s="376" t="s">
        <v>1441</v>
      </c>
      <c r="G256" s="302">
        <v>0.68</v>
      </c>
      <c r="H256" s="301">
        <v>1</v>
      </c>
      <c r="I256" s="303">
        <f t="shared" ref="I256" si="24">G256*H256</f>
        <v>0.68</v>
      </c>
      <c r="J256" s="290"/>
      <c r="K256" s="374"/>
      <c r="L256" s="292"/>
      <c r="M256" s="292"/>
      <c r="N256" s="292"/>
      <c r="O256" s="291"/>
      <c r="P256" s="291"/>
      <c r="Q256" s="372"/>
      <c r="R256" s="291"/>
      <c r="S256" s="291"/>
      <c r="T256" s="291"/>
      <c r="U256" s="291"/>
      <c r="V256" s="291"/>
      <c r="W256" s="372"/>
      <c r="X256" s="291"/>
      <c r="Y256" s="291"/>
      <c r="Z256" s="291"/>
      <c r="AA256" s="284"/>
      <c r="AB256" s="284"/>
      <c r="AC256" s="377"/>
      <c r="AD256" s="263"/>
      <c r="AE256" s="261"/>
      <c r="AF256" s="365"/>
      <c r="AG256" s="366"/>
      <c r="AH256" s="366"/>
      <c r="AI256" s="366"/>
      <c r="AJ256" s="367"/>
      <c r="AK256" s="366"/>
      <c r="AL256" s="368"/>
      <c r="AM256" s="366"/>
      <c r="AN256" s="366"/>
      <c r="AO256" s="369"/>
      <c r="AP256" s="366"/>
      <c r="AQ256" s="366"/>
      <c r="AR256" s="369"/>
      <c r="AS256" s="369"/>
      <c r="AT256" s="366"/>
      <c r="AU256" s="366"/>
      <c r="AV256" s="369"/>
      <c r="AW256" s="366"/>
      <c r="AX256" s="366"/>
      <c r="AY256" s="366"/>
      <c r="AZ256" s="366"/>
      <c r="BA256" s="366"/>
    </row>
    <row r="257" spans="1:53" s="371" customFormat="1" ht="12.75" customHeight="1" x14ac:dyDescent="0.25">
      <c r="A257" s="1013"/>
      <c r="B257" s="309" t="s">
        <v>1178</v>
      </c>
      <c r="C257" s="314">
        <v>3</v>
      </c>
      <c r="D257" s="336"/>
      <c r="E257" s="300"/>
      <c r="F257" s="301"/>
      <c r="G257" s="302"/>
      <c r="H257" s="301"/>
      <c r="I257" s="303"/>
      <c r="J257" s="290"/>
      <c r="K257" s="374"/>
      <c r="L257" s="292"/>
      <c r="M257" s="292"/>
      <c r="N257" s="292"/>
      <c r="O257" s="291"/>
      <c r="P257" s="291"/>
      <c r="Q257" s="372"/>
      <c r="R257" s="291"/>
      <c r="S257" s="291"/>
      <c r="T257" s="291"/>
      <c r="U257" s="291"/>
      <c r="V257" s="291"/>
      <c r="W257" s="372"/>
      <c r="X257" s="291"/>
      <c r="Y257" s="291"/>
      <c r="Z257" s="291"/>
      <c r="AA257" s="284"/>
      <c r="AB257" s="284"/>
      <c r="AC257" s="377"/>
      <c r="AD257" s="263"/>
      <c r="AE257" s="261"/>
      <c r="AF257" s="365"/>
      <c r="AG257" s="366"/>
      <c r="AH257" s="366"/>
      <c r="AI257" s="366"/>
      <c r="AJ257" s="375"/>
      <c r="AK257" s="366"/>
      <c r="AL257" s="368"/>
      <c r="AM257" s="366"/>
      <c r="AN257" s="366"/>
      <c r="AO257" s="369"/>
      <c r="AP257" s="366"/>
      <c r="AQ257" s="366"/>
      <c r="AR257" s="369"/>
      <c r="AS257" s="369"/>
      <c r="AT257" s="366"/>
      <c r="AU257" s="366"/>
      <c r="AV257" s="369"/>
      <c r="AW257" s="366"/>
      <c r="AX257" s="366"/>
      <c r="AY257" s="366"/>
      <c r="AZ257" s="366"/>
      <c r="BA257" s="366"/>
    </row>
    <row r="258" spans="1:53" s="371" customFormat="1" ht="12.75" customHeight="1" x14ac:dyDescent="0.25">
      <c r="A258" s="1013"/>
      <c r="B258" s="286" t="s">
        <v>1179</v>
      </c>
      <c r="C258" s="314">
        <v>3</v>
      </c>
      <c r="D258" s="336"/>
      <c r="E258" s="300"/>
      <c r="F258" s="376"/>
      <c r="G258" s="302"/>
      <c r="H258" s="301"/>
      <c r="I258" s="303"/>
      <c r="J258" s="290"/>
      <c r="K258" s="374"/>
      <c r="L258" s="292"/>
      <c r="M258" s="292"/>
      <c r="N258" s="292"/>
      <c r="O258" s="291"/>
      <c r="P258" s="291"/>
      <c r="Q258" s="372"/>
      <c r="R258" s="291"/>
      <c r="S258" s="291"/>
      <c r="T258" s="291"/>
      <c r="U258" s="291"/>
      <c r="V258" s="291"/>
      <c r="W258" s="372"/>
      <c r="X258" s="291"/>
      <c r="Y258" s="291"/>
      <c r="Z258" s="291"/>
      <c r="AA258" s="284"/>
      <c r="AB258" s="284"/>
      <c r="AC258" s="377"/>
      <c r="AD258" s="263"/>
      <c r="AE258" s="261"/>
      <c r="AF258" s="365"/>
      <c r="AG258" s="366"/>
      <c r="AH258" s="366"/>
      <c r="AI258" s="366"/>
      <c r="AJ258" s="375"/>
      <c r="AK258" s="366"/>
      <c r="AL258" s="368"/>
      <c r="AM258" s="366"/>
      <c r="AN258" s="366"/>
      <c r="AO258" s="369"/>
      <c r="AP258" s="366"/>
      <c r="AQ258" s="366"/>
      <c r="AR258" s="369"/>
      <c r="AS258" s="369"/>
      <c r="AT258" s="366"/>
      <c r="AU258" s="366"/>
      <c r="AV258" s="369"/>
      <c r="AW258" s="366"/>
      <c r="AX258" s="366"/>
      <c r="AY258" s="366"/>
      <c r="AZ258" s="366"/>
      <c r="BA258" s="366"/>
    </row>
    <row r="259" spans="1:53" s="371" customFormat="1" ht="12.75" customHeight="1" x14ac:dyDescent="0.25">
      <c r="A259" s="1013"/>
      <c r="B259" s="315" t="s">
        <v>1181</v>
      </c>
      <c r="C259" s="277">
        <f>C254*C257+C255*C258</f>
        <v>159.49040785586701</v>
      </c>
      <c r="D259" s="336"/>
      <c r="E259" s="300"/>
      <c r="F259" s="376"/>
      <c r="G259" s="302"/>
      <c r="H259" s="301"/>
      <c r="I259" s="303"/>
      <c r="J259" s="290"/>
      <c r="K259" s="374"/>
      <c r="L259" s="292"/>
      <c r="M259" s="292"/>
      <c r="N259" s="292"/>
      <c r="O259" s="291"/>
      <c r="P259" s="291"/>
      <c r="Q259" s="372"/>
      <c r="R259" s="291"/>
      <c r="S259" s="291"/>
      <c r="T259" s="291"/>
      <c r="U259" s="291"/>
      <c r="V259" s="291"/>
      <c r="W259" s="372"/>
      <c r="X259" s="291"/>
      <c r="Y259" s="291"/>
      <c r="Z259" s="291"/>
      <c r="AA259" s="284"/>
      <c r="AB259" s="284"/>
      <c r="AC259" s="377"/>
      <c r="AD259" s="263"/>
      <c r="AE259" s="261"/>
      <c r="AF259" s="365"/>
      <c r="AG259" s="366"/>
      <c r="AH259" s="366"/>
      <c r="AI259" s="366"/>
      <c r="AJ259" s="367"/>
      <c r="AK259" s="366"/>
      <c r="AL259" s="368"/>
      <c r="AM259" s="366"/>
      <c r="AN259" s="366"/>
      <c r="AO259" s="369"/>
      <c r="AP259" s="366"/>
      <c r="AQ259" s="366"/>
      <c r="AR259" s="369"/>
      <c r="AS259" s="369"/>
      <c r="AT259" s="366"/>
      <c r="AU259" s="366"/>
      <c r="AV259" s="369"/>
      <c r="AW259" s="366"/>
      <c r="AX259" s="366"/>
      <c r="AY259" s="366"/>
      <c r="AZ259" s="366"/>
      <c r="BA259" s="366"/>
    </row>
    <row r="260" spans="1:53" s="371" customFormat="1" ht="12.75" customHeight="1" x14ac:dyDescent="0.25">
      <c r="A260" s="1014"/>
      <c r="B260" s="315"/>
      <c r="C260" s="314"/>
      <c r="D260" s="337"/>
      <c r="E260" s="300"/>
      <c r="F260" s="376"/>
      <c r="G260" s="302"/>
      <c r="H260" s="301"/>
      <c r="I260" s="303"/>
      <c r="J260" s="290"/>
      <c r="K260" s="374"/>
      <c r="L260" s="292"/>
      <c r="M260" s="292"/>
      <c r="N260" s="292"/>
      <c r="O260" s="291"/>
      <c r="P260" s="291"/>
      <c r="Q260" s="372"/>
      <c r="R260" s="291"/>
      <c r="S260" s="291"/>
      <c r="T260" s="291"/>
      <c r="U260" s="291"/>
      <c r="V260" s="291"/>
      <c r="W260" s="372"/>
      <c r="X260" s="291"/>
      <c r="Y260" s="291"/>
      <c r="Z260" s="291"/>
      <c r="AA260" s="284"/>
      <c r="AB260" s="284"/>
      <c r="AC260" s="377"/>
      <c r="AD260" s="263"/>
      <c r="AE260" s="261"/>
      <c r="AF260" s="365"/>
      <c r="AG260" s="366"/>
      <c r="AH260" s="366"/>
      <c r="AI260" s="366"/>
      <c r="AJ260" s="375"/>
      <c r="AK260" s="366"/>
      <c r="AL260" s="368"/>
      <c r="AM260" s="366"/>
      <c r="AN260" s="366"/>
      <c r="AO260" s="369"/>
      <c r="AP260" s="366"/>
      <c r="AQ260" s="366"/>
      <c r="AR260" s="369"/>
      <c r="AS260" s="369"/>
      <c r="AT260" s="366"/>
      <c r="AU260" s="366"/>
      <c r="AV260" s="369"/>
      <c r="AW260" s="366"/>
      <c r="AX260" s="366"/>
      <c r="AY260" s="366"/>
      <c r="AZ260" s="366"/>
      <c r="BA260" s="366"/>
    </row>
    <row r="261" spans="1:53" ht="56.25" customHeight="1" x14ac:dyDescent="0.25">
      <c r="A261" s="1012" t="s">
        <v>1244</v>
      </c>
      <c r="B261" s="353" t="s">
        <v>1245</v>
      </c>
      <c r="C261" s="277"/>
      <c r="D261" s="287"/>
      <c r="E261" s="278" t="s">
        <v>488</v>
      </c>
      <c r="F261" s="279" t="s">
        <v>837</v>
      </c>
      <c r="G261" s="277" t="s">
        <v>489</v>
      </c>
      <c r="H261" s="278" t="s">
        <v>1170</v>
      </c>
      <c r="I261" s="279" t="s">
        <v>838</v>
      </c>
      <c r="J261" s="280" t="s">
        <v>1171</v>
      </c>
      <c r="K261" s="280" t="s">
        <v>490</v>
      </c>
      <c r="L261" s="281" t="s">
        <v>489</v>
      </c>
      <c r="M261" s="280" t="s">
        <v>1172</v>
      </c>
      <c r="N261" s="354" t="s">
        <v>838</v>
      </c>
      <c r="O261" s="280" t="s">
        <v>1171</v>
      </c>
      <c r="P261" s="280" t="s">
        <v>826</v>
      </c>
      <c r="Q261" s="282" t="s">
        <v>1173</v>
      </c>
      <c r="R261" s="280" t="s">
        <v>1174</v>
      </c>
      <c r="S261" s="280" t="s">
        <v>839</v>
      </c>
      <c r="T261" s="280" t="s">
        <v>1171</v>
      </c>
      <c r="U261" s="280" t="s">
        <v>1392</v>
      </c>
      <c r="V261" s="282" t="s">
        <v>1173</v>
      </c>
      <c r="W261" s="280" t="s">
        <v>841</v>
      </c>
      <c r="X261" s="280" t="s">
        <v>1394</v>
      </c>
      <c r="Y261" s="280" t="s">
        <v>839</v>
      </c>
      <c r="Z261" s="283"/>
      <c r="AA261" s="284"/>
      <c r="AB261" s="284"/>
      <c r="AC261" s="377"/>
      <c r="AD261" s="263"/>
      <c r="AQ261" s="355"/>
      <c r="AR261" s="355"/>
      <c r="AS261" s="355"/>
    </row>
    <row r="262" spans="1:53" s="270" customFormat="1" ht="12" customHeight="1" x14ac:dyDescent="0.25">
      <c r="A262" s="1013"/>
      <c r="B262" s="285" t="s">
        <v>1175</v>
      </c>
      <c r="C262" s="277">
        <f>C269</f>
        <v>77.983039332219278</v>
      </c>
      <c r="D262" s="336">
        <f>C262*$D$5</f>
        <v>15.752573945108296</v>
      </c>
      <c r="E262" s="286" t="s">
        <v>1176</v>
      </c>
      <c r="F262" s="356"/>
      <c r="G262" s="288"/>
      <c r="H262" s="288"/>
      <c r="I262" s="289">
        <f>SUM(I263:I270)</f>
        <v>11.055</v>
      </c>
      <c r="J262" s="290" t="s">
        <v>1176</v>
      </c>
      <c r="K262" s="357"/>
      <c r="L262" s="291"/>
      <c r="M262" s="291"/>
      <c r="N262" s="433">
        <f>SUM(N263:N270)</f>
        <v>0.3280017218959359</v>
      </c>
      <c r="O262" s="291" t="s">
        <v>1176</v>
      </c>
      <c r="P262" s="291"/>
      <c r="Q262" s="372"/>
      <c r="R262" s="294"/>
      <c r="S262" s="433">
        <f>SUM(S263:S270)</f>
        <v>0.83428557511388357</v>
      </c>
      <c r="T262" s="291" t="s">
        <v>1176</v>
      </c>
      <c r="U262" s="307"/>
      <c r="V262" s="308"/>
      <c r="W262" s="306"/>
      <c r="X262" s="292"/>
      <c r="Y262" s="433">
        <f>SUM(Y263:Y270)</f>
        <v>34.791353150744953</v>
      </c>
      <c r="Z262" s="296">
        <f>(C262+D262+I262+N262+Y262)*$Z$5</f>
        <v>181.90921868789869</v>
      </c>
      <c r="AA262" s="297">
        <f>C262+D262+I262+N262+S262+Y262+Z262</f>
        <v>322.65347241298105</v>
      </c>
      <c r="AB262" s="298">
        <v>0.25</v>
      </c>
      <c r="AC262" s="358">
        <f>AA262*(1+AB262)</f>
        <v>403.31684051622631</v>
      </c>
      <c r="AD262" s="265"/>
      <c r="AE262" s="261"/>
      <c r="AF262" s="262"/>
      <c r="AG262" s="263"/>
      <c r="AH262" s="263"/>
      <c r="AI262" s="355"/>
      <c r="AJ262" s="359"/>
      <c r="AK262" s="360"/>
      <c r="AL262" s="264"/>
      <c r="AM262" s="361"/>
      <c r="AN262" s="143"/>
      <c r="AO262" s="362"/>
      <c r="AP262" s="363"/>
      <c r="AQ262" s="363"/>
      <c r="AR262" s="363"/>
      <c r="AS262" s="363"/>
      <c r="AT262" s="363"/>
      <c r="AU262" s="362"/>
      <c r="AV262" s="362"/>
      <c r="AW262" s="364"/>
      <c r="AX262" s="272"/>
      <c r="AY262" s="272"/>
      <c r="AZ262" s="272"/>
      <c r="BA262" s="272"/>
    </row>
    <row r="263" spans="1:53" s="371" customFormat="1" ht="12.75" customHeight="1" x14ac:dyDescent="0.25">
      <c r="A263" s="1013"/>
      <c r="B263" s="299" t="s">
        <v>830</v>
      </c>
      <c r="C263" s="277"/>
      <c r="D263" s="336"/>
      <c r="E263" s="300" t="s">
        <v>2186</v>
      </c>
      <c r="F263" s="301" t="s">
        <v>1441</v>
      </c>
      <c r="G263" s="302">
        <v>5.36</v>
      </c>
      <c r="H263" s="301">
        <v>1</v>
      </c>
      <c r="I263" s="303">
        <f>G263*H263</f>
        <v>5.36</v>
      </c>
      <c r="J263" s="290" t="s">
        <v>1291</v>
      </c>
      <c r="K263" s="304">
        <v>2</v>
      </c>
      <c r="L263" s="305">
        <v>750</v>
      </c>
      <c r="M263" s="304">
        <v>2</v>
      </c>
      <c r="N263" s="433">
        <f>L263/'Исп. коэффициенты'!E52*(C267+C268)</f>
        <v>0.28276010508270338</v>
      </c>
      <c r="O263" s="291" t="s">
        <v>1667</v>
      </c>
      <c r="P263" s="291">
        <v>4500</v>
      </c>
      <c r="Q263" s="291">
        <v>19.670000000000002</v>
      </c>
      <c r="R263" s="291">
        <v>885.15</v>
      </c>
      <c r="S263" s="433">
        <f>R263/'Исп. коэффициенты'!E52*C268</f>
        <v>0.33371347601860651</v>
      </c>
      <c r="T263" s="306" t="s">
        <v>1435</v>
      </c>
      <c r="U263" s="307">
        <v>6785401.3499999996</v>
      </c>
      <c r="V263" s="308">
        <v>1.3599999999999999E-2</v>
      </c>
      <c r="W263" s="306">
        <f>'Исп. коэффициенты'!E124</f>
        <v>2978.5</v>
      </c>
      <c r="X263" s="433">
        <f>U263*V263</f>
        <v>92281.45835999999</v>
      </c>
      <c r="Y263" s="295">
        <f>X263/'Исп. коэффициенты'!E52*C268</f>
        <v>34.791353150744953</v>
      </c>
      <c r="Z263" s="291"/>
      <c r="AA263" s="284"/>
      <c r="AB263" s="284"/>
      <c r="AC263" s="377"/>
      <c r="AD263" s="263"/>
      <c r="AE263" s="261"/>
      <c r="AF263" s="365"/>
      <c r="AG263" s="366"/>
      <c r="AH263" s="366"/>
      <c r="AI263" s="366"/>
      <c r="AJ263" s="367"/>
      <c r="AK263" s="366"/>
      <c r="AL263" s="368"/>
      <c r="AM263" s="366"/>
      <c r="AN263" s="366"/>
      <c r="AO263" s="369"/>
      <c r="AP263" s="366"/>
      <c r="AQ263" s="366"/>
      <c r="AR263" s="369"/>
      <c r="AS263" s="369"/>
      <c r="AT263" s="370"/>
      <c r="AU263" s="366"/>
      <c r="AV263" s="369"/>
      <c r="AW263" s="366"/>
      <c r="AX263" s="366"/>
      <c r="AY263" s="366"/>
      <c r="AZ263" s="366"/>
      <c r="BA263" s="366"/>
    </row>
    <row r="264" spans="1:53" s="371" customFormat="1" x14ac:dyDescent="0.25">
      <c r="A264" s="1013"/>
      <c r="B264" s="309" t="s">
        <v>1178</v>
      </c>
      <c r="C264" s="310">
        <v>0</v>
      </c>
      <c r="D264" s="336"/>
      <c r="E264" s="300" t="s">
        <v>2187</v>
      </c>
      <c r="F264" s="301" t="s">
        <v>1</v>
      </c>
      <c r="G264" s="302">
        <v>6.3E-2</v>
      </c>
      <c r="H264" s="301">
        <v>5</v>
      </c>
      <c r="I264" s="303">
        <f>G264*H264</f>
        <v>0.315</v>
      </c>
      <c r="J264" s="290" t="s">
        <v>1445</v>
      </c>
      <c r="K264" s="292">
        <v>2</v>
      </c>
      <c r="L264" s="311">
        <v>95</v>
      </c>
      <c r="M264" s="304">
        <v>2</v>
      </c>
      <c r="N264" s="433">
        <f>L264/'Исп. коэффициенты'!E52*(C267+C268)</f>
        <v>3.5816279977142429E-2</v>
      </c>
      <c r="O264" s="291" t="s">
        <v>1668</v>
      </c>
      <c r="P264" s="291">
        <v>6750</v>
      </c>
      <c r="Q264" s="291">
        <v>19.670000000000002</v>
      </c>
      <c r="R264" s="291">
        <v>1327.73</v>
      </c>
      <c r="S264" s="433">
        <f>R264/'Исп. коэффициенты'!E52*C268</f>
        <v>0.500572099095277</v>
      </c>
      <c r="T264" s="291"/>
      <c r="U264" s="291"/>
      <c r="V264" s="291"/>
      <c r="W264" s="372"/>
      <c r="X264" s="291"/>
      <c r="Y264" s="291"/>
      <c r="Z264" s="291"/>
      <c r="AA264" s="284"/>
      <c r="AB264" s="284"/>
      <c r="AC264" s="377"/>
      <c r="AD264" s="263"/>
      <c r="AE264" s="261"/>
      <c r="AF264" s="365"/>
      <c r="AG264" s="366"/>
      <c r="AH264" s="366"/>
      <c r="AI264" s="366"/>
      <c r="AJ264" s="367"/>
      <c r="AK264" s="366"/>
      <c r="AL264" s="368"/>
      <c r="AM264" s="373"/>
      <c r="AN264" s="366"/>
      <c r="AO264" s="369"/>
      <c r="AP264" s="366"/>
      <c r="AQ264" s="366"/>
      <c r="AR264" s="369"/>
      <c r="AS264" s="369"/>
      <c r="AT264" s="366"/>
      <c r="AU264" s="366"/>
      <c r="AV264" s="369"/>
      <c r="AW264" s="366"/>
      <c r="AX264" s="366"/>
      <c r="AY264" s="366"/>
      <c r="AZ264" s="366"/>
      <c r="BA264" s="366"/>
    </row>
    <row r="265" spans="1:53" s="371" customFormat="1" ht="12.75" customHeight="1" x14ac:dyDescent="0.25">
      <c r="A265" s="1013"/>
      <c r="B265" s="286" t="s">
        <v>1179</v>
      </c>
      <c r="C265" s="277">
        <f>C255</f>
        <v>19.495759833054819</v>
      </c>
      <c r="D265" s="336"/>
      <c r="E265" s="300" t="s">
        <v>2112</v>
      </c>
      <c r="F265" s="301" t="s">
        <v>1</v>
      </c>
      <c r="G265" s="302">
        <v>0.47</v>
      </c>
      <c r="H265" s="302">
        <v>10</v>
      </c>
      <c r="I265" s="303">
        <f>G265*H265</f>
        <v>4.6999999999999993</v>
      </c>
      <c r="J265" s="290" t="s">
        <v>1513</v>
      </c>
      <c r="K265" s="292">
        <v>2</v>
      </c>
      <c r="L265" s="292">
        <v>25</v>
      </c>
      <c r="M265" s="304">
        <v>0.5</v>
      </c>
      <c r="N265" s="433">
        <f>L265/'Исп. коэффициенты'!E52*(C267+C268)</f>
        <v>9.4253368360901132E-3</v>
      </c>
      <c r="O265" s="291"/>
      <c r="P265" s="291"/>
      <c r="Q265" s="372"/>
      <c r="R265" s="291"/>
      <c r="S265" s="291"/>
      <c r="T265" s="291"/>
      <c r="U265" s="291"/>
      <c r="V265" s="291"/>
      <c r="W265" s="372"/>
      <c r="X265" s="291"/>
      <c r="Y265" s="291"/>
      <c r="Z265" s="291"/>
      <c r="AA265" s="284"/>
      <c r="AB265" s="284"/>
      <c r="AC265" s="377"/>
      <c r="AD265" s="263"/>
      <c r="AE265" s="261"/>
      <c r="AF265" s="365"/>
      <c r="AG265" s="366"/>
      <c r="AH265" s="366"/>
      <c r="AI265" s="366"/>
      <c r="AJ265" s="367"/>
      <c r="AK265" s="366"/>
      <c r="AL265" s="368"/>
      <c r="AM265" s="366"/>
      <c r="AN265" s="366"/>
      <c r="AO265" s="369"/>
      <c r="AP265" s="366"/>
      <c r="AQ265" s="366"/>
      <c r="AR265" s="369"/>
      <c r="AS265" s="369"/>
      <c r="AT265" s="366"/>
      <c r="AU265" s="366"/>
      <c r="AV265" s="369"/>
      <c r="AW265" s="366"/>
      <c r="AX265" s="366"/>
      <c r="AY265" s="366"/>
      <c r="AZ265" s="366"/>
      <c r="BA265" s="366"/>
    </row>
    <row r="266" spans="1:53" s="371" customFormat="1" ht="12.75" customHeight="1" x14ac:dyDescent="0.25">
      <c r="A266" s="1013"/>
      <c r="B266" s="286" t="s">
        <v>831</v>
      </c>
      <c r="C266" s="313"/>
      <c r="D266" s="336"/>
      <c r="E266" s="300" t="s">
        <v>9</v>
      </c>
      <c r="F266" s="376" t="s">
        <v>1441</v>
      </c>
      <c r="G266" s="302">
        <v>0.68</v>
      </c>
      <c r="H266" s="301">
        <v>1</v>
      </c>
      <c r="I266" s="303">
        <f t="shared" ref="I266" si="25">G266*H266</f>
        <v>0.68</v>
      </c>
      <c r="J266" s="290"/>
      <c r="K266" s="374"/>
      <c r="L266" s="292"/>
      <c r="M266" s="292"/>
      <c r="N266" s="292"/>
      <c r="O266" s="291"/>
      <c r="P266" s="291"/>
      <c r="Q266" s="372"/>
      <c r="R266" s="291"/>
      <c r="S266" s="291"/>
      <c r="T266" s="291"/>
      <c r="U266" s="291"/>
      <c r="V266" s="291"/>
      <c r="W266" s="372"/>
      <c r="X266" s="291"/>
      <c r="Y266" s="291"/>
      <c r="Z266" s="291"/>
      <c r="AA266" s="284"/>
      <c r="AB266" s="284"/>
      <c r="AC266" s="377"/>
      <c r="AD266" s="263"/>
      <c r="AE266" s="261"/>
      <c r="AF266" s="365"/>
      <c r="AG266" s="366"/>
      <c r="AH266" s="366"/>
      <c r="AI266" s="366"/>
      <c r="AJ266" s="367"/>
      <c r="AK266" s="366"/>
      <c r="AL266" s="368"/>
      <c r="AM266" s="366"/>
      <c r="AN266" s="366"/>
      <c r="AO266" s="369"/>
      <c r="AP266" s="366"/>
      <c r="AQ266" s="366"/>
      <c r="AR266" s="369"/>
      <c r="AS266" s="369"/>
      <c r="AT266" s="366"/>
      <c r="AU266" s="366"/>
      <c r="AV266" s="369"/>
      <c r="AW266" s="366"/>
      <c r="AX266" s="366"/>
      <c r="AY266" s="366"/>
      <c r="AZ266" s="366"/>
      <c r="BA266" s="366"/>
    </row>
    <row r="267" spans="1:53" s="371" customFormat="1" ht="12.75" customHeight="1" x14ac:dyDescent="0.25">
      <c r="A267" s="1013"/>
      <c r="B267" s="309" t="s">
        <v>1178</v>
      </c>
      <c r="C267" s="314">
        <v>0</v>
      </c>
      <c r="D267" s="336"/>
      <c r="E267" s="300"/>
      <c r="F267" s="301"/>
      <c r="G267" s="302"/>
      <c r="H267" s="301"/>
      <c r="I267" s="303"/>
      <c r="J267" s="290"/>
      <c r="K267" s="374"/>
      <c r="L267" s="292"/>
      <c r="M267" s="292"/>
      <c r="N267" s="292"/>
      <c r="O267" s="291"/>
      <c r="P267" s="291"/>
      <c r="Q267" s="372"/>
      <c r="R267" s="291"/>
      <c r="S267" s="291"/>
      <c r="T267" s="291"/>
      <c r="U267" s="291"/>
      <c r="V267" s="291"/>
      <c r="W267" s="372"/>
      <c r="X267" s="291"/>
      <c r="Y267" s="291"/>
      <c r="Z267" s="291"/>
      <c r="AA267" s="284"/>
      <c r="AB267" s="284"/>
      <c r="AC267" s="377"/>
      <c r="AD267" s="263"/>
      <c r="AE267" s="261"/>
      <c r="AF267" s="365"/>
      <c r="AG267" s="366"/>
      <c r="AH267" s="366"/>
      <c r="AI267" s="366"/>
      <c r="AJ267" s="375"/>
      <c r="AK267" s="366"/>
      <c r="AL267" s="368"/>
      <c r="AM267" s="366"/>
      <c r="AN267" s="366"/>
      <c r="AO267" s="369"/>
      <c r="AP267" s="366"/>
      <c r="AQ267" s="366"/>
      <c r="AR267" s="369"/>
      <c r="AS267" s="369"/>
      <c r="AT267" s="366"/>
      <c r="AU267" s="366"/>
      <c r="AV267" s="369"/>
      <c r="AW267" s="366"/>
      <c r="AX267" s="366"/>
      <c r="AY267" s="366"/>
      <c r="AZ267" s="366"/>
      <c r="BA267" s="366"/>
    </row>
    <row r="268" spans="1:53" s="371" customFormat="1" ht="12.75" customHeight="1" x14ac:dyDescent="0.25">
      <c r="A268" s="1013"/>
      <c r="B268" s="286" t="s">
        <v>1179</v>
      </c>
      <c r="C268" s="314">
        <v>4</v>
      </c>
      <c r="D268" s="336"/>
      <c r="E268" s="300"/>
      <c r="F268" s="376"/>
      <c r="G268" s="302"/>
      <c r="H268" s="301"/>
      <c r="I268" s="303"/>
      <c r="J268" s="290"/>
      <c r="K268" s="374"/>
      <c r="L268" s="292"/>
      <c r="M268" s="292"/>
      <c r="N268" s="292"/>
      <c r="O268" s="291"/>
      <c r="P268" s="291"/>
      <c r="Q268" s="372"/>
      <c r="R268" s="291"/>
      <c r="S268" s="291"/>
      <c r="T268" s="291"/>
      <c r="U268" s="291"/>
      <c r="V268" s="291"/>
      <c r="W268" s="372"/>
      <c r="X268" s="291"/>
      <c r="Y268" s="291"/>
      <c r="Z268" s="291"/>
      <c r="AA268" s="284"/>
      <c r="AB268" s="284"/>
      <c r="AC268" s="284"/>
      <c r="AD268" s="263"/>
      <c r="AE268" s="261"/>
      <c r="AF268" s="365"/>
      <c r="AG268" s="366"/>
      <c r="AH268" s="366"/>
      <c r="AI268" s="366"/>
      <c r="AJ268" s="375"/>
      <c r="AK268" s="366"/>
      <c r="AL268" s="368"/>
      <c r="AM268" s="366"/>
      <c r="AN268" s="366"/>
      <c r="AO268" s="369"/>
      <c r="AP268" s="366"/>
      <c r="AQ268" s="366"/>
      <c r="AR268" s="369"/>
      <c r="AS268" s="369"/>
      <c r="AT268" s="366"/>
      <c r="AU268" s="366"/>
      <c r="AV268" s="369"/>
      <c r="AW268" s="366"/>
      <c r="AX268" s="366"/>
      <c r="AY268" s="366"/>
      <c r="AZ268" s="366"/>
      <c r="BA268" s="366"/>
    </row>
    <row r="269" spans="1:53" s="371" customFormat="1" ht="12.75" customHeight="1" x14ac:dyDescent="0.25">
      <c r="A269" s="1013"/>
      <c r="B269" s="315" t="s">
        <v>1181</v>
      </c>
      <c r="C269" s="277">
        <f>C264*C267+C265*C268</f>
        <v>77.983039332219278</v>
      </c>
      <c r="D269" s="336"/>
      <c r="E269" s="300"/>
      <c r="F269" s="376"/>
      <c r="G269" s="302"/>
      <c r="H269" s="301"/>
      <c r="I269" s="303"/>
      <c r="J269" s="290"/>
      <c r="K269" s="374"/>
      <c r="L269" s="292"/>
      <c r="M269" s="292"/>
      <c r="N269" s="292"/>
      <c r="O269" s="291"/>
      <c r="P269" s="291"/>
      <c r="Q269" s="372"/>
      <c r="R269" s="291"/>
      <c r="S269" s="291"/>
      <c r="T269" s="291"/>
      <c r="U269" s="291"/>
      <c r="V269" s="291"/>
      <c r="W269" s="372"/>
      <c r="X269" s="291"/>
      <c r="Y269" s="291"/>
      <c r="Z269" s="291"/>
      <c r="AA269" s="284"/>
      <c r="AB269" s="284"/>
      <c r="AC269" s="284"/>
      <c r="AD269" s="263"/>
      <c r="AE269" s="261"/>
      <c r="AF269" s="365"/>
      <c r="AG269" s="366"/>
      <c r="AH269" s="366"/>
      <c r="AI269" s="366"/>
      <c r="AJ269" s="367"/>
      <c r="AK269" s="366"/>
      <c r="AL269" s="368"/>
      <c r="AM269" s="366"/>
      <c r="AN269" s="366"/>
      <c r="AO269" s="369"/>
      <c r="AP269" s="366"/>
      <c r="AQ269" s="366"/>
      <c r="AR269" s="369"/>
      <c r="AS269" s="369"/>
      <c r="AT269" s="366"/>
      <c r="AU269" s="366"/>
      <c r="AV269" s="369"/>
      <c r="AW269" s="366"/>
      <c r="AX269" s="366"/>
      <c r="AY269" s="366"/>
      <c r="AZ269" s="366"/>
      <c r="BA269" s="366"/>
    </row>
    <row r="270" spans="1:53" s="371" customFormat="1" ht="12.75" customHeight="1" x14ac:dyDescent="0.25">
      <c r="A270" s="1014"/>
      <c r="B270" s="315"/>
      <c r="C270" s="314"/>
      <c r="D270" s="337"/>
      <c r="E270" s="300"/>
      <c r="F270" s="376"/>
      <c r="G270" s="302"/>
      <c r="H270" s="301"/>
      <c r="I270" s="303"/>
      <c r="J270" s="290"/>
      <c r="K270" s="374"/>
      <c r="L270" s="292"/>
      <c r="M270" s="292"/>
      <c r="N270" s="292"/>
      <c r="O270" s="291"/>
      <c r="P270" s="291"/>
      <c r="Q270" s="372"/>
      <c r="R270" s="291"/>
      <c r="S270" s="291"/>
      <c r="T270" s="291"/>
      <c r="U270" s="291"/>
      <c r="V270" s="291"/>
      <c r="W270" s="372"/>
      <c r="X270" s="291"/>
      <c r="Y270" s="291"/>
      <c r="Z270" s="291"/>
      <c r="AA270" s="284"/>
      <c r="AB270" s="284"/>
      <c r="AC270" s="284"/>
      <c r="AD270" s="263"/>
      <c r="AE270" s="261"/>
      <c r="AF270" s="365"/>
      <c r="AG270" s="366"/>
      <c r="AH270" s="366"/>
      <c r="AI270" s="366"/>
      <c r="AJ270" s="375"/>
      <c r="AK270" s="366"/>
      <c r="AL270" s="368"/>
      <c r="AM270" s="366"/>
      <c r="AN270" s="366"/>
      <c r="AO270" s="369"/>
      <c r="AP270" s="366"/>
      <c r="AQ270" s="366"/>
      <c r="AR270" s="369"/>
      <c r="AS270" s="369"/>
      <c r="AT270" s="366"/>
      <c r="AU270" s="366"/>
      <c r="AV270" s="369"/>
      <c r="AW270" s="366"/>
      <c r="AX270" s="366"/>
      <c r="AY270" s="366"/>
      <c r="AZ270" s="366"/>
      <c r="BA270" s="366"/>
    </row>
    <row r="271" spans="1:53" ht="56.25" customHeight="1" x14ac:dyDescent="0.25">
      <c r="A271" s="1012" t="s">
        <v>1736</v>
      </c>
      <c r="B271" s="438" t="s">
        <v>1735</v>
      </c>
      <c r="C271" s="661"/>
      <c r="D271" s="287"/>
      <c r="E271" s="278" t="s">
        <v>488</v>
      </c>
      <c r="F271" s="279" t="s">
        <v>837</v>
      </c>
      <c r="G271" s="661" t="s">
        <v>489</v>
      </c>
      <c r="H271" s="278" t="s">
        <v>1170</v>
      </c>
      <c r="I271" s="279" t="s">
        <v>838</v>
      </c>
      <c r="J271" s="280" t="s">
        <v>1171</v>
      </c>
      <c r="K271" s="280" t="s">
        <v>490</v>
      </c>
      <c r="L271" s="281" t="s">
        <v>489</v>
      </c>
      <c r="M271" s="280" t="s">
        <v>1172</v>
      </c>
      <c r="N271" s="354" t="s">
        <v>838</v>
      </c>
      <c r="O271" s="280" t="s">
        <v>1171</v>
      </c>
      <c r="P271" s="280" t="s">
        <v>826</v>
      </c>
      <c r="Q271" s="282" t="s">
        <v>1173</v>
      </c>
      <c r="R271" s="280" t="s">
        <v>1174</v>
      </c>
      <c r="S271" s="280" t="s">
        <v>839</v>
      </c>
      <c r="T271" s="280" t="s">
        <v>1171</v>
      </c>
      <c r="U271" s="280" t="s">
        <v>1392</v>
      </c>
      <c r="V271" s="282" t="s">
        <v>1173</v>
      </c>
      <c r="W271" s="280" t="s">
        <v>841</v>
      </c>
      <c r="X271" s="280" t="s">
        <v>1394</v>
      </c>
      <c r="Y271" s="280" t="s">
        <v>839</v>
      </c>
      <c r="Z271" s="283"/>
      <c r="AA271" s="284"/>
      <c r="AB271" s="284"/>
      <c r="AC271" s="284"/>
      <c r="AD271" s="263"/>
      <c r="AQ271" s="355"/>
      <c r="AR271" s="355"/>
      <c r="AS271" s="355"/>
    </row>
    <row r="272" spans="1:53" s="270" customFormat="1" ht="12" customHeight="1" x14ac:dyDescent="0.25">
      <c r="A272" s="1013"/>
      <c r="B272" s="285" t="s">
        <v>1175</v>
      </c>
      <c r="C272" s="661">
        <f>C279</f>
        <v>106.32693857057801</v>
      </c>
      <c r="D272" s="663">
        <f>C272*$D$5</f>
        <v>21.478041591256758</v>
      </c>
      <c r="E272" s="286" t="s">
        <v>1176</v>
      </c>
      <c r="F272" s="356"/>
      <c r="G272" s="288"/>
      <c r="H272" s="288"/>
      <c r="I272" s="289">
        <f>SUM(I273:I280)</f>
        <v>11.055</v>
      </c>
      <c r="J272" s="290" t="s">
        <v>1176</v>
      </c>
      <c r="K272" s="357"/>
      <c r="L272" s="291"/>
      <c r="M272" s="291"/>
      <c r="N272" s="433">
        <f>SUM(N273:N280)</f>
        <v>0.3280017218959359</v>
      </c>
      <c r="O272" s="291" t="s">
        <v>1176</v>
      </c>
      <c r="P272" s="291"/>
      <c r="Q272" s="372"/>
      <c r="R272" s="294"/>
      <c r="S272" s="433">
        <f>SUM(S273:S280)</f>
        <v>0.41714278755694179</v>
      </c>
      <c r="T272" s="291" t="s">
        <v>1176</v>
      </c>
      <c r="U272" s="307"/>
      <c r="V272" s="308"/>
      <c r="W272" s="306"/>
      <c r="X272" s="292"/>
      <c r="Y272" s="433">
        <f>SUM(Y273:Y280)</f>
        <v>17.395676575372477</v>
      </c>
      <c r="Z272" s="296">
        <f>(C272+D272+I272+N272+Y272+S272)*$Z$5</f>
        <v>204.13050953982687</v>
      </c>
      <c r="AA272" s="297">
        <f>C272+D272+I272+N272+S272+Y272+Z272</f>
        <v>361.13131078648701</v>
      </c>
      <c r="AB272" s="298">
        <v>0.25</v>
      </c>
      <c r="AC272" s="358">
        <f>AA272*(1+AB272)</f>
        <v>451.41413848310879</v>
      </c>
      <c r="AD272" s="265"/>
      <c r="AE272" s="261"/>
      <c r="AF272" s="262"/>
      <c r="AG272" s="263"/>
      <c r="AH272" s="263"/>
      <c r="AI272" s="355"/>
      <c r="AJ272" s="359"/>
      <c r="AK272" s="360"/>
      <c r="AL272" s="264"/>
      <c r="AM272" s="361"/>
      <c r="AN272" s="143"/>
      <c r="AO272" s="362"/>
      <c r="AP272" s="363"/>
      <c r="AQ272" s="363"/>
      <c r="AR272" s="363"/>
      <c r="AS272" s="363"/>
      <c r="AT272" s="363"/>
      <c r="AU272" s="362"/>
      <c r="AV272" s="362"/>
      <c r="AW272" s="364"/>
      <c r="AX272" s="272"/>
      <c r="AY272" s="272"/>
      <c r="AZ272" s="272"/>
      <c r="BA272" s="272"/>
    </row>
    <row r="273" spans="1:53" s="371" customFormat="1" ht="12.75" customHeight="1" x14ac:dyDescent="0.25">
      <c r="A273" s="1013"/>
      <c r="B273" s="299" t="s">
        <v>830</v>
      </c>
      <c r="C273" s="661"/>
      <c r="D273" s="663"/>
      <c r="E273" s="300" t="s">
        <v>2186</v>
      </c>
      <c r="F273" s="301" t="s">
        <v>1441</v>
      </c>
      <c r="G273" s="302">
        <v>5.36</v>
      </c>
      <c r="H273" s="301">
        <v>1</v>
      </c>
      <c r="I273" s="303">
        <f>G273*H273</f>
        <v>5.36</v>
      </c>
      <c r="J273" s="290" t="s">
        <v>1291</v>
      </c>
      <c r="K273" s="304">
        <v>2</v>
      </c>
      <c r="L273" s="305">
        <v>750</v>
      </c>
      <c r="M273" s="304">
        <v>2</v>
      </c>
      <c r="N273" s="433">
        <f>L273/'Исп. коэффициенты'!E52*(C277+C278)</f>
        <v>0.28276010508270338</v>
      </c>
      <c r="O273" s="291" t="s">
        <v>1667</v>
      </c>
      <c r="P273" s="291">
        <v>4500</v>
      </c>
      <c r="Q273" s="291">
        <v>19.670000000000002</v>
      </c>
      <c r="R273" s="291">
        <v>885.15</v>
      </c>
      <c r="S273" s="433">
        <f>R273/'Исп. коэффициенты'!E52*C277</f>
        <v>0.16685673800930326</v>
      </c>
      <c r="T273" s="306" t="s">
        <v>1435</v>
      </c>
      <c r="U273" s="307">
        <v>6785401.3499999996</v>
      </c>
      <c r="V273" s="308">
        <v>1.3599999999999999E-2</v>
      </c>
      <c r="W273" s="306">
        <f>'Исп. коэффициенты'!E124</f>
        <v>2978.5</v>
      </c>
      <c r="X273" s="433">
        <f>U273*V273</f>
        <v>92281.45835999999</v>
      </c>
      <c r="Y273" s="295">
        <f>X273/'Исп. коэффициенты'!E52*C277</f>
        <v>17.395676575372477</v>
      </c>
      <c r="Z273" s="291"/>
      <c r="AA273" s="284"/>
      <c r="AB273" s="284"/>
      <c r="AC273" s="284"/>
      <c r="AD273" s="263"/>
      <c r="AE273" s="261"/>
      <c r="AF273" s="365"/>
      <c r="AG273" s="366"/>
      <c r="AH273" s="366"/>
      <c r="AI273" s="366"/>
      <c r="AJ273" s="367"/>
      <c r="AK273" s="366"/>
      <c r="AL273" s="368"/>
      <c r="AM273" s="366"/>
      <c r="AN273" s="366"/>
      <c r="AO273" s="369"/>
      <c r="AP273" s="366"/>
      <c r="AQ273" s="366"/>
      <c r="AR273" s="369"/>
      <c r="AS273" s="369"/>
      <c r="AT273" s="370"/>
      <c r="AU273" s="366"/>
      <c r="AV273" s="369"/>
      <c r="AW273" s="366"/>
      <c r="AX273" s="366"/>
      <c r="AY273" s="366"/>
      <c r="AZ273" s="366"/>
      <c r="BA273" s="366"/>
    </row>
    <row r="274" spans="1:53" s="371" customFormat="1" x14ac:dyDescent="0.25">
      <c r="A274" s="1013"/>
      <c r="B274" s="309" t="s">
        <v>1178</v>
      </c>
      <c r="C274" s="310">
        <f>C224</f>
        <v>33.667709452234185</v>
      </c>
      <c r="D274" s="663"/>
      <c r="E274" s="300" t="s">
        <v>2187</v>
      </c>
      <c r="F274" s="301" t="s">
        <v>1</v>
      </c>
      <c r="G274" s="302">
        <v>6.3E-2</v>
      </c>
      <c r="H274" s="301">
        <v>5</v>
      </c>
      <c r="I274" s="303">
        <f>G274*H274</f>
        <v>0.315</v>
      </c>
      <c r="J274" s="290" t="s">
        <v>1445</v>
      </c>
      <c r="K274" s="292">
        <v>2</v>
      </c>
      <c r="L274" s="311">
        <v>95</v>
      </c>
      <c r="M274" s="304">
        <v>2</v>
      </c>
      <c r="N274" s="433">
        <f>L274/'Исп. коэффициенты'!E52*(C277+C278)</f>
        <v>3.5816279977142429E-2</v>
      </c>
      <c r="O274" s="291" t="s">
        <v>1668</v>
      </c>
      <c r="P274" s="291">
        <v>6750</v>
      </c>
      <c r="Q274" s="291">
        <v>19.670000000000002</v>
      </c>
      <c r="R274" s="291">
        <v>1327.73</v>
      </c>
      <c r="S274" s="433">
        <f>R274/'Исп. коэффициенты'!E52*C277</f>
        <v>0.2502860495476385</v>
      </c>
      <c r="T274" s="291"/>
      <c r="U274" s="291"/>
      <c r="V274" s="291"/>
      <c r="W274" s="372"/>
      <c r="X274" s="291"/>
      <c r="Y274" s="291"/>
      <c r="Z274" s="291"/>
      <c r="AA274" s="284"/>
      <c r="AB274" s="284"/>
      <c r="AC274" s="284"/>
      <c r="AD274" s="263"/>
      <c r="AE274" s="261"/>
      <c r="AF274" s="365"/>
      <c r="AG274" s="366"/>
      <c r="AH274" s="366"/>
      <c r="AI274" s="366"/>
      <c r="AJ274" s="367"/>
      <c r="AK274" s="366"/>
      <c r="AL274" s="368"/>
      <c r="AM274" s="373"/>
      <c r="AN274" s="366"/>
      <c r="AO274" s="369"/>
      <c r="AP274" s="366"/>
      <c r="AQ274" s="366"/>
      <c r="AR274" s="369"/>
      <c r="AS274" s="369"/>
      <c r="AT274" s="366"/>
      <c r="AU274" s="366"/>
      <c r="AV274" s="369"/>
      <c r="AW274" s="366"/>
      <c r="AX274" s="366"/>
      <c r="AY274" s="366"/>
      <c r="AZ274" s="366"/>
      <c r="BA274" s="366"/>
    </row>
    <row r="275" spans="1:53" s="371" customFormat="1" ht="12.75" customHeight="1" x14ac:dyDescent="0.25">
      <c r="A275" s="1013"/>
      <c r="B275" s="286" t="s">
        <v>1179</v>
      </c>
      <c r="C275" s="661">
        <f>C225</f>
        <v>19.495759833054819</v>
      </c>
      <c r="D275" s="663"/>
      <c r="E275" s="300" t="s">
        <v>2112</v>
      </c>
      <c r="F275" s="301" t="s">
        <v>1</v>
      </c>
      <c r="G275" s="302">
        <v>0.47</v>
      </c>
      <c r="H275" s="302">
        <v>10</v>
      </c>
      <c r="I275" s="303">
        <f>G275*H275</f>
        <v>4.6999999999999993</v>
      </c>
      <c r="J275" s="290" t="s">
        <v>1513</v>
      </c>
      <c r="K275" s="292">
        <v>2</v>
      </c>
      <c r="L275" s="292">
        <v>25</v>
      </c>
      <c r="M275" s="304">
        <v>0.5</v>
      </c>
      <c r="N275" s="433">
        <f>L275/'Исп. коэффициенты'!E52*(C277+C278)</f>
        <v>9.4253368360901132E-3</v>
      </c>
      <c r="O275" s="291"/>
      <c r="P275" s="291"/>
      <c r="Q275" s="372"/>
      <c r="R275" s="291"/>
      <c r="S275" s="291"/>
      <c r="T275" s="291"/>
      <c r="U275" s="291"/>
      <c r="V275" s="291"/>
      <c r="W275" s="372"/>
      <c r="X275" s="291"/>
      <c r="Y275" s="291"/>
      <c r="Z275" s="291"/>
      <c r="AA275" s="284"/>
      <c r="AB275" s="284"/>
      <c r="AC275" s="284"/>
      <c r="AD275" s="263"/>
      <c r="AE275" s="261"/>
      <c r="AF275" s="365"/>
      <c r="AG275" s="366"/>
      <c r="AH275" s="366"/>
      <c r="AI275" s="366"/>
      <c r="AJ275" s="367"/>
      <c r="AK275" s="366"/>
      <c r="AL275" s="368"/>
      <c r="AM275" s="366"/>
      <c r="AN275" s="366"/>
      <c r="AO275" s="369"/>
      <c r="AP275" s="366"/>
      <c r="AQ275" s="366"/>
      <c r="AR275" s="369"/>
      <c r="AS275" s="369"/>
      <c r="AT275" s="366"/>
      <c r="AU275" s="366"/>
      <c r="AV275" s="369"/>
      <c r="AW275" s="366"/>
      <c r="AX275" s="366"/>
      <c r="AY275" s="366"/>
      <c r="AZ275" s="366"/>
      <c r="BA275" s="366"/>
    </row>
    <row r="276" spans="1:53" s="371" customFormat="1" ht="12.75" customHeight="1" x14ac:dyDescent="0.25">
      <c r="A276" s="1013"/>
      <c r="B276" s="286" t="s">
        <v>831</v>
      </c>
      <c r="C276" s="313"/>
      <c r="D276" s="663"/>
      <c r="E276" s="300" t="s">
        <v>9</v>
      </c>
      <c r="F276" s="376" t="s">
        <v>1441</v>
      </c>
      <c r="G276" s="302">
        <v>0.68</v>
      </c>
      <c r="H276" s="301">
        <v>1</v>
      </c>
      <c r="I276" s="303">
        <f t="shared" ref="I276" si="26">G276*H276</f>
        <v>0.68</v>
      </c>
      <c r="J276" s="290"/>
      <c r="K276" s="374"/>
      <c r="L276" s="292"/>
      <c r="M276" s="292"/>
      <c r="N276" s="292"/>
      <c r="O276" s="291"/>
      <c r="P276" s="291"/>
      <c r="Q276" s="372"/>
      <c r="R276" s="291"/>
      <c r="S276" s="291"/>
      <c r="T276" s="291"/>
      <c r="U276" s="291"/>
      <c r="V276" s="291"/>
      <c r="W276" s="372"/>
      <c r="X276" s="291"/>
      <c r="Y276" s="291"/>
      <c r="Z276" s="291"/>
      <c r="AA276" s="284"/>
      <c r="AB276" s="284"/>
      <c r="AC276" s="284"/>
      <c r="AD276" s="263"/>
      <c r="AE276" s="261"/>
      <c r="AF276" s="365"/>
      <c r="AG276" s="366"/>
      <c r="AH276" s="366"/>
      <c r="AI276" s="366"/>
      <c r="AJ276" s="367"/>
      <c r="AK276" s="366"/>
      <c r="AL276" s="368"/>
      <c r="AM276" s="366"/>
      <c r="AN276" s="366"/>
      <c r="AO276" s="369"/>
      <c r="AP276" s="366"/>
      <c r="AQ276" s="366"/>
      <c r="AR276" s="369"/>
      <c r="AS276" s="369"/>
      <c r="AT276" s="366"/>
      <c r="AU276" s="366"/>
      <c r="AV276" s="369"/>
      <c r="AW276" s="366"/>
      <c r="AX276" s="366"/>
      <c r="AY276" s="366"/>
      <c r="AZ276" s="366"/>
      <c r="BA276" s="366"/>
    </row>
    <row r="277" spans="1:53" s="371" customFormat="1" ht="12.75" customHeight="1" x14ac:dyDescent="0.25">
      <c r="A277" s="1013"/>
      <c r="B277" s="309" t="s">
        <v>1178</v>
      </c>
      <c r="C277" s="314">
        <v>2</v>
      </c>
      <c r="D277" s="663"/>
      <c r="E277" s="300"/>
      <c r="F277" s="301"/>
      <c r="G277" s="302"/>
      <c r="H277" s="301"/>
      <c r="I277" s="303"/>
      <c r="J277" s="290"/>
      <c r="K277" s="374"/>
      <c r="L277" s="292"/>
      <c r="M277" s="292"/>
      <c r="N277" s="292"/>
      <c r="O277" s="291"/>
      <c r="P277" s="291"/>
      <c r="Q277" s="372"/>
      <c r="R277" s="291"/>
      <c r="S277" s="291"/>
      <c r="T277" s="291"/>
      <c r="U277" s="291"/>
      <c r="V277" s="291"/>
      <c r="W277" s="372"/>
      <c r="X277" s="291"/>
      <c r="Y277" s="291"/>
      <c r="Z277" s="291"/>
      <c r="AA277" s="284"/>
      <c r="AB277" s="284"/>
      <c r="AC277" s="284"/>
      <c r="AD277" s="263"/>
      <c r="AE277" s="261"/>
      <c r="AF277" s="365"/>
      <c r="AG277" s="366"/>
      <c r="AH277" s="366"/>
      <c r="AI277" s="366"/>
      <c r="AJ277" s="375"/>
      <c r="AK277" s="366"/>
      <c r="AL277" s="368"/>
      <c r="AM277" s="366"/>
      <c r="AN277" s="366"/>
      <c r="AO277" s="369"/>
      <c r="AP277" s="366"/>
      <c r="AQ277" s="366"/>
      <c r="AR277" s="369"/>
      <c r="AS277" s="369"/>
      <c r="AT277" s="366"/>
      <c r="AU277" s="366"/>
      <c r="AV277" s="369"/>
      <c r="AW277" s="366"/>
      <c r="AX277" s="366"/>
      <c r="AY277" s="366"/>
      <c r="AZ277" s="366"/>
      <c r="BA277" s="366"/>
    </row>
    <row r="278" spans="1:53" s="371" customFormat="1" ht="12.75" customHeight="1" x14ac:dyDescent="0.25">
      <c r="A278" s="1013"/>
      <c r="B278" s="286" t="s">
        <v>1179</v>
      </c>
      <c r="C278" s="314">
        <v>2</v>
      </c>
      <c r="D278" s="663"/>
      <c r="E278" s="300"/>
      <c r="F278" s="376"/>
      <c r="G278" s="302"/>
      <c r="H278" s="301"/>
      <c r="I278" s="303"/>
      <c r="J278" s="290"/>
      <c r="K278" s="374"/>
      <c r="L278" s="292"/>
      <c r="M278" s="292"/>
      <c r="N278" s="292"/>
      <c r="O278" s="291"/>
      <c r="P278" s="291"/>
      <c r="Q278" s="372"/>
      <c r="R278" s="291"/>
      <c r="S278" s="291"/>
      <c r="T278" s="291"/>
      <c r="U278" s="291"/>
      <c r="V278" s="291"/>
      <c r="W278" s="372"/>
      <c r="X278" s="291"/>
      <c r="Y278" s="291"/>
      <c r="Z278" s="291"/>
      <c r="AA278" s="284"/>
      <c r="AB278" s="284"/>
      <c r="AC278" s="284"/>
      <c r="AD278" s="263"/>
      <c r="AE278" s="261"/>
      <c r="AF278" s="365"/>
      <c r="AG278" s="366"/>
      <c r="AH278" s="366"/>
      <c r="AI278" s="366"/>
      <c r="AJ278" s="375"/>
      <c r="AK278" s="366"/>
      <c r="AL278" s="368"/>
      <c r="AM278" s="366"/>
      <c r="AN278" s="366"/>
      <c r="AO278" s="369"/>
      <c r="AP278" s="366"/>
      <c r="AQ278" s="366"/>
      <c r="AR278" s="369"/>
      <c r="AS278" s="369"/>
      <c r="AT278" s="366"/>
      <c r="AU278" s="366"/>
      <c r="AV278" s="369"/>
      <c r="AW278" s="366"/>
      <c r="AX278" s="366"/>
      <c r="AY278" s="366"/>
      <c r="AZ278" s="366"/>
      <c r="BA278" s="366"/>
    </row>
    <row r="279" spans="1:53" s="371" customFormat="1" ht="12.75" customHeight="1" x14ac:dyDescent="0.25">
      <c r="A279" s="1013"/>
      <c r="B279" s="315" t="s">
        <v>1181</v>
      </c>
      <c r="C279" s="661">
        <f>C274*C277+C275*C278</f>
        <v>106.32693857057801</v>
      </c>
      <c r="D279" s="663"/>
      <c r="E279" s="300"/>
      <c r="F279" s="376"/>
      <c r="G279" s="302"/>
      <c r="H279" s="301"/>
      <c r="I279" s="303"/>
      <c r="J279" s="290"/>
      <c r="K279" s="374"/>
      <c r="L279" s="292"/>
      <c r="M279" s="292"/>
      <c r="N279" s="292"/>
      <c r="O279" s="291"/>
      <c r="P279" s="291"/>
      <c r="Q279" s="372"/>
      <c r="R279" s="291"/>
      <c r="S279" s="291"/>
      <c r="T279" s="291"/>
      <c r="U279" s="291"/>
      <c r="V279" s="291"/>
      <c r="W279" s="372"/>
      <c r="X279" s="291"/>
      <c r="Y279" s="291"/>
      <c r="Z279" s="291"/>
      <c r="AA279" s="284"/>
      <c r="AB279" s="284"/>
      <c r="AC279" s="284"/>
      <c r="AD279" s="263"/>
      <c r="AE279" s="261"/>
      <c r="AF279" s="365"/>
      <c r="AG279" s="366"/>
      <c r="AH279" s="366"/>
      <c r="AI279" s="366"/>
      <c r="AJ279" s="367"/>
      <c r="AK279" s="366"/>
      <c r="AL279" s="368"/>
      <c r="AM279" s="366"/>
      <c r="AN279" s="366"/>
      <c r="AO279" s="369"/>
      <c r="AP279" s="366"/>
      <c r="AQ279" s="366"/>
      <c r="AR279" s="369"/>
      <c r="AS279" s="369"/>
      <c r="AT279" s="366"/>
      <c r="AU279" s="366"/>
      <c r="AV279" s="369"/>
      <c r="AW279" s="366"/>
      <c r="AX279" s="366"/>
      <c r="AY279" s="366"/>
      <c r="AZ279" s="366"/>
      <c r="BA279" s="366"/>
    </row>
    <row r="280" spans="1:53" s="371" customFormat="1" ht="12.75" customHeight="1" x14ac:dyDescent="0.25">
      <c r="A280" s="1014"/>
      <c r="B280" s="315"/>
      <c r="C280" s="314"/>
      <c r="D280" s="664"/>
      <c r="E280" s="300"/>
      <c r="F280" s="376"/>
      <c r="G280" s="302"/>
      <c r="H280" s="301"/>
      <c r="I280" s="303"/>
      <c r="J280" s="290"/>
      <c r="K280" s="374"/>
      <c r="L280" s="292"/>
      <c r="M280" s="292"/>
      <c r="N280" s="292"/>
      <c r="O280" s="291"/>
      <c r="P280" s="291"/>
      <c r="Q280" s="372"/>
      <c r="R280" s="291"/>
      <c r="S280" s="291"/>
      <c r="T280" s="291"/>
      <c r="U280" s="291"/>
      <c r="V280" s="291"/>
      <c r="W280" s="372"/>
      <c r="X280" s="291"/>
      <c r="Y280" s="291"/>
      <c r="Z280" s="291"/>
      <c r="AA280" s="284"/>
      <c r="AB280" s="284"/>
      <c r="AC280" s="284"/>
      <c r="AD280" s="263"/>
      <c r="AE280" s="261"/>
      <c r="AF280" s="365"/>
      <c r="AG280" s="366"/>
      <c r="AH280" s="366"/>
      <c r="AI280" s="366"/>
      <c r="AJ280" s="375"/>
      <c r="AK280" s="366"/>
      <c r="AL280" s="368"/>
      <c r="AM280" s="366"/>
      <c r="AN280" s="366"/>
      <c r="AO280" s="369"/>
      <c r="AP280" s="366"/>
      <c r="AQ280" s="366"/>
      <c r="AR280" s="369"/>
      <c r="AS280" s="369"/>
      <c r="AT280" s="366"/>
      <c r="AU280" s="366"/>
      <c r="AV280" s="369"/>
      <c r="AW280" s="366"/>
      <c r="AX280" s="366"/>
      <c r="AY280" s="366"/>
      <c r="AZ280" s="366"/>
      <c r="BA280" s="366"/>
    </row>
    <row r="281" spans="1:53" ht="56.25" customHeight="1" x14ac:dyDescent="0.25">
      <c r="A281" s="1012" t="s">
        <v>1795</v>
      </c>
      <c r="B281" s="438" t="s">
        <v>1739</v>
      </c>
      <c r="C281" s="661"/>
      <c r="D281" s="287"/>
      <c r="E281" s="278" t="s">
        <v>488</v>
      </c>
      <c r="F281" s="279" t="s">
        <v>837</v>
      </c>
      <c r="G281" s="661" t="s">
        <v>489</v>
      </c>
      <c r="H281" s="278" t="s">
        <v>1170</v>
      </c>
      <c r="I281" s="279" t="s">
        <v>838</v>
      </c>
      <c r="J281" s="280" t="s">
        <v>1171</v>
      </c>
      <c r="K281" s="280" t="s">
        <v>490</v>
      </c>
      <c r="L281" s="281" t="s">
        <v>489</v>
      </c>
      <c r="M281" s="280" t="s">
        <v>1172</v>
      </c>
      <c r="N281" s="354" t="s">
        <v>838</v>
      </c>
      <c r="O281" s="280" t="s">
        <v>1171</v>
      </c>
      <c r="P281" s="280" t="s">
        <v>826</v>
      </c>
      <c r="Q281" s="282" t="s">
        <v>1173</v>
      </c>
      <c r="R281" s="280" t="s">
        <v>1174</v>
      </c>
      <c r="S281" s="280" t="s">
        <v>839</v>
      </c>
      <c r="T281" s="280" t="s">
        <v>1171</v>
      </c>
      <c r="U281" s="280" t="s">
        <v>1392</v>
      </c>
      <c r="V281" s="282" t="s">
        <v>1173</v>
      </c>
      <c r="W281" s="280" t="s">
        <v>841</v>
      </c>
      <c r="X281" s="280" t="s">
        <v>1394</v>
      </c>
      <c r="Y281" s="280" t="s">
        <v>839</v>
      </c>
      <c r="Z281" s="283"/>
      <c r="AA281" s="284"/>
      <c r="AB281" s="284"/>
      <c r="AC281" s="284"/>
      <c r="AD281" s="263"/>
      <c r="AQ281" s="355"/>
      <c r="AR281" s="355"/>
      <c r="AS281" s="355"/>
    </row>
    <row r="282" spans="1:53" s="270" customFormat="1" ht="12" customHeight="1" x14ac:dyDescent="0.25">
      <c r="A282" s="1013"/>
      <c r="B282" s="285" t="s">
        <v>1175</v>
      </c>
      <c r="C282" s="661">
        <f>C289</f>
        <v>143.54136707028033</v>
      </c>
      <c r="D282" s="663">
        <f>C282*$D$5</f>
        <v>28.995356148196628</v>
      </c>
      <c r="E282" s="286" t="s">
        <v>1176</v>
      </c>
      <c r="F282" s="356"/>
      <c r="G282" s="288"/>
      <c r="H282" s="288"/>
      <c r="I282" s="289">
        <f>SUM(I283:I290)</f>
        <v>11.055</v>
      </c>
      <c r="J282" s="290" t="s">
        <v>1176</v>
      </c>
      <c r="K282" s="357"/>
      <c r="L282" s="291"/>
      <c r="M282" s="291"/>
      <c r="N282" s="433">
        <f>SUM(N283:N290)</f>
        <v>0.44280232455951357</v>
      </c>
      <c r="O282" s="291" t="s">
        <v>1176</v>
      </c>
      <c r="P282" s="291"/>
      <c r="Q282" s="372"/>
      <c r="R282" s="294"/>
      <c r="S282" s="433">
        <f>SUM(S283:S290)</f>
        <v>0.5631427632018714</v>
      </c>
      <c r="T282" s="291" t="s">
        <v>1176</v>
      </c>
      <c r="U282" s="307"/>
      <c r="V282" s="308"/>
      <c r="W282" s="306"/>
      <c r="X282" s="292"/>
      <c r="Y282" s="433">
        <f>SUM(Y283:Y290)</f>
        <v>23.484163376752846</v>
      </c>
      <c r="Z282" s="296">
        <f>(C282+D282+I282+N282+Y282+S282)*$Z$5</f>
        <v>270.54543664842015</v>
      </c>
      <c r="AA282" s="297">
        <f>C282+D282+I282+N282+S282+Y282+Z282</f>
        <v>478.62726833141136</v>
      </c>
      <c r="AB282" s="298">
        <v>0.25</v>
      </c>
      <c r="AC282" s="358">
        <f>AA282*(1+AB282)</f>
        <v>598.28408541426415</v>
      </c>
      <c r="AD282" s="265"/>
      <c r="AE282" s="261"/>
      <c r="AF282" s="262"/>
      <c r="AG282" s="263"/>
      <c r="AH282" s="263"/>
      <c r="AI282" s="355"/>
      <c r="AJ282" s="359"/>
      <c r="AK282" s="360"/>
      <c r="AL282" s="264"/>
      <c r="AM282" s="361"/>
      <c r="AN282" s="143"/>
      <c r="AO282" s="362"/>
      <c r="AP282" s="363"/>
      <c r="AQ282" s="363"/>
      <c r="AR282" s="363"/>
      <c r="AS282" s="363"/>
      <c r="AT282" s="363"/>
      <c r="AU282" s="362"/>
      <c r="AV282" s="362"/>
      <c r="AW282" s="364"/>
      <c r="AX282" s="272"/>
      <c r="AY282" s="272"/>
      <c r="AZ282" s="272"/>
      <c r="BA282" s="272"/>
    </row>
    <row r="283" spans="1:53" s="371" customFormat="1" ht="12.75" customHeight="1" x14ac:dyDescent="0.25">
      <c r="A283" s="1013"/>
      <c r="B283" s="299" t="s">
        <v>830</v>
      </c>
      <c r="C283" s="661"/>
      <c r="D283" s="663"/>
      <c r="E283" s="300" t="s">
        <v>2186</v>
      </c>
      <c r="F283" s="301" t="s">
        <v>1441</v>
      </c>
      <c r="G283" s="302">
        <v>5.36</v>
      </c>
      <c r="H283" s="301">
        <v>1</v>
      </c>
      <c r="I283" s="303">
        <f>G283*H283</f>
        <v>5.36</v>
      </c>
      <c r="J283" s="290" t="s">
        <v>1291</v>
      </c>
      <c r="K283" s="304">
        <v>2</v>
      </c>
      <c r="L283" s="305">
        <v>750</v>
      </c>
      <c r="M283" s="304">
        <v>2</v>
      </c>
      <c r="N283" s="433">
        <f>L283/'Исп. коэффициенты'!E52*(C287+C288)</f>
        <v>0.3817261418616496</v>
      </c>
      <c r="O283" s="291" t="s">
        <v>1667</v>
      </c>
      <c r="P283" s="291">
        <v>4500</v>
      </c>
      <c r="Q283" s="291">
        <v>19.670000000000002</v>
      </c>
      <c r="R283" s="291">
        <v>885.15</v>
      </c>
      <c r="S283" s="433">
        <f>R283/'Исп. коэффициенты'!E52*C287</f>
        <v>0.2252565963125594</v>
      </c>
      <c r="T283" s="306" t="s">
        <v>1435</v>
      </c>
      <c r="U283" s="307">
        <v>6785401.3499999996</v>
      </c>
      <c r="V283" s="308">
        <v>1.3599999999999999E-2</v>
      </c>
      <c r="W283" s="306">
        <f>'Исп. коэффициенты'!E397</f>
        <v>0</v>
      </c>
      <c r="X283" s="433">
        <f>U283*V283</f>
        <v>92281.45835999999</v>
      </c>
      <c r="Y283" s="295">
        <f>X283/'Исп. коэффициенты'!E52*C287</f>
        <v>23.484163376752846</v>
      </c>
      <c r="Z283" s="291"/>
      <c r="AA283" s="284"/>
      <c r="AB283" s="284"/>
      <c r="AC283" s="284"/>
      <c r="AD283" s="263"/>
      <c r="AE283" s="261"/>
      <c r="AF283" s="365"/>
      <c r="AG283" s="366"/>
      <c r="AH283" s="366"/>
      <c r="AI283" s="366"/>
      <c r="AJ283" s="367"/>
      <c r="AK283" s="366"/>
      <c r="AL283" s="368"/>
      <c r="AM283" s="366"/>
      <c r="AN283" s="366"/>
      <c r="AO283" s="369"/>
      <c r="AP283" s="366"/>
      <c r="AQ283" s="366"/>
      <c r="AR283" s="369"/>
      <c r="AS283" s="369"/>
      <c r="AT283" s="370"/>
      <c r="AU283" s="366"/>
      <c r="AV283" s="369"/>
      <c r="AW283" s="366"/>
      <c r="AX283" s="366"/>
      <c r="AY283" s="366"/>
      <c r="AZ283" s="366"/>
      <c r="BA283" s="366"/>
    </row>
    <row r="284" spans="1:53" s="371" customFormat="1" x14ac:dyDescent="0.25">
      <c r="A284" s="1013"/>
      <c r="B284" s="309" t="s">
        <v>1178</v>
      </c>
      <c r="C284" s="310">
        <f>C274</f>
        <v>33.667709452234185</v>
      </c>
      <c r="D284" s="663"/>
      <c r="E284" s="300" t="s">
        <v>2187</v>
      </c>
      <c r="F284" s="301" t="s">
        <v>1</v>
      </c>
      <c r="G284" s="302">
        <v>6.3E-2</v>
      </c>
      <c r="H284" s="301">
        <v>5</v>
      </c>
      <c r="I284" s="303">
        <f>G284*H284</f>
        <v>0.315</v>
      </c>
      <c r="J284" s="290" t="s">
        <v>1445</v>
      </c>
      <c r="K284" s="292">
        <v>2</v>
      </c>
      <c r="L284" s="311">
        <v>95</v>
      </c>
      <c r="M284" s="304">
        <v>2</v>
      </c>
      <c r="N284" s="433">
        <f>L284/'Исп. коэффициенты'!E52*(C287+C288)</f>
        <v>4.8351977969142285E-2</v>
      </c>
      <c r="O284" s="291" t="s">
        <v>1668</v>
      </c>
      <c r="P284" s="291">
        <v>6750</v>
      </c>
      <c r="Q284" s="291">
        <v>19.670000000000002</v>
      </c>
      <c r="R284" s="291">
        <v>1327.73</v>
      </c>
      <c r="S284" s="433">
        <f>R284/'Исп. коэффициенты'!E52*C287</f>
        <v>0.337886166889312</v>
      </c>
      <c r="T284" s="291"/>
      <c r="U284" s="291"/>
      <c r="V284" s="291"/>
      <c r="W284" s="372"/>
      <c r="X284" s="291"/>
      <c r="Y284" s="291"/>
      <c r="Z284" s="291"/>
      <c r="AA284" s="284"/>
      <c r="AB284" s="284"/>
      <c r="AC284" s="284"/>
      <c r="AD284" s="263"/>
      <c r="AE284" s="261"/>
      <c r="AF284" s="365"/>
      <c r="AG284" s="366"/>
      <c r="AH284" s="366"/>
      <c r="AI284" s="366"/>
      <c r="AJ284" s="367"/>
      <c r="AK284" s="366"/>
      <c r="AL284" s="368"/>
      <c r="AM284" s="373"/>
      <c r="AN284" s="366"/>
      <c r="AO284" s="369"/>
      <c r="AP284" s="366"/>
      <c r="AQ284" s="366"/>
      <c r="AR284" s="369"/>
      <c r="AS284" s="369"/>
      <c r="AT284" s="366"/>
      <c r="AU284" s="366"/>
      <c r="AV284" s="369"/>
      <c r="AW284" s="366"/>
      <c r="AX284" s="366"/>
      <c r="AY284" s="366"/>
      <c r="AZ284" s="366"/>
      <c r="BA284" s="366"/>
    </row>
    <row r="285" spans="1:53" s="371" customFormat="1" ht="12.75" customHeight="1" x14ac:dyDescent="0.25">
      <c r="A285" s="1013"/>
      <c r="B285" s="286" t="s">
        <v>1179</v>
      </c>
      <c r="C285" s="661">
        <f>C275</f>
        <v>19.495759833054819</v>
      </c>
      <c r="D285" s="663"/>
      <c r="E285" s="300" t="s">
        <v>2112</v>
      </c>
      <c r="F285" s="301" t="s">
        <v>1</v>
      </c>
      <c r="G285" s="302">
        <v>0.47</v>
      </c>
      <c r="H285" s="302">
        <v>10</v>
      </c>
      <c r="I285" s="303">
        <f>G285*H285</f>
        <v>4.6999999999999993</v>
      </c>
      <c r="J285" s="290" t="s">
        <v>1513</v>
      </c>
      <c r="K285" s="292">
        <v>2</v>
      </c>
      <c r="L285" s="292">
        <v>25</v>
      </c>
      <c r="M285" s="304">
        <v>0.5</v>
      </c>
      <c r="N285" s="433">
        <f>L285/'Исп. коэффициенты'!E52*(C287+C288)</f>
        <v>1.2724204728721654E-2</v>
      </c>
      <c r="O285" s="291"/>
      <c r="P285" s="291"/>
      <c r="Q285" s="372"/>
      <c r="R285" s="291"/>
      <c r="S285" s="291"/>
      <c r="T285" s="291"/>
      <c r="U285" s="291"/>
      <c r="V285" s="291"/>
      <c r="W285" s="372"/>
      <c r="X285" s="291"/>
      <c r="Y285" s="291"/>
      <c r="Z285" s="291"/>
      <c r="AA285" s="284"/>
      <c r="AB285" s="284"/>
      <c r="AC285" s="284"/>
      <c r="AD285" s="263"/>
      <c r="AE285" s="261"/>
      <c r="AF285" s="365"/>
      <c r="AG285" s="366"/>
      <c r="AH285" s="366"/>
      <c r="AI285" s="366"/>
      <c r="AJ285" s="367"/>
      <c r="AK285" s="366"/>
      <c r="AL285" s="368"/>
      <c r="AM285" s="366"/>
      <c r="AN285" s="366"/>
      <c r="AO285" s="369"/>
      <c r="AP285" s="366"/>
      <c r="AQ285" s="366"/>
      <c r="AR285" s="369"/>
      <c r="AS285" s="369"/>
      <c r="AT285" s="366"/>
      <c r="AU285" s="366"/>
      <c r="AV285" s="369"/>
      <c r="AW285" s="366"/>
      <c r="AX285" s="366"/>
      <c r="AY285" s="366"/>
      <c r="AZ285" s="366"/>
      <c r="BA285" s="366"/>
    </row>
    <row r="286" spans="1:53" s="371" customFormat="1" ht="12.75" customHeight="1" x14ac:dyDescent="0.25">
      <c r="A286" s="1013"/>
      <c r="B286" s="286" t="s">
        <v>831</v>
      </c>
      <c r="C286" s="313"/>
      <c r="D286" s="663"/>
      <c r="E286" s="300" t="s">
        <v>9</v>
      </c>
      <c r="F286" s="376" t="s">
        <v>1441</v>
      </c>
      <c r="G286" s="302">
        <v>0.68</v>
      </c>
      <c r="H286" s="301">
        <v>1</v>
      </c>
      <c r="I286" s="303">
        <f t="shared" ref="I286" si="27">G286*H286</f>
        <v>0.68</v>
      </c>
      <c r="J286" s="290"/>
      <c r="K286" s="374"/>
      <c r="L286" s="292"/>
      <c r="M286" s="292"/>
      <c r="N286" s="292"/>
      <c r="O286" s="291"/>
      <c r="P286" s="291"/>
      <c r="Q286" s="372"/>
      <c r="R286" s="291"/>
      <c r="S286" s="291"/>
      <c r="T286" s="291"/>
      <c r="U286" s="291"/>
      <c r="V286" s="291"/>
      <c r="W286" s="372"/>
      <c r="X286" s="291"/>
      <c r="Y286" s="291"/>
      <c r="Z286" s="291"/>
      <c r="AA286" s="284"/>
      <c r="AB286" s="284"/>
      <c r="AC286" s="284"/>
      <c r="AD286" s="263"/>
      <c r="AE286" s="261"/>
      <c r="AF286" s="365"/>
      <c r="AG286" s="366"/>
      <c r="AH286" s="366"/>
      <c r="AI286" s="366"/>
      <c r="AJ286" s="367"/>
      <c r="AK286" s="366"/>
      <c r="AL286" s="368"/>
      <c r="AM286" s="366"/>
      <c r="AN286" s="366"/>
      <c r="AO286" s="369"/>
      <c r="AP286" s="366"/>
      <c r="AQ286" s="366"/>
      <c r="AR286" s="369"/>
      <c r="AS286" s="369"/>
      <c r="AT286" s="366"/>
      <c r="AU286" s="366"/>
      <c r="AV286" s="369"/>
      <c r="AW286" s="366"/>
      <c r="AX286" s="366"/>
      <c r="AY286" s="366"/>
      <c r="AZ286" s="366"/>
      <c r="BA286" s="366"/>
    </row>
    <row r="287" spans="1:53" s="371" customFormat="1" ht="12.75" customHeight="1" x14ac:dyDescent="0.25">
      <c r="A287" s="1013"/>
      <c r="B287" s="309" t="s">
        <v>1178</v>
      </c>
      <c r="C287" s="314">
        <v>2.7</v>
      </c>
      <c r="D287" s="663"/>
      <c r="E287" s="300"/>
      <c r="F287" s="301"/>
      <c r="G287" s="302"/>
      <c r="H287" s="301"/>
      <c r="I287" s="303"/>
      <c r="J287" s="290"/>
      <c r="K287" s="374"/>
      <c r="L287" s="292"/>
      <c r="M287" s="292"/>
      <c r="N287" s="292"/>
      <c r="O287" s="291"/>
      <c r="P287" s="291"/>
      <c r="Q287" s="372"/>
      <c r="R287" s="291"/>
      <c r="S287" s="291"/>
      <c r="T287" s="291"/>
      <c r="U287" s="291"/>
      <c r="V287" s="291"/>
      <c r="W287" s="372"/>
      <c r="X287" s="291"/>
      <c r="Y287" s="291"/>
      <c r="Z287" s="291"/>
      <c r="AA287" s="284"/>
      <c r="AB287" s="284"/>
      <c r="AC287" s="284"/>
      <c r="AD287" s="263"/>
      <c r="AE287" s="261"/>
      <c r="AF287" s="365"/>
      <c r="AG287" s="366"/>
      <c r="AH287" s="366"/>
      <c r="AI287" s="366"/>
      <c r="AJ287" s="375"/>
      <c r="AK287" s="366"/>
      <c r="AL287" s="368"/>
      <c r="AM287" s="366"/>
      <c r="AN287" s="366"/>
      <c r="AO287" s="369"/>
      <c r="AP287" s="366"/>
      <c r="AQ287" s="366"/>
      <c r="AR287" s="369"/>
      <c r="AS287" s="369"/>
      <c r="AT287" s="366"/>
      <c r="AU287" s="366"/>
      <c r="AV287" s="369"/>
      <c r="AW287" s="366"/>
      <c r="AX287" s="366"/>
      <c r="AY287" s="366"/>
      <c r="AZ287" s="366"/>
      <c r="BA287" s="366"/>
    </row>
    <row r="288" spans="1:53" s="371" customFormat="1" ht="12.75" customHeight="1" x14ac:dyDescent="0.25">
      <c r="A288" s="1013"/>
      <c r="B288" s="286" t="s">
        <v>1179</v>
      </c>
      <c r="C288" s="314">
        <v>2.7</v>
      </c>
      <c r="D288" s="663"/>
      <c r="E288" s="300"/>
      <c r="F288" s="376"/>
      <c r="G288" s="302"/>
      <c r="H288" s="301"/>
      <c r="I288" s="303"/>
      <c r="J288" s="290"/>
      <c r="K288" s="374"/>
      <c r="L288" s="292"/>
      <c r="M288" s="292"/>
      <c r="N288" s="292"/>
      <c r="O288" s="291"/>
      <c r="P288" s="291"/>
      <c r="Q288" s="372"/>
      <c r="R288" s="291"/>
      <c r="S288" s="291"/>
      <c r="T288" s="291"/>
      <c r="U288" s="291"/>
      <c r="V288" s="291"/>
      <c r="W288" s="372"/>
      <c r="X288" s="291"/>
      <c r="Y288" s="291"/>
      <c r="Z288" s="291"/>
      <c r="AA288" s="284"/>
      <c r="AB288" s="284"/>
      <c r="AC288" s="284"/>
      <c r="AD288" s="263"/>
      <c r="AE288" s="261"/>
      <c r="AF288" s="365"/>
      <c r="AG288" s="366"/>
      <c r="AH288" s="366"/>
      <c r="AI288" s="366"/>
      <c r="AJ288" s="375"/>
      <c r="AK288" s="366"/>
      <c r="AL288" s="368"/>
      <c r="AM288" s="366"/>
      <c r="AN288" s="366"/>
      <c r="AO288" s="369"/>
      <c r="AP288" s="366"/>
      <c r="AQ288" s="366"/>
      <c r="AR288" s="369"/>
      <c r="AS288" s="369"/>
      <c r="AT288" s="366"/>
      <c r="AU288" s="366"/>
      <c r="AV288" s="369"/>
      <c r="AW288" s="366"/>
      <c r="AX288" s="366"/>
      <c r="AY288" s="366"/>
      <c r="AZ288" s="366"/>
      <c r="BA288" s="366"/>
    </row>
    <row r="289" spans="1:53" s="371" customFormat="1" ht="12.75" customHeight="1" x14ac:dyDescent="0.25">
      <c r="A289" s="1013"/>
      <c r="B289" s="315" t="s">
        <v>1181</v>
      </c>
      <c r="C289" s="661">
        <f>C284*C287+C285*C288</f>
        <v>143.54136707028033</v>
      </c>
      <c r="D289" s="663"/>
      <c r="E289" s="300"/>
      <c r="F289" s="376"/>
      <c r="G289" s="302"/>
      <c r="H289" s="301"/>
      <c r="I289" s="303"/>
      <c r="J289" s="290"/>
      <c r="K289" s="374"/>
      <c r="L289" s="292"/>
      <c r="M289" s="292"/>
      <c r="N289" s="292"/>
      <c r="O289" s="291"/>
      <c r="P289" s="291"/>
      <c r="Q289" s="372"/>
      <c r="R289" s="291"/>
      <c r="S289" s="291"/>
      <c r="T289" s="291"/>
      <c r="U289" s="291"/>
      <c r="V289" s="291"/>
      <c r="W289" s="372"/>
      <c r="X289" s="291"/>
      <c r="Y289" s="291"/>
      <c r="Z289" s="291"/>
      <c r="AA289" s="284"/>
      <c r="AB289" s="284"/>
      <c r="AC289" s="284"/>
      <c r="AD289" s="263"/>
      <c r="AE289" s="261"/>
      <c r="AF289" s="365"/>
      <c r="AG289" s="366"/>
      <c r="AH289" s="366"/>
      <c r="AI289" s="366"/>
      <c r="AJ289" s="367"/>
      <c r="AK289" s="366"/>
      <c r="AL289" s="368"/>
      <c r="AM289" s="366"/>
      <c r="AN289" s="366"/>
      <c r="AO289" s="369"/>
      <c r="AP289" s="366"/>
      <c r="AQ289" s="366"/>
      <c r="AR289" s="369"/>
      <c r="AS289" s="369"/>
      <c r="AT289" s="366"/>
      <c r="AU289" s="366"/>
      <c r="AV289" s="369"/>
      <c r="AW289" s="366"/>
      <c r="AX289" s="366"/>
      <c r="AY289" s="366"/>
      <c r="AZ289" s="366"/>
      <c r="BA289" s="366"/>
    </row>
    <row r="290" spans="1:53" s="371" customFormat="1" ht="12.75" customHeight="1" x14ac:dyDescent="0.25">
      <c r="A290" s="1014"/>
      <c r="B290" s="315"/>
      <c r="C290" s="314"/>
      <c r="D290" s="664"/>
      <c r="E290" s="300"/>
      <c r="F290" s="376"/>
      <c r="G290" s="302"/>
      <c r="H290" s="301"/>
      <c r="I290" s="303"/>
      <c r="J290" s="290"/>
      <c r="K290" s="374"/>
      <c r="L290" s="292"/>
      <c r="M290" s="292"/>
      <c r="N290" s="292"/>
      <c r="O290" s="291"/>
      <c r="P290" s="291"/>
      <c r="Q290" s="372"/>
      <c r="R290" s="291"/>
      <c r="S290" s="291"/>
      <c r="T290" s="291"/>
      <c r="U290" s="291"/>
      <c r="V290" s="291"/>
      <c r="W290" s="372"/>
      <c r="X290" s="291"/>
      <c r="Y290" s="291"/>
      <c r="Z290" s="291"/>
      <c r="AA290" s="284"/>
      <c r="AB290" s="284"/>
      <c r="AC290" s="284"/>
      <c r="AD290" s="263"/>
      <c r="AE290" s="261"/>
      <c r="AF290" s="365"/>
      <c r="AG290" s="366"/>
      <c r="AH290" s="366"/>
      <c r="AI290" s="366"/>
      <c r="AJ290" s="375"/>
      <c r="AK290" s="366"/>
      <c r="AL290" s="368"/>
      <c r="AM290" s="366"/>
      <c r="AN290" s="366"/>
      <c r="AO290" s="369"/>
      <c r="AP290" s="366"/>
      <c r="AQ290" s="366"/>
      <c r="AR290" s="369"/>
      <c r="AS290" s="369"/>
      <c r="AT290" s="366"/>
      <c r="AU290" s="366"/>
      <c r="AV290" s="369"/>
      <c r="AW290" s="366"/>
      <c r="AX290" s="366"/>
      <c r="AY290" s="366"/>
      <c r="AZ290" s="366"/>
      <c r="BA290" s="366"/>
    </row>
    <row r="291" spans="1:53" ht="56.25" customHeight="1" x14ac:dyDescent="0.25">
      <c r="A291" s="1012" t="s">
        <v>1746</v>
      </c>
      <c r="B291" s="438" t="s">
        <v>1745</v>
      </c>
      <c r="C291" s="661"/>
      <c r="D291" s="287"/>
      <c r="E291" s="278" t="s">
        <v>488</v>
      </c>
      <c r="F291" s="279" t="s">
        <v>837</v>
      </c>
      <c r="G291" s="661" t="s">
        <v>489</v>
      </c>
      <c r="H291" s="278" t="s">
        <v>1170</v>
      </c>
      <c r="I291" s="279" t="s">
        <v>838</v>
      </c>
      <c r="J291" s="280" t="s">
        <v>1171</v>
      </c>
      <c r="K291" s="280" t="s">
        <v>490</v>
      </c>
      <c r="L291" s="281" t="s">
        <v>489</v>
      </c>
      <c r="M291" s="280" t="s">
        <v>1172</v>
      </c>
      <c r="N291" s="354" t="s">
        <v>838</v>
      </c>
      <c r="O291" s="280" t="s">
        <v>1171</v>
      </c>
      <c r="P291" s="280" t="s">
        <v>826</v>
      </c>
      <c r="Q291" s="282" t="s">
        <v>1173</v>
      </c>
      <c r="R291" s="280" t="s">
        <v>1174</v>
      </c>
      <c r="S291" s="280" t="s">
        <v>839</v>
      </c>
      <c r="T291" s="280" t="s">
        <v>1171</v>
      </c>
      <c r="U291" s="280" t="s">
        <v>1392</v>
      </c>
      <c r="V291" s="282" t="s">
        <v>1173</v>
      </c>
      <c r="W291" s="280" t="s">
        <v>841</v>
      </c>
      <c r="X291" s="280" t="s">
        <v>1394</v>
      </c>
      <c r="Y291" s="280" t="s">
        <v>839</v>
      </c>
      <c r="Z291" s="283"/>
      <c r="AA291" s="284"/>
      <c r="AB291" s="284"/>
      <c r="AC291" s="284"/>
      <c r="AD291" s="263"/>
      <c r="AQ291" s="355"/>
      <c r="AR291" s="355"/>
      <c r="AS291" s="355"/>
    </row>
    <row r="292" spans="1:53" s="270" customFormat="1" ht="12" customHeight="1" x14ac:dyDescent="0.25">
      <c r="A292" s="1013"/>
      <c r="B292" s="285" t="s">
        <v>1175</v>
      </c>
      <c r="C292" s="661">
        <f>C299</f>
        <v>53.163469285289004</v>
      </c>
      <c r="D292" s="663">
        <f>C292*$D$5</f>
        <v>10.739020795628379</v>
      </c>
      <c r="E292" s="286" t="s">
        <v>1176</v>
      </c>
      <c r="F292" s="356"/>
      <c r="G292" s="288"/>
      <c r="H292" s="288"/>
      <c r="I292" s="289">
        <f>SUM(I293:I300)</f>
        <v>11.055</v>
      </c>
      <c r="J292" s="290" t="s">
        <v>1176</v>
      </c>
      <c r="K292" s="357"/>
      <c r="L292" s="291"/>
      <c r="M292" s="291"/>
      <c r="N292" s="433">
        <f>SUM(N293:N300)</f>
        <v>0.16400086094796795</v>
      </c>
      <c r="O292" s="291" t="s">
        <v>1176</v>
      </c>
      <c r="P292" s="291"/>
      <c r="Q292" s="372"/>
      <c r="R292" s="294"/>
      <c r="S292" s="433">
        <f>SUM(S293:S300)</f>
        <v>0.20857139377847089</v>
      </c>
      <c r="T292" s="291" t="s">
        <v>1176</v>
      </c>
      <c r="U292" s="307"/>
      <c r="V292" s="308"/>
      <c r="W292" s="306"/>
      <c r="X292" s="292"/>
      <c r="Y292" s="433">
        <f>SUM(Y293:Y300)</f>
        <v>8.6978382876862383</v>
      </c>
      <c r="Z292" s="296">
        <f>(C292+D292+I292+N292+Y292+S292)*$Z$5</f>
        <v>109.25204224183659</v>
      </c>
      <c r="AA292" s="297">
        <f>C292+D292+I292+N292+S292+Y292+Z292</f>
        <v>193.27994286516665</v>
      </c>
      <c r="AB292" s="298">
        <v>0.25</v>
      </c>
      <c r="AC292" s="358">
        <f>AA292*(1+AB292)</f>
        <v>241.5999285814583</v>
      </c>
      <c r="AD292" s="265"/>
      <c r="AE292" s="261"/>
      <c r="AF292" s="262"/>
      <c r="AG292" s="263"/>
      <c r="AH292" s="263"/>
      <c r="AI292" s="355"/>
      <c r="AJ292" s="359"/>
      <c r="AK292" s="360"/>
      <c r="AL292" s="264"/>
      <c r="AM292" s="361"/>
      <c r="AN292" s="143"/>
      <c r="AO292" s="362"/>
      <c r="AP292" s="363"/>
      <c r="AQ292" s="363"/>
      <c r="AR292" s="363"/>
      <c r="AS292" s="363"/>
      <c r="AT292" s="363"/>
      <c r="AU292" s="362"/>
      <c r="AV292" s="362"/>
      <c r="AW292" s="364"/>
      <c r="AX292" s="272"/>
      <c r="AY292" s="272"/>
      <c r="AZ292" s="272"/>
      <c r="BA292" s="272"/>
    </row>
    <row r="293" spans="1:53" s="371" customFormat="1" ht="12.75" customHeight="1" x14ac:dyDescent="0.25">
      <c r="A293" s="1013"/>
      <c r="B293" s="299" t="s">
        <v>830</v>
      </c>
      <c r="C293" s="661"/>
      <c r="D293" s="663"/>
      <c r="E293" s="300" t="s">
        <v>2186</v>
      </c>
      <c r="F293" s="301" t="s">
        <v>1441</v>
      </c>
      <c r="G293" s="302">
        <v>5.36</v>
      </c>
      <c r="H293" s="301">
        <v>1</v>
      </c>
      <c r="I293" s="303">
        <f>G293*H293</f>
        <v>5.36</v>
      </c>
      <c r="J293" s="290" t="s">
        <v>1291</v>
      </c>
      <c r="K293" s="304">
        <v>2</v>
      </c>
      <c r="L293" s="305">
        <v>750</v>
      </c>
      <c r="M293" s="304">
        <v>2</v>
      </c>
      <c r="N293" s="433">
        <f>L293/'Исп. коэффициенты'!E52*(C297+C298)</f>
        <v>0.14138005254135169</v>
      </c>
      <c r="O293" s="291" t="s">
        <v>1667</v>
      </c>
      <c r="P293" s="291">
        <v>4500</v>
      </c>
      <c r="Q293" s="291">
        <v>19.670000000000002</v>
      </c>
      <c r="R293" s="291">
        <v>885.15</v>
      </c>
      <c r="S293" s="433">
        <f>R293/'Исп. коэффициенты'!E52*C297</f>
        <v>8.3428369004651629E-2</v>
      </c>
      <c r="T293" s="306" t="s">
        <v>1435</v>
      </c>
      <c r="U293" s="307">
        <v>6785401.3499999996</v>
      </c>
      <c r="V293" s="308">
        <v>1.3599999999999999E-2</v>
      </c>
      <c r="W293" s="306">
        <f>'Исп. коэффициенты'!E124</f>
        <v>2978.5</v>
      </c>
      <c r="X293" s="433">
        <f>U293*V293</f>
        <v>92281.45835999999</v>
      </c>
      <c r="Y293" s="295">
        <f>X293/'Исп. коэффициенты'!E52*C297</f>
        <v>8.6978382876862383</v>
      </c>
      <c r="Z293" s="291"/>
      <c r="AA293" s="284"/>
      <c r="AB293" s="284"/>
      <c r="AC293" s="284"/>
      <c r="AD293" s="263"/>
      <c r="AE293" s="261"/>
      <c r="AF293" s="365"/>
      <c r="AG293" s="366"/>
      <c r="AH293" s="366"/>
      <c r="AI293" s="366"/>
      <c r="AJ293" s="367"/>
      <c r="AK293" s="366"/>
      <c r="AL293" s="368"/>
      <c r="AM293" s="366"/>
      <c r="AN293" s="366"/>
      <c r="AO293" s="369"/>
      <c r="AP293" s="366"/>
      <c r="AQ293" s="366"/>
      <c r="AR293" s="369"/>
      <c r="AS293" s="369"/>
      <c r="AT293" s="370"/>
      <c r="AU293" s="366"/>
      <c r="AV293" s="369"/>
      <c r="AW293" s="366"/>
      <c r="AX293" s="366"/>
      <c r="AY293" s="366"/>
      <c r="AZ293" s="366"/>
      <c r="BA293" s="366"/>
    </row>
    <row r="294" spans="1:53" s="371" customFormat="1" x14ac:dyDescent="0.25">
      <c r="A294" s="1013"/>
      <c r="B294" s="309" t="s">
        <v>1178</v>
      </c>
      <c r="C294" s="310">
        <f>C284</f>
        <v>33.667709452234185</v>
      </c>
      <c r="D294" s="663"/>
      <c r="E294" s="300" t="s">
        <v>2187</v>
      </c>
      <c r="F294" s="301" t="s">
        <v>1</v>
      </c>
      <c r="G294" s="302">
        <v>6.3E-2</v>
      </c>
      <c r="H294" s="301">
        <v>5</v>
      </c>
      <c r="I294" s="303">
        <f>G294*H294</f>
        <v>0.315</v>
      </c>
      <c r="J294" s="290" t="s">
        <v>1445</v>
      </c>
      <c r="K294" s="292">
        <v>2</v>
      </c>
      <c r="L294" s="311">
        <v>95</v>
      </c>
      <c r="M294" s="304">
        <v>2</v>
      </c>
      <c r="N294" s="433">
        <f>L294/'Исп. коэффициенты'!E52*(C297+C298)</f>
        <v>1.7908139988571214E-2</v>
      </c>
      <c r="O294" s="291" t="s">
        <v>1668</v>
      </c>
      <c r="P294" s="291">
        <v>6750</v>
      </c>
      <c r="Q294" s="291">
        <v>19.670000000000002</v>
      </c>
      <c r="R294" s="291">
        <v>1327.73</v>
      </c>
      <c r="S294" s="433">
        <f>R294/'Исп. коэффициенты'!E52*C297</f>
        <v>0.12514302477381925</v>
      </c>
      <c r="T294" s="291"/>
      <c r="U294" s="291"/>
      <c r="V294" s="291"/>
      <c r="W294" s="372"/>
      <c r="X294" s="291"/>
      <c r="Y294" s="291"/>
      <c r="Z294" s="291"/>
      <c r="AA294" s="284"/>
      <c r="AB294" s="284"/>
      <c r="AC294" s="284"/>
      <c r="AD294" s="263"/>
      <c r="AE294" s="261"/>
      <c r="AF294" s="365"/>
      <c r="AG294" s="366"/>
      <c r="AH294" s="366"/>
      <c r="AI294" s="366"/>
      <c r="AJ294" s="367"/>
      <c r="AK294" s="366"/>
      <c r="AL294" s="368"/>
      <c r="AM294" s="373"/>
      <c r="AN294" s="366"/>
      <c r="AO294" s="369"/>
      <c r="AP294" s="366"/>
      <c r="AQ294" s="366"/>
      <c r="AR294" s="369"/>
      <c r="AS294" s="369"/>
      <c r="AT294" s="366"/>
      <c r="AU294" s="366"/>
      <c r="AV294" s="369"/>
      <c r="AW294" s="366"/>
      <c r="AX294" s="366"/>
      <c r="AY294" s="366"/>
      <c r="AZ294" s="366"/>
      <c r="BA294" s="366"/>
    </row>
    <row r="295" spans="1:53" s="371" customFormat="1" ht="12.75" customHeight="1" x14ac:dyDescent="0.25">
      <c r="A295" s="1013"/>
      <c r="B295" s="286" t="s">
        <v>1179</v>
      </c>
      <c r="C295" s="661">
        <f>C285</f>
        <v>19.495759833054819</v>
      </c>
      <c r="D295" s="663"/>
      <c r="E295" s="300" t="s">
        <v>2112</v>
      </c>
      <c r="F295" s="301" t="s">
        <v>1</v>
      </c>
      <c r="G295" s="302">
        <v>0.47</v>
      </c>
      <c r="H295" s="302">
        <v>10</v>
      </c>
      <c r="I295" s="303">
        <f>G295*H295</f>
        <v>4.6999999999999993</v>
      </c>
      <c r="J295" s="290" t="s">
        <v>1513</v>
      </c>
      <c r="K295" s="292">
        <v>2</v>
      </c>
      <c r="L295" s="292">
        <v>25</v>
      </c>
      <c r="M295" s="304">
        <v>0.5</v>
      </c>
      <c r="N295" s="433">
        <f>L295/'Исп. коэффициенты'!E52*(C297+C298)</f>
        <v>4.7126684180450566E-3</v>
      </c>
      <c r="O295" s="291"/>
      <c r="P295" s="291"/>
      <c r="Q295" s="372"/>
      <c r="R295" s="291"/>
      <c r="S295" s="291"/>
      <c r="T295" s="291"/>
      <c r="U295" s="291"/>
      <c r="V295" s="291"/>
      <c r="W295" s="372"/>
      <c r="X295" s="291"/>
      <c r="Y295" s="291"/>
      <c r="Z295" s="291"/>
      <c r="AA295" s="284"/>
      <c r="AB295" s="284"/>
      <c r="AC295" s="284"/>
      <c r="AD295" s="263"/>
      <c r="AE295" s="261"/>
      <c r="AF295" s="365"/>
      <c r="AG295" s="366"/>
      <c r="AH295" s="366"/>
      <c r="AI295" s="366"/>
      <c r="AJ295" s="367"/>
      <c r="AK295" s="366"/>
      <c r="AL295" s="368"/>
      <c r="AM295" s="366"/>
      <c r="AN295" s="366"/>
      <c r="AO295" s="369"/>
      <c r="AP295" s="366"/>
      <c r="AQ295" s="366"/>
      <c r="AR295" s="369"/>
      <c r="AS295" s="369"/>
      <c r="AT295" s="366"/>
      <c r="AU295" s="366"/>
      <c r="AV295" s="369"/>
      <c r="AW295" s="366"/>
      <c r="AX295" s="366"/>
      <c r="AY295" s="366"/>
      <c r="AZ295" s="366"/>
      <c r="BA295" s="366"/>
    </row>
    <row r="296" spans="1:53" s="371" customFormat="1" ht="12.75" customHeight="1" x14ac:dyDescent="0.25">
      <c r="A296" s="1013"/>
      <c r="B296" s="286" t="s">
        <v>831</v>
      </c>
      <c r="C296" s="313"/>
      <c r="D296" s="663"/>
      <c r="E296" s="300" t="s">
        <v>9</v>
      </c>
      <c r="F296" s="376" t="s">
        <v>1441</v>
      </c>
      <c r="G296" s="302">
        <v>0.68</v>
      </c>
      <c r="H296" s="301">
        <v>1</v>
      </c>
      <c r="I296" s="303">
        <f t="shared" ref="I296" si="28">G296*H296</f>
        <v>0.68</v>
      </c>
      <c r="J296" s="290"/>
      <c r="K296" s="374"/>
      <c r="L296" s="292"/>
      <c r="M296" s="292"/>
      <c r="N296" s="292"/>
      <c r="O296" s="291"/>
      <c r="P296" s="291"/>
      <c r="Q296" s="372"/>
      <c r="R296" s="291"/>
      <c r="S296" s="291"/>
      <c r="T296" s="291"/>
      <c r="U296" s="291"/>
      <c r="V296" s="291"/>
      <c r="W296" s="372"/>
      <c r="X296" s="291"/>
      <c r="Y296" s="291"/>
      <c r="Z296" s="291"/>
      <c r="AA296" s="284"/>
      <c r="AB296" s="284"/>
      <c r="AC296" s="284"/>
      <c r="AD296" s="263"/>
      <c r="AE296" s="261"/>
      <c r="AF296" s="365"/>
      <c r="AG296" s="366"/>
      <c r="AH296" s="366"/>
      <c r="AI296" s="366"/>
      <c r="AJ296" s="367"/>
      <c r="AK296" s="366"/>
      <c r="AL296" s="368"/>
      <c r="AM296" s="366"/>
      <c r="AN296" s="366"/>
      <c r="AO296" s="369"/>
      <c r="AP296" s="366"/>
      <c r="AQ296" s="366"/>
      <c r="AR296" s="369"/>
      <c r="AS296" s="369"/>
      <c r="AT296" s="366"/>
      <c r="AU296" s="366"/>
      <c r="AV296" s="369"/>
      <c r="AW296" s="366"/>
      <c r="AX296" s="366"/>
      <c r="AY296" s="366"/>
      <c r="AZ296" s="366"/>
      <c r="BA296" s="366"/>
    </row>
    <row r="297" spans="1:53" s="371" customFormat="1" ht="12.75" customHeight="1" x14ac:dyDescent="0.25">
      <c r="A297" s="1013"/>
      <c r="B297" s="309" t="s">
        <v>1178</v>
      </c>
      <c r="C297" s="314">
        <v>1</v>
      </c>
      <c r="D297" s="663"/>
      <c r="E297" s="300"/>
      <c r="F297" s="301"/>
      <c r="G297" s="302"/>
      <c r="H297" s="301"/>
      <c r="I297" s="303"/>
      <c r="J297" s="290"/>
      <c r="K297" s="374"/>
      <c r="L297" s="292"/>
      <c r="M297" s="292"/>
      <c r="N297" s="292"/>
      <c r="O297" s="291"/>
      <c r="P297" s="291"/>
      <c r="Q297" s="372"/>
      <c r="R297" s="291"/>
      <c r="S297" s="291"/>
      <c r="T297" s="291"/>
      <c r="U297" s="291"/>
      <c r="V297" s="291"/>
      <c r="W297" s="372"/>
      <c r="X297" s="291"/>
      <c r="Y297" s="291"/>
      <c r="Z297" s="291"/>
      <c r="AA297" s="284"/>
      <c r="AB297" s="284"/>
      <c r="AC297" s="284"/>
      <c r="AD297" s="263"/>
      <c r="AE297" s="261"/>
      <c r="AF297" s="365"/>
      <c r="AG297" s="366"/>
      <c r="AH297" s="366"/>
      <c r="AI297" s="366"/>
      <c r="AJ297" s="375"/>
      <c r="AK297" s="366"/>
      <c r="AL297" s="368"/>
      <c r="AM297" s="366"/>
      <c r="AN297" s="366"/>
      <c r="AO297" s="369"/>
      <c r="AP297" s="366"/>
      <c r="AQ297" s="366"/>
      <c r="AR297" s="369"/>
      <c r="AS297" s="369"/>
      <c r="AT297" s="366"/>
      <c r="AU297" s="366"/>
      <c r="AV297" s="369"/>
      <c r="AW297" s="366"/>
      <c r="AX297" s="366"/>
      <c r="AY297" s="366"/>
      <c r="AZ297" s="366"/>
      <c r="BA297" s="366"/>
    </row>
    <row r="298" spans="1:53" s="371" customFormat="1" ht="12.75" customHeight="1" x14ac:dyDescent="0.25">
      <c r="A298" s="1013"/>
      <c r="B298" s="286" t="s">
        <v>1179</v>
      </c>
      <c r="C298" s="314">
        <v>1</v>
      </c>
      <c r="D298" s="663"/>
      <c r="E298" s="300"/>
      <c r="F298" s="376"/>
      <c r="G298" s="302"/>
      <c r="H298" s="301"/>
      <c r="I298" s="303"/>
      <c r="J298" s="290"/>
      <c r="K298" s="374"/>
      <c r="L298" s="292"/>
      <c r="M298" s="292"/>
      <c r="N298" s="292"/>
      <c r="O298" s="291"/>
      <c r="P298" s="291"/>
      <c r="Q298" s="372"/>
      <c r="R298" s="291"/>
      <c r="S298" s="291"/>
      <c r="T298" s="291"/>
      <c r="U298" s="291"/>
      <c r="V298" s="291"/>
      <c r="W298" s="372"/>
      <c r="X298" s="291"/>
      <c r="Y298" s="291"/>
      <c r="Z298" s="291"/>
      <c r="AA298" s="284"/>
      <c r="AB298" s="284"/>
      <c r="AC298" s="284"/>
      <c r="AD298" s="263"/>
      <c r="AE298" s="261"/>
      <c r="AF298" s="365"/>
      <c r="AG298" s="366"/>
      <c r="AH298" s="366"/>
      <c r="AI298" s="366"/>
      <c r="AJ298" s="375"/>
      <c r="AK298" s="366"/>
      <c r="AL298" s="368"/>
      <c r="AM298" s="366"/>
      <c r="AN298" s="366"/>
      <c r="AO298" s="369"/>
      <c r="AP298" s="366"/>
      <c r="AQ298" s="366"/>
      <c r="AR298" s="369"/>
      <c r="AS298" s="369"/>
      <c r="AT298" s="366"/>
      <c r="AU298" s="366"/>
      <c r="AV298" s="369"/>
      <c r="AW298" s="366"/>
      <c r="AX298" s="366"/>
      <c r="AY298" s="366"/>
      <c r="AZ298" s="366"/>
      <c r="BA298" s="366"/>
    </row>
    <row r="299" spans="1:53" s="371" customFormat="1" ht="12.75" customHeight="1" x14ac:dyDescent="0.25">
      <c r="A299" s="1013"/>
      <c r="B299" s="315" t="s">
        <v>1181</v>
      </c>
      <c r="C299" s="661">
        <f>C294*C297+C295*C298</f>
        <v>53.163469285289004</v>
      </c>
      <c r="D299" s="663"/>
      <c r="E299" s="300"/>
      <c r="F299" s="376"/>
      <c r="G299" s="302"/>
      <c r="H299" s="301"/>
      <c r="I299" s="303"/>
      <c r="J299" s="290"/>
      <c r="K299" s="374"/>
      <c r="L299" s="292"/>
      <c r="M299" s="292"/>
      <c r="N299" s="292"/>
      <c r="O299" s="291"/>
      <c r="P299" s="291"/>
      <c r="Q299" s="372"/>
      <c r="R299" s="291"/>
      <c r="S299" s="291"/>
      <c r="T299" s="291"/>
      <c r="U299" s="291"/>
      <c r="V299" s="291"/>
      <c r="W299" s="372"/>
      <c r="X299" s="291"/>
      <c r="Y299" s="291"/>
      <c r="Z299" s="291"/>
      <c r="AA299" s="284"/>
      <c r="AB299" s="284"/>
      <c r="AC299" s="284"/>
      <c r="AD299" s="263"/>
      <c r="AE299" s="261"/>
      <c r="AF299" s="365"/>
      <c r="AG299" s="366"/>
      <c r="AH299" s="366"/>
      <c r="AI299" s="366"/>
      <c r="AJ299" s="367"/>
      <c r="AK299" s="366"/>
      <c r="AL299" s="368"/>
      <c r="AM299" s="366"/>
      <c r="AN299" s="366"/>
      <c r="AO299" s="369"/>
      <c r="AP299" s="366"/>
      <c r="AQ299" s="366"/>
      <c r="AR299" s="369"/>
      <c r="AS299" s="369"/>
      <c r="AT299" s="366"/>
      <c r="AU299" s="366"/>
      <c r="AV299" s="369"/>
      <c r="AW299" s="366"/>
      <c r="AX299" s="366"/>
      <c r="AY299" s="366"/>
      <c r="AZ299" s="366"/>
      <c r="BA299" s="366"/>
    </row>
    <row r="300" spans="1:53" s="371" customFormat="1" ht="12.75" customHeight="1" x14ac:dyDescent="0.25">
      <c r="A300" s="1014"/>
      <c r="B300" s="315"/>
      <c r="C300" s="314"/>
      <c r="D300" s="664"/>
      <c r="E300" s="300"/>
      <c r="F300" s="376"/>
      <c r="G300" s="302"/>
      <c r="H300" s="301"/>
      <c r="I300" s="303"/>
      <c r="J300" s="290"/>
      <c r="K300" s="374"/>
      <c r="L300" s="292"/>
      <c r="M300" s="292"/>
      <c r="N300" s="292"/>
      <c r="O300" s="291"/>
      <c r="P300" s="291"/>
      <c r="Q300" s="372"/>
      <c r="R300" s="291"/>
      <c r="S300" s="291"/>
      <c r="T300" s="291"/>
      <c r="U300" s="291"/>
      <c r="V300" s="291"/>
      <c r="W300" s="372"/>
      <c r="X300" s="291"/>
      <c r="Y300" s="291"/>
      <c r="Z300" s="291"/>
      <c r="AA300" s="284"/>
      <c r="AB300" s="284"/>
      <c r="AC300" s="284"/>
      <c r="AD300" s="263"/>
      <c r="AE300" s="261"/>
      <c r="AF300" s="365"/>
      <c r="AG300" s="366"/>
      <c r="AH300" s="366"/>
      <c r="AI300" s="366"/>
      <c r="AJ300" s="375"/>
      <c r="AK300" s="366"/>
      <c r="AL300" s="368"/>
      <c r="AM300" s="366"/>
      <c r="AN300" s="366"/>
      <c r="AO300" s="369"/>
      <c r="AP300" s="366"/>
      <c r="AQ300" s="366"/>
      <c r="AR300" s="369"/>
      <c r="AS300" s="369"/>
      <c r="AT300" s="366"/>
      <c r="AU300" s="366"/>
      <c r="AV300" s="369"/>
      <c r="AW300" s="366"/>
      <c r="AX300" s="366"/>
      <c r="AY300" s="366"/>
      <c r="AZ300" s="366"/>
      <c r="BA300" s="366"/>
    </row>
  </sheetData>
  <mergeCells count="43">
    <mergeCell ref="A1:M1"/>
    <mergeCell ref="A210:AC210"/>
    <mergeCell ref="A221:A230"/>
    <mergeCell ref="A149:AC149"/>
    <mergeCell ref="A150:A159"/>
    <mergeCell ref="A38:A47"/>
    <mergeCell ref="A78:AC78"/>
    <mergeCell ref="A89:A98"/>
    <mergeCell ref="A68:A77"/>
    <mergeCell ref="A109:A118"/>
    <mergeCell ref="A7:AC7"/>
    <mergeCell ref="A180:A189"/>
    <mergeCell ref="A190:A199"/>
    <mergeCell ref="A200:A209"/>
    <mergeCell ref="A211:A220"/>
    <mergeCell ref="A139:A148"/>
    <mergeCell ref="A271:A280"/>
    <mergeCell ref="A281:A290"/>
    <mergeCell ref="A291:A300"/>
    <mergeCell ref="A129:A138"/>
    <mergeCell ref="A99:A108"/>
    <mergeCell ref="A251:A260"/>
    <mergeCell ref="A231:A240"/>
    <mergeCell ref="A241:A250"/>
    <mergeCell ref="A170:A179"/>
    <mergeCell ref="A160:A169"/>
    <mergeCell ref="A119:A128"/>
    <mergeCell ref="A8:A17"/>
    <mergeCell ref="A261:A270"/>
    <mergeCell ref="A6:AC6"/>
    <mergeCell ref="B4:C4"/>
    <mergeCell ref="J4:N5"/>
    <mergeCell ref="O4:S5"/>
    <mergeCell ref="E4:I5"/>
    <mergeCell ref="AC4:AC5"/>
    <mergeCell ref="AA4:AA5"/>
    <mergeCell ref="AB4:AB5"/>
    <mergeCell ref="T4:Y5"/>
    <mergeCell ref="A18:A27"/>
    <mergeCell ref="A79:A88"/>
    <mergeCell ref="A28:A37"/>
    <mergeCell ref="A48:A57"/>
    <mergeCell ref="A58:A67"/>
  </mergeCells>
  <phoneticPr fontId="2" type="noConversion"/>
  <pageMargins left="0.19" right="0.17" top="0.47" bottom="0.33" header="0.41" footer="0.18"/>
  <pageSetup paperSize="9" scale="52" orientation="landscape" verticalDpi="300" r:id="rId1"/>
  <headerFooter alignWithMargins="0"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A609"/>
  <sheetViews>
    <sheetView topLeftCell="A288" workbookViewId="0">
      <selection activeCell="B300" sqref="A300:XFD309"/>
    </sheetView>
  </sheetViews>
  <sheetFormatPr defaultColWidth="9.109375" defaultRowHeight="13.2" x14ac:dyDescent="0.25"/>
  <cols>
    <col min="1" max="1" width="7" style="34" customWidth="1"/>
    <col min="2" max="2" width="13.109375" style="36" customWidth="1"/>
    <col min="3" max="3" width="8.109375" style="35" customWidth="1"/>
    <col min="4" max="4" width="5.88671875" style="56" customWidth="1"/>
    <col min="5" max="5" width="15.5546875" style="36" customWidth="1"/>
    <col min="6" max="6" width="4.88671875" style="164" customWidth="1"/>
    <col min="7" max="7" width="6.44140625" style="37" customWidth="1"/>
    <col min="8" max="8" width="5.88671875" style="37" customWidth="1"/>
    <col min="9" max="9" width="6.33203125" style="3" customWidth="1"/>
    <col min="10" max="10" width="10.6640625" style="40" customWidth="1"/>
    <col min="11" max="11" width="4.109375" style="168" customWidth="1"/>
    <col min="12" max="12" width="5.5546875" style="38" customWidth="1"/>
    <col min="13" max="13" width="5" style="38" customWidth="1"/>
    <col min="14" max="14" width="5.6640625" style="38" customWidth="1"/>
    <col min="15" max="15" width="13.33203125" style="38" customWidth="1"/>
    <col min="16" max="16" width="6.88671875" style="38" customWidth="1"/>
    <col min="17" max="17" width="6" style="38" customWidth="1"/>
    <col min="18" max="18" width="7.109375" style="38" customWidth="1"/>
    <col min="19" max="19" width="6.33203125" style="38" customWidth="1"/>
    <col min="20" max="20" width="16.44140625" style="38" customWidth="1"/>
    <col min="21" max="21" width="7.33203125" style="38" customWidth="1"/>
    <col min="22" max="22" width="11.109375" style="38" customWidth="1"/>
    <col min="23" max="23" width="6.33203125" style="38" customWidth="1"/>
    <col min="24" max="24" width="7.109375" style="38" customWidth="1"/>
    <col min="25" max="25" width="6.33203125" style="38" customWidth="1"/>
    <col min="26" max="26" width="9.33203125" style="38" customWidth="1"/>
    <col min="27" max="27" width="9.6640625" style="3" hidden="1" customWidth="1"/>
    <col min="28" max="28" width="9.5546875" style="3" hidden="1" customWidth="1"/>
    <col min="29" max="29" width="10.109375" style="3" hidden="1" customWidth="1"/>
    <col min="30" max="30" width="9.109375" style="3"/>
    <col min="31" max="31" width="10.6640625" style="3" customWidth="1"/>
    <col min="32" max="32" width="10.109375" style="81" customWidth="1"/>
    <col min="33" max="33" width="9.109375" style="56"/>
    <col min="34" max="34" width="10.6640625" style="125" customWidth="1"/>
    <col min="35" max="35" width="14.33203125" style="125" customWidth="1"/>
    <col min="36" max="36" width="7.88671875" style="125" customWidth="1"/>
    <col min="37" max="37" width="8.6640625" style="125" customWidth="1"/>
    <col min="38" max="38" width="11.33203125" style="127" customWidth="1"/>
    <col min="39" max="39" width="8" style="125" customWidth="1"/>
    <col min="40" max="40" width="11.109375" style="125" customWidth="1"/>
    <col min="41" max="41" width="8.109375" style="128" customWidth="1"/>
    <col min="42" max="42" width="14" style="125" customWidth="1"/>
    <col min="43" max="43" width="13.88671875" style="125" customWidth="1"/>
    <col min="44" max="44" width="14" style="128" customWidth="1"/>
    <col min="45" max="45" width="15.44140625" style="128" hidden="1" customWidth="1"/>
    <col min="46" max="46" width="11.33203125" style="125" hidden="1" customWidth="1"/>
    <col min="47" max="47" width="12.6640625" style="125" customWidth="1"/>
    <col min="48" max="48" width="13.6640625" style="128" customWidth="1"/>
    <col min="49" max="49" width="6.44140625" style="56" hidden="1" customWidth="1"/>
    <col min="50" max="50" width="9.5546875" style="56" customWidth="1"/>
    <col min="51" max="53" width="9.109375" style="56"/>
    <col min="54" max="16384" width="9.109375" style="3"/>
  </cols>
  <sheetData>
    <row r="1" spans="1:53" ht="22.5" customHeight="1" x14ac:dyDescent="0.3">
      <c r="A1" s="1072" t="s">
        <v>846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AI1" s="126"/>
    </row>
    <row r="2" spans="1:53" ht="12.75" customHeight="1" x14ac:dyDescent="0.25">
      <c r="A2" s="39"/>
      <c r="B2" s="74" t="s">
        <v>1178</v>
      </c>
      <c r="C2" s="436">
        <f>'Заработная плата'!M79</f>
        <v>38.717865870069311</v>
      </c>
    </row>
    <row r="3" spans="1:53" ht="12.75" customHeight="1" x14ac:dyDescent="0.25">
      <c r="B3" s="57" t="s">
        <v>1179</v>
      </c>
      <c r="C3" s="436">
        <f>'Заработная плата'!M102</f>
        <v>22.420123808013045</v>
      </c>
    </row>
    <row r="4" spans="1:53" s="44" customFormat="1" ht="59.25" customHeight="1" x14ac:dyDescent="0.25">
      <c r="A4" s="41"/>
      <c r="B4" s="1073" t="s">
        <v>487</v>
      </c>
      <c r="C4" s="1117"/>
      <c r="D4" s="206" t="s">
        <v>491</v>
      </c>
      <c r="E4" s="1074" t="s">
        <v>1164</v>
      </c>
      <c r="F4" s="1075"/>
      <c r="G4" s="1075"/>
      <c r="H4" s="1075"/>
      <c r="I4" s="1064"/>
      <c r="J4" s="1066" t="s">
        <v>1165</v>
      </c>
      <c r="K4" s="1067"/>
      <c r="L4" s="1067"/>
      <c r="M4" s="1067"/>
      <c r="N4" s="1070"/>
      <c r="O4" s="1066" t="s">
        <v>492</v>
      </c>
      <c r="P4" s="1067"/>
      <c r="Q4" s="1067"/>
      <c r="R4" s="1067"/>
      <c r="S4" s="1067"/>
      <c r="T4" s="1066" t="s">
        <v>840</v>
      </c>
      <c r="U4" s="1067"/>
      <c r="V4" s="1067"/>
      <c r="W4" s="1067"/>
      <c r="X4" s="1067"/>
      <c r="Y4" s="1070"/>
      <c r="Z4" s="156" t="s">
        <v>1166</v>
      </c>
      <c r="AA4" s="1064" t="s">
        <v>827</v>
      </c>
      <c r="AB4" s="1062" t="s">
        <v>1167</v>
      </c>
      <c r="AC4" s="1062" t="s">
        <v>1168</v>
      </c>
      <c r="AD4" s="43"/>
      <c r="AF4" s="149"/>
      <c r="AG4" s="152"/>
      <c r="AH4" s="152"/>
      <c r="AI4" s="129"/>
      <c r="AJ4" s="130"/>
      <c r="AK4" s="129"/>
      <c r="AL4" s="131"/>
      <c r="AM4" s="129"/>
      <c r="AN4" s="129"/>
      <c r="AO4" s="132"/>
      <c r="AP4" s="132"/>
      <c r="AQ4" s="132"/>
      <c r="AR4" s="132"/>
      <c r="AS4" s="132"/>
      <c r="AT4" s="132"/>
      <c r="AU4" s="129"/>
      <c r="AV4" s="129"/>
      <c r="AW4" s="133"/>
      <c r="AX4" s="133"/>
      <c r="AY4" s="133"/>
      <c r="AZ4" s="133"/>
      <c r="BA4" s="133"/>
    </row>
    <row r="5" spans="1:53" s="35" customFormat="1" ht="13.5" customHeight="1" x14ac:dyDescent="0.25">
      <c r="A5" s="45"/>
      <c r="B5" s="46" t="s">
        <v>488</v>
      </c>
      <c r="C5" s="229" t="s">
        <v>1169</v>
      </c>
      <c r="D5" s="230">
        <v>0.20200000000000001</v>
      </c>
      <c r="E5" s="1076"/>
      <c r="F5" s="1077"/>
      <c r="G5" s="1077"/>
      <c r="H5" s="1077"/>
      <c r="I5" s="1065"/>
      <c r="J5" s="1068"/>
      <c r="K5" s="1069"/>
      <c r="L5" s="1069"/>
      <c r="M5" s="1069"/>
      <c r="N5" s="1071"/>
      <c r="O5" s="1068"/>
      <c r="P5" s="1069"/>
      <c r="Q5" s="1069"/>
      <c r="R5" s="1069"/>
      <c r="S5" s="1069"/>
      <c r="T5" s="1068"/>
      <c r="U5" s="1069"/>
      <c r="V5" s="1069"/>
      <c r="W5" s="1069"/>
      <c r="X5" s="1069"/>
      <c r="Y5" s="1071"/>
      <c r="Z5" s="157">
        <f>'Исп. коэффициенты'!C91</f>
        <v>1.3001876927947804</v>
      </c>
      <c r="AA5" s="1065"/>
      <c r="AB5" s="1063"/>
      <c r="AC5" s="1063"/>
      <c r="AD5" s="48"/>
      <c r="AE5" s="49"/>
      <c r="AF5" s="150"/>
      <c r="AG5" s="81"/>
      <c r="AH5" s="134"/>
      <c r="AI5" s="135"/>
      <c r="AJ5" s="136"/>
      <c r="AK5" s="134"/>
      <c r="AL5" s="137"/>
      <c r="AM5" s="129"/>
      <c r="AN5" s="129"/>
      <c r="AO5" s="132"/>
      <c r="AP5" s="132"/>
      <c r="AQ5" s="138"/>
      <c r="AR5" s="138"/>
      <c r="AS5" s="138"/>
      <c r="AT5" s="132"/>
      <c r="AU5" s="129"/>
      <c r="AV5" s="130"/>
      <c r="AW5" s="81"/>
      <c r="AX5" s="81"/>
      <c r="AY5" s="81"/>
      <c r="AZ5" s="81"/>
      <c r="BA5" s="81"/>
    </row>
    <row r="6" spans="1:53" s="35" customFormat="1" ht="17.25" customHeight="1" x14ac:dyDescent="0.25">
      <c r="A6" s="1118" t="s">
        <v>1182</v>
      </c>
      <c r="B6" s="1119"/>
      <c r="C6" s="1119"/>
      <c r="D6" s="1119"/>
      <c r="E6" s="1119"/>
      <c r="F6" s="1119"/>
      <c r="G6" s="1119"/>
      <c r="H6" s="1119"/>
      <c r="I6" s="1119"/>
      <c r="J6" s="1119"/>
      <c r="K6" s="1119"/>
      <c r="L6" s="1119"/>
      <c r="M6" s="1119"/>
      <c r="N6" s="1119"/>
      <c r="O6" s="1119"/>
      <c r="P6" s="1119"/>
      <c r="Q6" s="1119"/>
      <c r="R6" s="1119"/>
      <c r="S6" s="1119"/>
      <c r="T6" s="1120"/>
      <c r="U6" s="1120"/>
      <c r="V6" s="1120"/>
      <c r="W6" s="1120"/>
      <c r="X6" s="1120"/>
      <c r="Y6" s="1120"/>
      <c r="Z6" s="1120"/>
      <c r="AA6" s="1119"/>
      <c r="AB6" s="1119"/>
      <c r="AC6" s="1121"/>
      <c r="AD6" s="48"/>
      <c r="AE6" s="49"/>
      <c r="AF6" s="150"/>
      <c r="AG6" s="81"/>
      <c r="AH6" s="134"/>
      <c r="AI6" s="135"/>
      <c r="AJ6" s="136"/>
      <c r="AK6" s="134"/>
      <c r="AL6" s="137"/>
      <c r="AM6" s="129"/>
      <c r="AN6" s="129"/>
      <c r="AO6" s="132"/>
      <c r="AP6" s="132"/>
      <c r="AQ6" s="138"/>
      <c r="AR6" s="138"/>
      <c r="AS6" s="138"/>
      <c r="AT6" s="132"/>
      <c r="AU6" s="129"/>
      <c r="AV6" s="130"/>
      <c r="AW6" s="81"/>
      <c r="AX6" s="81"/>
      <c r="AY6" s="81"/>
      <c r="AZ6" s="81"/>
      <c r="BA6" s="81"/>
    </row>
    <row r="7" spans="1:53" s="35" customFormat="1" ht="22.5" customHeight="1" x14ac:dyDescent="0.25">
      <c r="A7" s="1059" t="s">
        <v>1597</v>
      </c>
      <c r="B7" s="1060"/>
      <c r="C7" s="1060"/>
      <c r="D7" s="1060"/>
      <c r="E7" s="1060"/>
      <c r="F7" s="1060"/>
      <c r="G7" s="1060"/>
      <c r="H7" s="1060"/>
      <c r="I7" s="1060"/>
      <c r="J7" s="1060"/>
      <c r="K7" s="1060"/>
      <c r="L7" s="1060"/>
      <c r="M7" s="1060"/>
      <c r="N7" s="1060"/>
      <c r="O7" s="1060"/>
      <c r="P7" s="1060"/>
      <c r="Q7" s="1060"/>
      <c r="R7" s="1060"/>
      <c r="S7" s="1060"/>
      <c r="T7" s="1060"/>
      <c r="U7" s="1060"/>
      <c r="V7" s="1060"/>
      <c r="W7" s="1060"/>
      <c r="X7" s="1060"/>
      <c r="Y7" s="1060"/>
      <c r="Z7" s="1060"/>
      <c r="AA7" s="1060"/>
      <c r="AB7" s="1060"/>
      <c r="AC7" s="1061"/>
      <c r="AD7" s="48"/>
      <c r="AE7" s="49"/>
      <c r="AF7" s="150"/>
      <c r="AG7" s="81"/>
      <c r="AH7" s="134"/>
      <c r="AI7" s="135"/>
      <c r="AJ7" s="136"/>
      <c r="AK7" s="134"/>
      <c r="AL7" s="137"/>
      <c r="AM7" s="129"/>
      <c r="AN7" s="129"/>
      <c r="AO7" s="132"/>
      <c r="AP7" s="132"/>
      <c r="AQ7" s="138"/>
      <c r="AR7" s="138"/>
      <c r="AS7" s="138"/>
      <c r="AT7" s="132"/>
      <c r="AU7" s="129"/>
      <c r="AV7" s="130"/>
      <c r="AW7" s="81"/>
      <c r="AX7" s="81"/>
      <c r="AY7" s="81"/>
      <c r="AZ7" s="81"/>
      <c r="BA7" s="81"/>
    </row>
    <row r="8" spans="1:53" s="803" customFormat="1" ht="56.25" customHeight="1" x14ac:dyDescent="0.25">
      <c r="A8" s="1114" t="s">
        <v>1960</v>
      </c>
      <c r="B8" s="778" t="s">
        <v>1238</v>
      </c>
      <c r="C8" s="799"/>
      <c r="D8" s="800"/>
      <c r="E8" s="801" t="s">
        <v>488</v>
      </c>
      <c r="F8" s="792" t="s">
        <v>837</v>
      </c>
      <c r="G8" s="778" t="s">
        <v>489</v>
      </c>
      <c r="H8" s="791" t="s">
        <v>1170</v>
      </c>
      <c r="I8" s="792" t="s">
        <v>838</v>
      </c>
      <c r="J8" s="793" t="s">
        <v>1171</v>
      </c>
      <c r="K8" s="793" t="s">
        <v>490</v>
      </c>
      <c r="L8" s="794" t="s">
        <v>489</v>
      </c>
      <c r="M8" s="793" t="s">
        <v>1172</v>
      </c>
      <c r="N8" s="792" t="s">
        <v>838</v>
      </c>
      <c r="O8" s="793" t="s">
        <v>1171</v>
      </c>
      <c r="P8" s="793" t="s">
        <v>826</v>
      </c>
      <c r="Q8" s="793" t="s">
        <v>1173</v>
      </c>
      <c r="R8" s="793" t="s">
        <v>1174</v>
      </c>
      <c r="S8" s="793" t="s">
        <v>839</v>
      </c>
      <c r="T8" s="793" t="s">
        <v>1171</v>
      </c>
      <c r="U8" s="793" t="s">
        <v>1392</v>
      </c>
      <c r="V8" s="793" t="s">
        <v>841</v>
      </c>
      <c r="W8" s="795" t="s">
        <v>1173</v>
      </c>
      <c r="X8" s="793" t="s">
        <v>1394</v>
      </c>
      <c r="Y8" s="793" t="s">
        <v>839</v>
      </c>
      <c r="Z8" s="796"/>
      <c r="AA8" s="755"/>
      <c r="AB8" s="755"/>
      <c r="AC8" s="755"/>
      <c r="AD8" s="802"/>
      <c r="AF8" s="804"/>
      <c r="AG8" s="802"/>
      <c r="AH8" s="805"/>
      <c r="AI8" s="805"/>
      <c r="AJ8" s="805"/>
      <c r="AK8" s="805"/>
      <c r="AL8" s="806"/>
      <c r="AM8" s="805"/>
      <c r="AN8" s="805"/>
      <c r="AO8" s="807"/>
      <c r="AP8" s="805"/>
      <c r="AQ8" s="808"/>
      <c r="AR8" s="808"/>
      <c r="AS8" s="808"/>
      <c r="AT8" s="805"/>
      <c r="AU8" s="805"/>
      <c r="AV8" s="807"/>
      <c r="AW8" s="802"/>
      <c r="AX8" s="802"/>
      <c r="AY8" s="802"/>
      <c r="AZ8" s="802"/>
      <c r="BA8" s="802"/>
    </row>
    <row r="9" spans="1:53" s="803" customFormat="1" ht="12" customHeight="1" x14ac:dyDescent="0.25">
      <c r="A9" s="1115"/>
      <c r="B9" s="752" t="s">
        <v>1175</v>
      </c>
      <c r="C9" s="799">
        <f>C16</f>
        <v>68.881562852096209</v>
      </c>
      <c r="D9" s="800">
        <f>C9*$D$5</f>
        <v>13.914075696123435</v>
      </c>
      <c r="E9" s="809" t="s">
        <v>1176</v>
      </c>
      <c r="F9" s="810"/>
      <c r="G9" s="756"/>
      <c r="H9" s="756"/>
      <c r="I9" s="757">
        <f>SUM(I10:I17)</f>
        <v>6.5736000000000008</v>
      </c>
      <c r="J9" s="758" t="s">
        <v>1176</v>
      </c>
      <c r="K9" s="811"/>
      <c r="L9" s="759"/>
      <c r="M9" s="759"/>
      <c r="N9" s="760">
        <f>SUM(N10:N17)</f>
        <v>0.24128280765448903</v>
      </c>
      <c r="O9" s="759" t="s">
        <v>1176</v>
      </c>
      <c r="P9" s="759"/>
      <c r="Q9" s="812"/>
      <c r="R9" s="813"/>
      <c r="S9" s="760">
        <f>SUM(S10:S17)</f>
        <v>2.5887451781257091</v>
      </c>
      <c r="T9" s="760"/>
      <c r="U9" s="760"/>
      <c r="V9" s="760"/>
      <c r="W9" s="760"/>
      <c r="X9" s="760"/>
      <c r="Y9" s="760">
        <f>SUM(Y10:Y17)</f>
        <v>13.959830324483772</v>
      </c>
      <c r="Z9" s="762">
        <f>(C9+D9+I9+N9+S9+Y9)*$Z$5</f>
        <v>138.02675121360943</v>
      </c>
      <c r="AA9" s="763">
        <f>C9+D9+I9+N9+S9+Y9+Z9</f>
        <v>244.18584807209305</v>
      </c>
      <c r="AB9" s="764">
        <v>0.25</v>
      </c>
      <c r="AC9" s="765">
        <f>AA9*(1+AB9)</f>
        <v>305.2323100901163</v>
      </c>
      <c r="AD9" s="814"/>
      <c r="AF9" s="804"/>
      <c r="AG9" s="802"/>
      <c r="AH9" s="805"/>
      <c r="AI9" s="808"/>
      <c r="AJ9" s="815"/>
      <c r="AK9" s="816"/>
      <c r="AL9" s="806"/>
      <c r="AM9" s="817"/>
      <c r="AN9" s="818"/>
      <c r="AO9" s="817"/>
      <c r="AP9" s="808"/>
      <c r="AQ9" s="808"/>
      <c r="AR9" s="808"/>
      <c r="AS9" s="808"/>
      <c r="AT9" s="808"/>
      <c r="AU9" s="817"/>
      <c r="AV9" s="817"/>
      <c r="AW9" s="819"/>
      <c r="AX9" s="802"/>
      <c r="AY9" s="802"/>
      <c r="AZ9" s="802"/>
      <c r="BA9" s="802"/>
    </row>
    <row r="10" spans="1:53" s="803" customFormat="1" ht="12.75" customHeight="1" x14ac:dyDescent="0.25">
      <c r="A10" s="1115"/>
      <c r="B10" s="766" t="s">
        <v>830</v>
      </c>
      <c r="C10" s="799"/>
      <c r="D10" s="820"/>
      <c r="E10" s="767" t="s">
        <v>1437</v>
      </c>
      <c r="F10" s="768" t="s">
        <v>1438</v>
      </c>
      <c r="G10" s="769">
        <v>0.74</v>
      </c>
      <c r="H10" s="768">
        <v>0.01</v>
      </c>
      <c r="I10" s="770">
        <f>G10*H10</f>
        <v>7.4000000000000003E-3</v>
      </c>
      <c r="J10" s="758" t="s">
        <v>1291</v>
      </c>
      <c r="K10" s="771">
        <v>2</v>
      </c>
      <c r="L10" s="772">
        <v>750</v>
      </c>
      <c r="M10" s="771">
        <v>2</v>
      </c>
      <c r="N10" s="760">
        <f>L10/'Исп. коэффициенты'!E31*(C14+C15)</f>
        <v>0.20800242039180089</v>
      </c>
      <c r="O10" s="759" t="s">
        <v>2200</v>
      </c>
      <c r="P10" s="759">
        <v>7250</v>
      </c>
      <c r="Q10" s="759">
        <v>19.670000000000002</v>
      </c>
      <c r="R10" s="759">
        <f>P10*Q10%</f>
        <v>1426.075</v>
      </c>
      <c r="S10" s="759">
        <f>R10/'Исп. коэффициенты'!F31*C14</f>
        <v>2.5887451781257091</v>
      </c>
      <c r="T10" s="755" t="s">
        <v>1435</v>
      </c>
      <c r="U10" s="756">
        <v>6785401.3499999996</v>
      </c>
      <c r="V10" s="785">
        <f>'Исп. коэффициенты'!E124</f>
        <v>2978.5</v>
      </c>
      <c r="W10" s="761">
        <f>'Исп. коэффициенты'!D124</f>
        <v>1.3599999999999999E-2</v>
      </c>
      <c r="X10" s="760">
        <f>U10*W10</f>
        <v>92281.45835999999</v>
      </c>
      <c r="Y10" s="759">
        <f>X10/'Исп. коэффициенты'!E31*C14</f>
        <v>13.959830324483772</v>
      </c>
      <c r="Z10" s="759"/>
      <c r="AA10" s="755"/>
      <c r="AB10" s="755"/>
      <c r="AC10" s="773"/>
      <c r="AD10" s="802"/>
      <c r="AF10" s="821"/>
      <c r="AG10" s="802"/>
      <c r="AH10" s="805"/>
      <c r="AI10" s="805"/>
      <c r="AJ10" s="822"/>
      <c r="AK10" s="805"/>
      <c r="AL10" s="806"/>
      <c r="AM10" s="805"/>
      <c r="AN10" s="805"/>
      <c r="AO10" s="807"/>
      <c r="AP10" s="805"/>
      <c r="AQ10" s="805"/>
      <c r="AR10" s="807"/>
      <c r="AS10" s="807"/>
      <c r="AT10" s="805"/>
      <c r="AU10" s="805"/>
      <c r="AV10" s="807"/>
      <c r="AW10" s="802"/>
      <c r="AX10" s="802"/>
      <c r="AY10" s="802"/>
      <c r="AZ10" s="802"/>
      <c r="BA10" s="802"/>
    </row>
    <row r="11" spans="1:53" s="803" customFormat="1" x14ac:dyDescent="0.25">
      <c r="A11" s="1115"/>
      <c r="B11" s="774" t="s">
        <v>1178</v>
      </c>
      <c r="C11" s="823">
        <f>C2</f>
        <v>38.717865870069311</v>
      </c>
      <c r="D11" s="820"/>
      <c r="E11" s="767" t="s">
        <v>1439</v>
      </c>
      <c r="F11" s="768" t="s">
        <v>1438</v>
      </c>
      <c r="G11" s="769">
        <v>0.27</v>
      </c>
      <c r="H11" s="768">
        <v>0.01</v>
      </c>
      <c r="I11" s="775">
        <f>G11*H11</f>
        <v>2.7000000000000001E-3</v>
      </c>
      <c r="J11" s="758" t="s">
        <v>1445</v>
      </c>
      <c r="K11" s="760">
        <v>2</v>
      </c>
      <c r="L11" s="776">
        <v>95</v>
      </c>
      <c r="M11" s="771">
        <v>2</v>
      </c>
      <c r="N11" s="760">
        <f>L11/'Исп. коэффициенты'!E31*(C14+C15)</f>
        <v>2.6346973249628113E-2</v>
      </c>
      <c r="O11" s="759"/>
      <c r="P11" s="759"/>
      <c r="Q11" s="759"/>
      <c r="R11" s="759"/>
      <c r="S11" s="759"/>
      <c r="T11" s="759"/>
      <c r="U11" s="759"/>
      <c r="V11" s="759"/>
      <c r="W11" s="759"/>
      <c r="X11" s="759"/>
      <c r="Y11" s="759"/>
      <c r="Z11" s="759"/>
      <c r="AA11" s="755"/>
      <c r="AB11" s="755"/>
      <c r="AC11" s="773"/>
      <c r="AD11" s="802"/>
      <c r="AF11" s="821"/>
      <c r="AG11" s="802"/>
      <c r="AH11" s="805"/>
      <c r="AI11" s="805"/>
      <c r="AJ11" s="822"/>
      <c r="AK11" s="805"/>
      <c r="AL11" s="806"/>
      <c r="AM11" s="824"/>
      <c r="AN11" s="805"/>
      <c r="AO11" s="807"/>
      <c r="AP11" s="805"/>
      <c r="AQ11" s="805"/>
      <c r="AR11" s="807"/>
      <c r="AS11" s="807"/>
      <c r="AT11" s="805"/>
      <c r="AU11" s="805"/>
      <c r="AV11" s="807"/>
      <c r="AW11" s="802"/>
      <c r="AX11" s="802"/>
      <c r="AY11" s="802"/>
      <c r="AZ11" s="802"/>
      <c r="BA11" s="802"/>
    </row>
    <row r="12" spans="1:53" s="803" customFormat="1" ht="12.75" customHeight="1" x14ac:dyDescent="0.25">
      <c r="A12" s="1115"/>
      <c r="B12" s="754" t="s">
        <v>1179</v>
      </c>
      <c r="C12" s="799">
        <f>C3</f>
        <v>22.420123808013045</v>
      </c>
      <c r="D12" s="820"/>
      <c r="E12" s="767" t="s">
        <v>1598</v>
      </c>
      <c r="F12" s="768" t="s">
        <v>1441</v>
      </c>
      <c r="G12" s="769">
        <v>4.4000000000000004</v>
      </c>
      <c r="H12" s="769">
        <v>1</v>
      </c>
      <c r="I12" s="770">
        <f>G12*H12</f>
        <v>4.4000000000000004</v>
      </c>
      <c r="J12" s="758" t="s">
        <v>1513</v>
      </c>
      <c r="K12" s="760">
        <v>2</v>
      </c>
      <c r="L12" s="760">
        <v>25</v>
      </c>
      <c r="M12" s="771">
        <v>0.5</v>
      </c>
      <c r="N12" s="760">
        <f>L12/'Исп. коэффициенты'!E31*(C14+C15)</f>
        <v>6.9334140130600302E-3</v>
      </c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5"/>
      <c r="AB12" s="755"/>
      <c r="AC12" s="773"/>
      <c r="AD12" s="802"/>
      <c r="AF12" s="821"/>
      <c r="AG12" s="802"/>
      <c r="AH12" s="805"/>
      <c r="AI12" s="805"/>
      <c r="AJ12" s="822"/>
      <c r="AK12" s="805"/>
      <c r="AL12" s="806"/>
      <c r="AM12" s="805"/>
      <c r="AN12" s="805"/>
      <c r="AO12" s="807"/>
      <c r="AP12" s="805"/>
      <c r="AQ12" s="805"/>
      <c r="AR12" s="807"/>
      <c r="AS12" s="807"/>
      <c r="AT12" s="805"/>
      <c r="AU12" s="805"/>
      <c r="AV12" s="807"/>
      <c r="AW12" s="802"/>
      <c r="AX12" s="802"/>
      <c r="AY12" s="802"/>
      <c r="AZ12" s="802"/>
      <c r="BA12" s="802"/>
    </row>
    <row r="13" spans="1:53" s="803" customFormat="1" ht="12.75" customHeight="1" x14ac:dyDescent="0.25">
      <c r="A13" s="1115"/>
      <c r="B13" s="754" t="s">
        <v>831</v>
      </c>
      <c r="C13" s="825"/>
      <c r="D13" s="820"/>
      <c r="E13" s="767"/>
      <c r="F13" s="768"/>
      <c r="G13" s="769"/>
      <c r="H13" s="768"/>
      <c r="I13" s="770"/>
      <c r="J13" s="758"/>
      <c r="K13" s="760"/>
      <c r="L13" s="760"/>
      <c r="M13" s="760"/>
      <c r="N13" s="760"/>
      <c r="O13" s="759"/>
      <c r="P13" s="759"/>
      <c r="Q13" s="759"/>
      <c r="R13" s="759"/>
      <c r="S13" s="759"/>
      <c r="T13" s="759"/>
      <c r="U13" s="759"/>
      <c r="V13" s="759"/>
      <c r="W13" s="759"/>
      <c r="X13" s="759"/>
      <c r="Y13" s="759"/>
      <c r="Z13" s="759"/>
      <c r="AA13" s="755"/>
      <c r="AB13" s="755"/>
      <c r="AC13" s="773"/>
      <c r="AD13" s="802"/>
      <c r="AF13" s="821"/>
      <c r="AG13" s="802"/>
      <c r="AH13" s="805"/>
      <c r="AI13" s="805"/>
      <c r="AJ13" s="822"/>
      <c r="AK13" s="805"/>
      <c r="AL13" s="806"/>
      <c r="AM13" s="805"/>
      <c r="AN13" s="805"/>
      <c r="AO13" s="807"/>
      <c r="AP13" s="805"/>
      <c r="AQ13" s="805"/>
      <c r="AR13" s="807"/>
      <c r="AS13" s="807"/>
      <c r="AT13" s="805"/>
      <c r="AU13" s="805"/>
      <c r="AV13" s="807"/>
      <c r="AW13" s="802"/>
      <c r="AX13" s="802"/>
      <c r="AY13" s="802"/>
      <c r="AZ13" s="802"/>
      <c r="BA13" s="802"/>
    </row>
    <row r="14" spans="1:53" s="803" customFormat="1" ht="12.75" customHeight="1" x14ac:dyDescent="0.25">
      <c r="A14" s="1115"/>
      <c r="B14" s="774" t="s">
        <v>1178</v>
      </c>
      <c r="C14" s="826">
        <v>1.2</v>
      </c>
      <c r="D14" s="820"/>
      <c r="E14" s="767" t="s">
        <v>1442</v>
      </c>
      <c r="F14" s="768" t="s">
        <v>1443</v>
      </c>
      <c r="G14" s="769">
        <v>419.5</v>
      </c>
      <c r="H14" s="768">
        <v>1E-3</v>
      </c>
      <c r="I14" s="770">
        <f>G14*H14</f>
        <v>0.41949999999999998</v>
      </c>
      <c r="J14" s="758"/>
      <c r="K14" s="760"/>
      <c r="L14" s="760"/>
      <c r="M14" s="760"/>
      <c r="N14" s="760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5"/>
      <c r="AB14" s="755"/>
      <c r="AC14" s="773"/>
      <c r="AD14" s="802"/>
      <c r="AF14" s="821"/>
      <c r="AG14" s="802"/>
      <c r="AH14" s="805"/>
      <c r="AI14" s="805"/>
      <c r="AJ14" s="827"/>
      <c r="AK14" s="805"/>
      <c r="AL14" s="806"/>
      <c r="AM14" s="805"/>
      <c r="AN14" s="805"/>
      <c r="AO14" s="807"/>
      <c r="AP14" s="805"/>
      <c r="AQ14" s="805"/>
      <c r="AR14" s="807"/>
      <c r="AS14" s="807"/>
      <c r="AT14" s="805"/>
      <c r="AU14" s="805"/>
      <c r="AV14" s="807"/>
      <c r="AW14" s="802"/>
      <c r="AX14" s="802"/>
      <c r="AY14" s="802"/>
      <c r="AZ14" s="802"/>
      <c r="BA14" s="802"/>
    </row>
    <row r="15" spans="1:53" s="803" customFormat="1" ht="12.75" customHeight="1" x14ac:dyDescent="0.25">
      <c r="A15" s="1115"/>
      <c r="B15" s="754" t="s">
        <v>1179</v>
      </c>
      <c r="C15" s="826">
        <v>1</v>
      </c>
      <c r="D15" s="820"/>
      <c r="E15" s="767" t="s">
        <v>1444</v>
      </c>
      <c r="F15" s="768" t="s">
        <v>1443</v>
      </c>
      <c r="G15" s="769">
        <v>872</v>
      </c>
      <c r="H15" s="768">
        <v>2E-3</v>
      </c>
      <c r="I15" s="770">
        <f>G15*H15</f>
        <v>1.744</v>
      </c>
      <c r="J15" s="758"/>
      <c r="K15" s="760"/>
      <c r="L15" s="760"/>
      <c r="M15" s="760"/>
      <c r="N15" s="760"/>
      <c r="O15" s="759"/>
      <c r="P15" s="759"/>
      <c r="Q15" s="759"/>
      <c r="R15" s="759"/>
      <c r="S15" s="759"/>
      <c r="T15" s="759"/>
      <c r="U15" s="759"/>
      <c r="V15" s="759"/>
      <c r="W15" s="759"/>
      <c r="X15" s="759"/>
      <c r="Y15" s="759"/>
      <c r="Z15" s="759"/>
      <c r="AA15" s="755"/>
      <c r="AB15" s="755"/>
      <c r="AC15" s="773"/>
      <c r="AD15" s="802"/>
      <c r="AF15" s="821"/>
      <c r="AG15" s="802"/>
      <c r="AH15" s="805"/>
      <c r="AI15" s="805"/>
      <c r="AJ15" s="827"/>
      <c r="AK15" s="805"/>
      <c r="AL15" s="806"/>
      <c r="AM15" s="805"/>
      <c r="AN15" s="805"/>
      <c r="AO15" s="807"/>
      <c r="AP15" s="805"/>
      <c r="AQ15" s="805"/>
      <c r="AR15" s="807"/>
      <c r="AS15" s="807"/>
      <c r="AT15" s="805"/>
      <c r="AU15" s="805"/>
      <c r="AV15" s="807"/>
      <c r="AW15" s="802"/>
      <c r="AX15" s="802"/>
      <c r="AY15" s="802"/>
      <c r="AZ15" s="802"/>
      <c r="BA15" s="802"/>
    </row>
    <row r="16" spans="1:53" s="803" customFormat="1" ht="12.75" customHeight="1" x14ac:dyDescent="0.25">
      <c r="A16" s="1115"/>
      <c r="B16" s="782" t="s">
        <v>1181</v>
      </c>
      <c r="C16" s="799">
        <f>C11*C14+C12*C15</f>
        <v>68.881562852096209</v>
      </c>
      <c r="D16" s="820"/>
      <c r="E16" s="780"/>
      <c r="F16" s="781"/>
      <c r="G16" s="769"/>
      <c r="H16" s="768"/>
      <c r="I16" s="770"/>
      <c r="J16" s="758"/>
      <c r="K16" s="828"/>
      <c r="L16" s="776"/>
      <c r="M16" s="771"/>
      <c r="N16" s="760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  <c r="Z16" s="759"/>
      <c r="AA16" s="755"/>
      <c r="AB16" s="755"/>
      <c r="AC16" s="773"/>
      <c r="AD16" s="802"/>
      <c r="AF16" s="821"/>
      <c r="AG16" s="802"/>
      <c r="AH16" s="805"/>
      <c r="AI16" s="805"/>
      <c r="AJ16" s="822"/>
      <c r="AK16" s="805"/>
      <c r="AL16" s="806"/>
      <c r="AM16" s="805"/>
      <c r="AN16" s="805"/>
      <c r="AO16" s="807"/>
      <c r="AP16" s="805"/>
      <c r="AQ16" s="805"/>
      <c r="AR16" s="807"/>
      <c r="AS16" s="807"/>
      <c r="AT16" s="805"/>
      <c r="AU16" s="805"/>
      <c r="AV16" s="807"/>
      <c r="AW16" s="802"/>
      <c r="AX16" s="802"/>
      <c r="AY16" s="802"/>
      <c r="AZ16" s="802"/>
      <c r="BA16" s="802"/>
    </row>
    <row r="17" spans="1:49" s="803" customFormat="1" ht="13.5" customHeight="1" x14ac:dyDescent="0.25">
      <c r="A17" s="1116"/>
      <c r="B17" s="783"/>
      <c r="C17" s="826"/>
      <c r="D17" s="829"/>
      <c r="E17" s="780"/>
      <c r="F17" s="781"/>
      <c r="G17" s="769"/>
      <c r="H17" s="768"/>
      <c r="I17" s="770"/>
      <c r="J17" s="758"/>
      <c r="K17" s="828"/>
      <c r="L17" s="760"/>
      <c r="M17" s="771"/>
      <c r="N17" s="760"/>
      <c r="O17" s="759"/>
      <c r="P17" s="759"/>
      <c r="Q17" s="759"/>
      <c r="R17" s="759"/>
      <c r="S17" s="759"/>
      <c r="T17" s="759"/>
      <c r="U17" s="759"/>
      <c r="V17" s="759"/>
      <c r="W17" s="759"/>
      <c r="X17" s="759"/>
      <c r="Y17" s="759"/>
      <c r="Z17" s="759"/>
      <c r="AA17" s="755"/>
      <c r="AB17" s="755"/>
      <c r="AC17" s="773"/>
      <c r="AD17" s="802"/>
      <c r="AF17" s="821"/>
      <c r="AG17" s="802"/>
      <c r="AH17" s="805"/>
      <c r="AI17" s="805"/>
      <c r="AJ17" s="827"/>
      <c r="AK17" s="805"/>
      <c r="AL17" s="806"/>
      <c r="AM17" s="805"/>
      <c r="AN17" s="805"/>
      <c r="AO17" s="807"/>
      <c r="AP17" s="805"/>
      <c r="AQ17" s="805"/>
      <c r="AR17" s="807"/>
      <c r="AS17" s="807"/>
      <c r="AT17" s="805"/>
      <c r="AU17" s="805"/>
      <c r="AV17" s="807"/>
      <c r="AW17" s="802"/>
    </row>
    <row r="18" spans="1:49" s="803" customFormat="1" ht="56.25" customHeight="1" x14ac:dyDescent="0.25">
      <c r="A18" s="1114" t="s">
        <v>1960</v>
      </c>
      <c r="B18" s="778" t="s">
        <v>1238</v>
      </c>
      <c r="C18" s="799"/>
      <c r="D18" s="800"/>
      <c r="E18" s="801" t="s">
        <v>488</v>
      </c>
      <c r="F18" s="792" t="s">
        <v>837</v>
      </c>
      <c r="G18" s="778" t="s">
        <v>489</v>
      </c>
      <c r="H18" s="791" t="s">
        <v>1170</v>
      </c>
      <c r="I18" s="792" t="s">
        <v>838</v>
      </c>
      <c r="J18" s="793" t="s">
        <v>1171</v>
      </c>
      <c r="K18" s="793" t="s">
        <v>490</v>
      </c>
      <c r="L18" s="794" t="s">
        <v>489</v>
      </c>
      <c r="M18" s="793" t="s">
        <v>1172</v>
      </c>
      <c r="N18" s="792" t="s">
        <v>838</v>
      </c>
      <c r="O18" s="793" t="s">
        <v>1171</v>
      </c>
      <c r="P18" s="793" t="s">
        <v>826</v>
      </c>
      <c r="Q18" s="793" t="s">
        <v>1173</v>
      </c>
      <c r="R18" s="793" t="s">
        <v>1174</v>
      </c>
      <c r="S18" s="793" t="s">
        <v>839</v>
      </c>
      <c r="T18" s="793" t="s">
        <v>1171</v>
      </c>
      <c r="U18" s="793" t="s">
        <v>1392</v>
      </c>
      <c r="V18" s="793" t="s">
        <v>841</v>
      </c>
      <c r="W18" s="795" t="s">
        <v>1173</v>
      </c>
      <c r="X18" s="793" t="s">
        <v>1394</v>
      </c>
      <c r="Y18" s="793" t="s">
        <v>839</v>
      </c>
      <c r="Z18" s="796"/>
      <c r="AA18" s="755"/>
      <c r="AB18" s="755"/>
      <c r="AC18" s="755"/>
      <c r="AD18" s="802"/>
      <c r="AF18" s="804"/>
      <c r="AG18" s="802"/>
      <c r="AH18" s="805"/>
      <c r="AI18" s="805"/>
      <c r="AJ18" s="805"/>
      <c r="AK18" s="805"/>
      <c r="AL18" s="806"/>
      <c r="AM18" s="805"/>
      <c r="AN18" s="805"/>
      <c r="AO18" s="807"/>
      <c r="AP18" s="805"/>
      <c r="AQ18" s="808"/>
      <c r="AR18" s="808"/>
      <c r="AS18" s="808"/>
      <c r="AT18" s="805"/>
      <c r="AU18" s="805"/>
      <c r="AV18" s="807"/>
      <c r="AW18" s="802"/>
    </row>
    <row r="19" spans="1:49" s="803" customFormat="1" ht="12" customHeight="1" x14ac:dyDescent="0.25">
      <c r="A19" s="1115"/>
      <c r="B19" s="752" t="s">
        <v>1175</v>
      </c>
      <c r="C19" s="799">
        <f>C26</f>
        <v>46.668379361664577</v>
      </c>
      <c r="D19" s="800">
        <f>C19*$D$5</f>
        <v>9.427012631056245</v>
      </c>
      <c r="E19" s="809" t="s">
        <v>1176</v>
      </c>
      <c r="F19" s="810"/>
      <c r="G19" s="756"/>
      <c r="H19" s="756"/>
      <c r="I19" s="757">
        <f>SUM(I20:I27)</f>
        <v>6.5736000000000008</v>
      </c>
      <c r="J19" s="758" t="s">
        <v>1176</v>
      </c>
      <c r="K19" s="811"/>
      <c r="L19" s="759"/>
      <c r="M19" s="759"/>
      <c r="N19" s="760">
        <f>SUM(N20:N27)</f>
        <v>0.16451100521896977</v>
      </c>
      <c r="O19" s="759" t="s">
        <v>1176</v>
      </c>
      <c r="P19" s="759"/>
      <c r="Q19" s="812"/>
      <c r="R19" s="813"/>
      <c r="S19" s="760">
        <f>SUM(S20:S27)</f>
        <v>0.14381917656253937</v>
      </c>
      <c r="T19" s="760"/>
      <c r="U19" s="760"/>
      <c r="V19" s="760"/>
      <c r="W19" s="760"/>
      <c r="X19" s="760"/>
      <c r="Y19" s="760">
        <f>SUM(Y20:Y27)</f>
        <v>9.3065535496558489</v>
      </c>
      <c r="Z19" s="762">
        <f>(C19+D19+I19+N19+S19+Y19)*$Z$5</f>
        <v>93.982605604057866</v>
      </c>
      <c r="AA19" s="763">
        <f>C19+D19+I19+N19+S19+Y19+Z19</f>
        <v>166.26648132821606</v>
      </c>
      <c r="AB19" s="764">
        <v>0.25</v>
      </c>
      <c r="AC19" s="765">
        <f>AA19*(1+AB19)</f>
        <v>207.83310166027007</v>
      </c>
      <c r="AD19" s="814"/>
      <c r="AF19" s="804"/>
      <c r="AG19" s="802"/>
      <c r="AH19" s="805"/>
      <c r="AI19" s="808"/>
      <c r="AJ19" s="815"/>
      <c r="AK19" s="816"/>
      <c r="AL19" s="806"/>
      <c r="AM19" s="817"/>
      <c r="AN19" s="818"/>
      <c r="AO19" s="817"/>
      <c r="AP19" s="808"/>
      <c r="AQ19" s="808"/>
      <c r="AR19" s="808"/>
      <c r="AS19" s="808"/>
      <c r="AT19" s="808"/>
      <c r="AU19" s="817"/>
      <c r="AV19" s="817"/>
      <c r="AW19" s="819"/>
    </row>
    <row r="20" spans="1:49" s="803" customFormat="1" ht="12.75" customHeight="1" x14ac:dyDescent="0.25">
      <c r="A20" s="1115"/>
      <c r="B20" s="766" t="s">
        <v>830</v>
      </c>
      <c r="C20" s="799"/>
      <c r="D20" s="820"/>
      <c r="E20" s="767" t="s">
        <v>1437</v>
      </c>
      <c r="F20" s="768" t="s">
        <v>1438</v>
      </c>
      <c r="G20" s="769">
        <v>0.74</v>
      </c>
      <c r="H20" s="768">
        <v>0.01</v>
      </c>
      <c r="I20" s="770">
        <f>G20*H20</f>
        <v>7.4000000000000003E-3</v>
      </c>
      <c r="J20" s="758" t="s">
        <v>1291</v>
      </c>
      <c r="K20" s="771">
        <v>2</v>
      </c>
      <c r="L20" s="772">
        <v>750</v>
      </c>
      <c r="M20" s="771">
        <v>2</v>
      </c>
      <c r="N20" s="760">
        <f>L20/'Исп. коэффициенты'!E31*(C24+C25)</f>
        <v>0.14181983208531879</v>
      </c>
      <c r="O20" s="759" t="s">
        <v>2200</v>
      </c>
      <c r="P20" s="759">
        <v>7250</v>
      </c>
      <c r="Q20" s="759">
        <v>19.670000000000002</v>
      </c>
      <c r="R20" s="759">
        <f>P20*Q20%</f>
        <v>1426.075</v>
      </c>
      <c r="S20" s="759">
        <f>R20/'Исп. коэффициенты'!E31*C24</f>
        <v>0.14381917656253937</v>
      </c>
      <c r="T20" s="755" t="s">
        <v>1435</v>
      </c>
      <c r="U20" s="756">
        <v>6785401.3499999996</v>
      </c>
      <c r="V20" s="785">
        <f>'Исп. коэффициенты'!E124</f>
        <v>2978.5</v>
      </c>
      <c r="W20" s="761">
        <f>'Исп. коэффициенты'!D124</f>
        <v>1.3599999999999999E-2</v>
      </c>
      <c r="X20" s="760">
        <f>U20*W20</f>
        <v>92281.45835999999</v>
      </c>
      <c r="Y20" s="759">
        <f>X20/'Исп. коэффициенты'!E31*C24</f>
        <v>9.3065535496558489</v>
      </c>
      <c r="Z20" s="759"/>
      <c r="AA20" s="755"/>
      <c r="AB20" s="755"/>
      <c r="AC20" s="773"/>
      <c r="AD20" s="802"/>
      <c r="AF20" s="821"/>
      <c r="AG20" s="802"/>
      <c r="AH20" s="805"/>
      <c r="AI20" s="805"/>
      <c r="AJ20" s="822"/>
      <c r="AK20" s="805"/>
      <c r="AL20" s="806"/>
      <c r="AM20" s="805"/>
      <c r="AN20" s="805"/>
      <c r="AO20" s="807"/>
      <c r="AP20" s="805"/>
      <c r="AQ20" s="805"/>
      <c r="AR20" s="807"/>
      <c r="AS20" s="807"/>
      <c r="AT20" s="805"/>
      <c r="AU20" s="805"/>
      <c r="AV20" s="807"/>
      <c r="AW20" s="802"/>
    </row>
    <row r="21" spans="1:49" s="803" customFormat="1" x14ac:dyDescent="0.25">
      <c r="A21" s="1115"/>
      <c r="B21" s="774" t="s">
        <v>1178</v>
      </c>
      <c r="C21" s="823">
        <f>C2</f>
        <v>38.717865870069311</v>
      </c>
      <c r="D21" s="820"/>
      <c r="E21" s="767" t="s">
        <v>1439</v>
      </c>
      <c r="F21" s="768" t="s">
        <v>1438</v>
      </c>
      <c r="G21" s="769">
        <v>0.27</v>
      </c>
      <c r="H21" s="768">
        <v>0.01</v>
      </c>
      <c r="I21" s="775">
        <f>G21*H21</f>
        <v>2.7000000000000001E-3</v>
      </c>
      <c r="J21" s="758" t="s">
        <v>1445</v>
      </c>
      <c r="K21" s="760">
        <v>2</v>
      </c>
      <c r="L21" s="776">
        <v>95</v>
      </c>
      <c r="M21" s="771">
        <v>2</v>
      </c>
      <c r="N21" s="760">
        <f>L21/'Исп. коэффициенты'!E31*(C24+C25)</f>
        <v>1.7963845397473713E-2</v>
      </c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5"/>
      <c r="AB21" s="755"/>
      <c r="AC21" s="773"/>
      <c r="AD21" s="802"/>
      <c r="AF21" s="821"/>
      <c r="AG21" s="802"/>
      <c r="AH21" s="805"/>
      <c r="AI21" s="805"/>
      <c r="AJ21" s="822"/>
      <c r="AK21" s="805"/>
      <c r="AL21" s="806"/>
      <c r="AM21" s="824"/>
      <c r="AN21" s="805"/>
      <c r="AO21" s="807"/>
      <c r="AP21" s="805"/>
      <c r="AQ21" s="805"/>
      <c r="AR21" s="807"/>
      <c r="AS21" s="807"/>
      <c r="AT21" s="805"/>
      <c r="AU21" s="805"/>
      <c r="AV21" s="807"/>
      <c r="AW21" s="802"/>
    </row>
    <row r="22" spans="1:49" s="803" customFormat="1" ht="12.75" customHeight="1" x14ac:dyDescent="0.25">
      <c r="A22" s="1115"/>
      <c r="B22" s="754" t="s">
        <v>1179</v>
      </c>
      <c r="C22" s="799">
        <f>C3</f>
        <v>22.420123808013045</v>
      </c>
      <c r="D22" s="820"/>
      <c r="E22" s="767" t="s">
        <v>1598</v>
      </c>
      <c r="F22" s="768" t="s">
        <v>1441</v>
      </c>
      <c r="G22" s="769">
        <v>4.4000000000000004</v>
      </c>
      <c r="H22" s="769">
        <v>1</v>
      </c>
      <c r="I22" s="770">
        <f>G22*H22</f>
        <v>4.4000000000000004</v>
      </c>
      <c r="J22" s="758" t="s">
        <v>1513</v>
      </c>
      <c r="K22" s="760">
        <v>2</v>
      </c>
      <c r="L22" s="760">
        <v>25</v>
      </c>
      <c r="M22" s="771">
        <v>0.5</v>
      </c>
      <c r="N22" s="760">
        <f>L22/'Исп. коэффициенты'!E31*(C24+C25)</f>
        <v>4.7273277361772927E-3</v>
      </c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5"/>
      <c r="AB22" s="755"/>
      <c r="AC22" s="773"/>
      <c r="AD22" s="802"/>
      <c r="AF22" s="821"/>
      <c r="AG22" s="802"/>
      <c r="AH22" s="805"/>
      <c r="AI22" s="805"/>
      <c r="AJ22" s="822"/>
      <c r="AK22" s="805"/>
      <c r="AL22" s="806"/>
      <c r="AM22" s="805"/>
      <c r="AN22" s="805"/>
      <c r="AO22" s="807"/>
      <c r="AP22" s="805"/>
      <c r="AQ22" s="805"/>
      <c r="AR22" s="807"/>
      <c r="AS22" s="807"/>
      <c r="AT22" s="805"/>
      <c r="AU22" s="805"/>
      <c r="AV22" s="807"/>
      <c r="AW22" s="802"/>
    </row>
    <row r="23" spans="1:49" s="803" customFormat="1" ht="12.75" customHeight="1" x14ac:dyDescent="0.25">
      <c r="A23" s="1115"/>
      <c r="B23" s="754" t="s">
        <v>831</v>
      </c>
      <c r="C23" s="825"/>
      <c r="D23" s="820"/>
      <c r="E23" s="767"/>
      <c r="F23" s="768"/>
      <c r="G23" s="769"/>
      <c r="H23" s="768"/>
      <c r="I23" s="770"/>
      <c r="J23" s="758"/>
      <c r="K23" s="760"/>
      <c r="L23" s="760"/>
      <c r="M23" s="760"/>
      <c r="N23" s="760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5"/>
      <c r="AB23" s="755"/>
      <c r="AC23" s="773"/>
      <c r="AD23" s="802"/>
      <c r="AF23" s="821"/>
      <c r="AG23" s="802"/>
      <c r="AH23" s="805"/>
      <c r="AI23" s="805"/>
      <c r="AJ23" s="822"/>
      <c r="AK23" s="805"/>
      <c r="AL23" s="806"/>
      <c r="AM23" s="805"/>
      <c r="AN23" s="805"/>
      <c r="AO23" s="807"/>
      <c r="AP23" s="805"/>
      <c r="AQ23" s="805"/>
      <c r="AR23" s="807"/>
      <c r="AS23" s="807"/>
      <c r="AT23" s="805"/>
      <c r="AU23" s="805"/>
      <c r="AV23" s="807"/>
      <c r="AW23" s="802"/>
    </row>
    <row r="24" spans="1:49" s="803" customFormat="1" ht="12.75" customHeight="1" x14ac:dyDescent="0.25">
      <c r="A24" s="1115"/>
      <c r="B24" s="774" t="s">
        <v>1178</v>
      </c>
      <c r="C24" s="826">
        <v>0.8</v>
      </c>
      <c r="D24" s="820"/>
      <c r="E24" s="767" t="s">
        <v>1442</v>
      </c>
      <c r="F24" s="768" t="s">
        <v>1443</v>
      </c>
      <c r="G24" s="769">
        <v>419.5</v>
      </c>
      <c r="H24" s="768">
        <v>1E-3</v>
      </c>
      <c r="I24" s="770">
        <f>G24*H24</f>
        <v>0.41949999999999998</v>
      </c>
      <c r="J24" s="758"/>
      <c r="K24" s="760"/>
      <c r="L24" s="760"/>
      <c r="M24" s="760"/>
      <c r="N24" s="760"/>
      <c r="O24" s="759"/>
      <c r="P24" s="759"/>
      <c r="Q24" s="759"/>
      <c r="R24" s="759"/>
      <c r="S24" s="759"/>
      <c r="T24" s="759"/>
      <c r="U24" s="759"/>
      <c r="V24" s="759"/>
      <c r="W24" s="759"/>
      <c r="X24" s="759"/>
      <c r="Y24" s="759"/>
      <c r="Z24" s="759"/>
      <c r="AA24" s="755"/>
      <c r="AB24" s="755"/>
      <c r="AC24" s="773"/>
      <c r="AD24" s="802"/>
      <c r="AF24" s="821"/>
      <c r="AG24" s="802"/>
      <c r="AH24" s="805"/>
      <c r="AI24" s="805"/>
      <c r="AJ24" s="827"/>
      <c r="AK24" s="805"/>
      <c r="AL24" s="806"/>
      <c r="AM24" s="805"/>
      <c r="AN24" s="805"/>
      <c r="AO24" s="807"/>
      <c r="AP24" s="805"/>
      <c r="AQ24" s="805"/>
      <c r="AR24" s="807"/>
      <c r="AS24" s="807"/>
      <c r="AT24" s="805"/>
      <c r="AU24" s="805"/>
      <c r="AV24" s="807"/>
      <c r="AW24" s="802"/>
    </row>
    <row r="25" spans="1:49" s="803" customFormat="1" ht="12.75" customHeight="1" x14ac:dyDescent="0.25">
      <c r="A25" s="1115"/>
      <c r="B25" s="754" t="s">
        <v>1179</v>
      </c>
      <c r="C25" s="826">
        <v>0.7</v>
      </c>
      <c r="D25" s="820"/>
      <c r="E25" s="767" t="s">
        <v>1444</v>
      </c>
      <c r="F25" s="768" t="s">
        <v>1443</v>
      </c>
      <c r="G25" s="769">
        <v>872</v>
      </c>
      <c r="H25" s="768">
        <v>2E-3</v>
      </c>
      <c r="I25" s="770">
        <f>G25*H25</f>
        <v>1.744</v>
      </c>
      <c r="J25" s="758"/>
      <c r="K25" s="760"/>
      <c r="L25" s="760"/>
      <c r="M25" s="760"/>
      <c r="N25" s="760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5"/>
      <c r="AB25" s="755"/>
      <c r="AC25" s="773"/>
      <c r="AD25" s="802"/>
      <c r="AF25" s="821"/>
      <c r="AG25" s="802"/>
      <c r="AH25" s="805"/>
      <c r="AI25" s="805"/>
      <c r="AJ25" s="827"/>
      <c r="AK25" s="805"/>
      <c r="AL25" s="806"/>
      <c r="AM25" s="805"/>
      <c r="AN25" s="805"/>
      <c r="AO25" s="807"/>
      <c r="AP25" s="805"/>
      <c r="AQ25" s="805"/>
      <c r="AR25" s="807"/>
      <c r="AS25" s="807"/>
      <c r="AT25" s="805"/>
      <c r="AU25" s="805"/>
      <c r="AV25" s="807"/>
      <c r="AW25" s="802"/>
    </row>
    <row r="26" spans="1:49" s="803" customFormat="1" ht="12.75" customHeight="1" x14ac:dyDescent="0.25">
      <c r="A26" s="1115"/>
      <c r="B26" s="782" t="s">
        <v>1181</v>
      </c>
      <c r="C26" s="799">
        <f>C21*C24+C22*C25</f>
        <v>46.668379361664577</v>
      </c>
      <c r="D26" s="820"/>
      <c r="E26" s="780"/>
      <c r="F26" s="781"/>
      <c r="G26" s="769"/>
      <c r="H26" s="768"/>
      <c r="I26" s="770"/>
      <c r="J26" s="758"/>
      <c r="K26" s="828"/>
      <c r="L26" s="776"/>
      <c r="M26" s="771"/>
      <c r="N26" s="760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5"/>
      <c r="AB26" s="755"/>
      <c r="AC26" s="773"/>
      <c r="AD26" s="802"/>
      <c r="AF26" s="821"/>
      <c r="AG26" s="802"/>
      <c r="AH26" s="805"/>
      <c r="AI26" s="805"/>
      <c r="AJ26" s="822"/>
      <c r="AK26" s="805"/>
      <c r="AL26" s="806"/>
      <c r="AM26" s="805"/>
      <c r="AN26" s="805"/>
      <c r="AO26" s="807"/>
      <c r="AP26" s="805"/>
      <c r="AQ26" s="805"/>
      <c r="AR26" s="807"/>
      <c r="AS26" s="807"/>
      <c r="AT26" s="805"/>
      <c r="AU26" s="805"/>
      <c r="AV26" s="807"/>
      <c r="AW26" s="802"/>
    </row>
    <row r="27" spans="1:49" s="803" customFormat="1" ht="13.5" customHeight="1" x14ac:dyDescent="0.25">
      <c r="A27" s="1116"/>
      <c r="B27" s="783"/>
      <c r="C27" s="826"/>
      <c r="D27" s="829"/>
      <c r="E27" s="780"/>
      <c r="F27" s="781"/>
      <c r="G27" s="769"/>
      <c r="H27" s="768"/>
      <c r="I27" s="770"/>
      <c r="J27" s="758"/>
      <c r="K27" s="828"/>
      <c r="L27" s="760"/>
      <c r="M27" s="771"/>
      <c r="N27" s="760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5"/>
      <c r="AB27" s="755"/>
      <c r="AC27" s="773"/>
      <c r="AD27" s="802"/>
      <c r="AF27" s="821"/>
      <c r="AG27" s="802"/>
      <c r="AH27" s="805"/>
      <c r="AI27" s="805"/>
      <c r="AJ27" s="827"/>
      <c r="AK27" s="805"/>
      <c r="AL27" s="806"/>
      <c r="AM27" s="805"/>
      <c r="AN27" s="805"/>
      <c r="AO27" s="807"/>
      <c r="AP27" s="805"/>
      <c r="AQ27" s="805"/>
      <c r="AR27" s="807"/>
      <c r="AS27" s="807"/>
      <c r="AT27" s="805"/>
      <c r="AU27" s="805"/>
      <c r="AV27" s="807"/>
      <c r="AW27" s="802"/>
    </row>
    <row r="28" spans="1:49" s="803" customFormat="1" ht="56.25" customHeight="1" x14ac:dyDescent="0.25">
      <c r="A28" s="1114" t="s">
        <v>1630</v>
      </c>
      <c r="B28" s="778" t="s">
        <v>711</v>
      </c>
      <c r="C28" s="799"/>
      <c r="D28" s="800"/>
      <c r="E28" s="801" t="s">
        <v>488</v>
      </c>
      <c r="F28" s="792" t="s">
        <v>837</v>
      </c>
      <c r="G28" s="778" t="s">
        <v>489</v>
      </c>
      <c r="H28" s="791" t="s">
        <v>1170</v>
      </c>
      <c r="I28" s="792" t="s">
        <v>838</v>
      </c>
      <c r="J28" s="793" t="s">
        <v>1171</v>
      </c>
      <c r="K28" s="793" t="s">
        <v>490</v>
      </c>
      <c r="L28" s="794" t="s">
        <v>489</v>
      </c>
      <c r="M28" s="793" t="s">
        <v>1172</v>
      </c>
      <c r="N28" s="792" t="s">
        <v>838</v>
      </c>
      <c r="O28" s="793" t="s">
        <v>1171</v>
      </c>
      <c r="P28" s="793" t="s">
        <v>826</v>
      </c>
      <c r="Q28" s="793" t="s">
        <v>1173</v>
      </c>
      <c r="R28" s="793" t="s">
        <v>1174</v>
      </c>
      <c r="S28" s="793" t="s">
        <v>839</v>
      </c>
      <c r="T28" s="793" t="s">
        <v>1171</v>
      </c>
      <c r="U28" s="793" t="s">
        <v>1392</v>
      </c>
      <c r="V28" s="793" t="s">
        <v>841</v>
      </c>
      <c r="W28" s="795" t="s">
        <v>1173</v>
      </c>
      <c r="X28" s="793" t="s">
        <v>1394</v>
      </c>
      <c r="Y28" s="793" t="s">
        <v>839</v>
      </c>
      <c r="Z28" s="796"/>
      <c r="AA28" s="755"/>
      <c r="AB28" s="755"/>
      <c r="AC28" s="773"/>
      <c r="AD28" s="802"/>
      <c r="AF28" s="804"/>
      <c r="AG28" s="802"/>
      <c r="AH28" s="805"/>
      <c r="AI28" s="805"/>
      <c r="AJ28" s="805"/>
      <c r="AK28" s="805"/>
      <c r="AL28" s="806"/>
      <c r="AM28" s="805"/>
      <c r="AN28" s="805"/>
      <c r="AO28" s="807"/>
      <c r="AP28" s="805"/>
      <c r="AQ28" s="808"/>
      <c r="AR28" s="808"/>
      <c r="AS28" s="808"/>
      <c r="AT28" s="805"/>
      <c r="AU28" s="805"/>
      <c r="AV28" s="807"/>
      <c r="AW28" s="802"/>
    </row>
    <row r="29" spans="1:49" s="803" customFormat="1" ht="12" customHeight="1" x14ac:dyDescent="0.25">
      <c r="A29" s="1115"/>
      <c r="B29" s="752" t="s">
        <v>1175</v>
      </c>
      <c r="C29" s="799">
        <f>C36</f>
        <v>114.12710832513658</v>
      </c>
      <c r="D29" s="800">
        <f>C29*$D$5</f>
        <v>23.053675881677588</v>
      </c>
      <c r="E29" s="809" t="s">
        <v>1176</v>
      </c>
      <c r="F29" s="810"/>
      <c r="G29" s="756"/>
      <c r="H29" s="756"/>
      <c r="I29" s="757">
        <f>SUM(I30:I37)</f>
        <v>83.8536</v>
      </c>
      <c r="J29" s="758" t="s">
        <v>1176</v>
      </c>
      <c r="K29" s="811"/>
      <c r="L29" s="759"/>
      <c r="M29" s="759"/>
      <c r="N29" s="760">
        <f>SUM(N30:N37)</f>
        <v>0.43869601391725277</v>
      </c>
      <c r="O29" s="759" t="s">
        <v>1176</v>
      </c>
      <c r="P29" s="759"/>
      <c r="Q29" s="812"/>
      <c r="R29" s="813"/>
      <c r="S29" s="760">
        <f>SUM(S30:S37)</f>
        <v>0.26966095605476131</v>
      </c>
      <c r="T29" s="760"/>
      <c r="U29" s="760"/>
      <c r="V29" s="760"/>
      <c r="W29" s="760"/>
      <c r="X29" s="760"/>
      <c r="Y29" s="760">
        <f>SUM(Y30:Y37)</f>
        <v>17.449787905604715</v>
      </c>
      <c r="Z29" s="762">
        <f>(C29+D29+I29+N29+S29+Y29)*$Z$5</f>
        <v>310.99518252138222</v>
      </c>
      <c r="AA29" s="763">
        <f>C29+D29+I29+N29+S29+Y29+Z29</f>
        <v>550.1877116037731</v>
      </c>
      <c r="AB29" s="764">
        <v>0.25</v>
      </c>
      <c r="AC29" s="765">
        <f>AA29*(1+AB29)</f>
        <v>687.73463950471637</v>
      </c>
      <c r="AD29" s="814"/>
      <c r="AF29" s="804"/>
      <c r="AG29" s="802"/>
      <c r="AH29" s="805"/>
      <c r="AI29" s="808"/>
      <c r="AJ29" s="815"/>
      <c r="AK29" s="816"/>
      <c r="AL29" s="806"/>
      <c r="AM29" s="817"/>
      <c r="AN29" s="818"/>
      <c r="AO29" s="817"/>
      <c r="AP29" s="808"/>
      <c r="AQ29" s="808"/>
      <c r="AR29" s="808"/>
      <c r="AS29" s="808"/>
      <c r="AT29" s="808"/>
      <c r="AU29" s="817"/>
      <c r="AV29" s="817"/>
      <c r="AW29" s="819"/>
    </row>
    <row r="30" spans="1:49" s="803" customFormat="1" ht="12.75" customHeight="1" x14ac:dyDescent="0.25">
      <c r="A30" s="1115"/>
      <c r="B30" s="766" t="s">
        <v>830</v>
      </c>
      <c r="C30" s="799"/>
      <c r="D30" s="820"/>
      <c r="E30" s="767" t="s">
        <v>1437</v>
      </c>
      <c r="F30" s="768" t="s">
        <v>1438</v>
      </c>
      <c r="G30" s="769">
        <v>0.74</v>
      </c>
      <c r="H30" s="768">
        <v>0.01</v>
      </c>
      <c r="I30" s="770">
        <f t="shared" ref="I30:I35" si="0">G30*H30</f>
        <v>7.4000000000000003E-3</v>
      </c>
      <c r="J30" s="758" t="s">
        <v>1291</v>
      </c>
      <c r="K30" s="771">
        <v>2</v>
      </c>
      <c r="L30" s="772">
        <v>750</v>
      </c>
      <c r="M30" s="771">
        <v>2</v>
      </c>
      <c r="N30" s="760">
        <f>L30/'Исп. коэффициенты'!E31*(C34+C35)</f>
        <v>0.37818621889418341</v>
      </c>
      <c r="O30" s="759" t="s">
        <v>2200</v>
      </c>
      <c r="P30" s="759">
        <v>7250</v>
      </c>
      <c r="Q30" s="759">
        <v>19.670000000000002</v>
      </c>
      <c r="R30" s="759">
        <f>P30*Q30%</f>
        <v>1426.075</v>
      </c>
      <c r="S30" s="759">
        <f>R30/'Исп. коэффициенты'!E31*C34</f>
        <v>0.26966095605476131</v>
      </c>
      <c r="T30" s="755" t="s">
        <v>1435</v>
      </c>
      <c r="U30" s="756">
        <v>6785401.3499999996</v>
      </c>
      <c r="V30" s="785">
        <f>'Исп. коэффициенты'!E124</f>
        <v>2978.5</v>
      </c>
      <c r="W30" s="761">
        <f>'Исп. коэффициенты'!D124</f>
        <v>1.3599999999999999E-2</v>
      </c>
      <c r="X30" s="760">
        <f>U30*W30</f>
        <v>92281.45835999999</v>
      </c>
      <c r="Y30" s="759">
        <f>X30/'Исп. коэффициенты'!E31*C34</f>
        <v>17.449787905604715</v>
      </c>
      <c r="Z30" s="759"/>
      <c r="AA30" s="755"/>
      <c r="AB30" s="755"/>
      <c r="AC30" s="755"/>
      <c r="AD30" s="802"/>
      <c r="AF30" s="821"/>
      <c r="AG30" s="802"/>
      <c r="AH30" s="805"/>
      <c r="AI30" s="805"/>
      <c r="AJ30" s="822"/>
      <c r="AK30" s="805"/>
      <c r="AL30" s="806"/>
      <c r="AM30" s="805"/>
      <c r="AN30" s="805"/>
      <c r="AO30" s="807"/>
      <c r="AP30" s="805"/>
      <c r="AQ30" s="805"/>
      <c r="AR30" s="807"/>
      <c r="AS30" s="807"/>
      <c r="AT30" s="805"/>
      <c r="AU30" s="805"/>
      <c r="AV30" s="807"/>
      <c r="AW30" s="802"/>
    </row>
    <row r="31" spans="1:49" s="803" customFormat="1" x14ac:dyDescent="0.25">
      <c r="A31" s="1115"/>
      <c r="B31" s="774" t="s">
        <v>1178</v>
      </c>
      <c r="C31" s="823">
        <f>C11</f>
        <v>38.717865870069311</v>
      </c>
      <c r="D31" s="820"/>
      <c r="E31" s="767" t="s">
        <v>1439</v>
      </c>
      <c r="F31" s="768" t="s">
        <v>1438</v>
      </c>
      <c r="G31" s="769">
        <v>0.27</v>
      </c>
      <c r="H31" s="768">
        <v>0.01</v>
      </c>
      <c r="I31" s="775">
        <f t="shared" si="0"/>
        <v>2.7000000000000001E-3</v>
      </c>
      <c r="J31" s="758" t="s">
        <v>1445</v>
      </c>
      <c r="K31" s="760">
        <v>2</v>
      </c>
      <c r="L31" s="776">
        <v>95</v>
      </c>
      <c r="M31" s="771">
        <v>2</v>
      </c>
      <c r="N31" s="760">
        <f>L31/'Исп. коэффициенты'!E31*(C34+C35)</f>
        <v>4.7903587726596565E-2</v>
      </c>
      <c r="O31" s="759"/>
      <c r="P31" s="759"/>
      <c r="Q31" s="759"/>
      <c r="R31" s="759"/>
      <c r="S31" s="759"/>
      <c r="T31" s="759"/>
      <c r="U31" s="759"/>
      <c r="V31" s="759"/>
      <c r="W31" s="759"/>
      <c r="X31" s="759"/>
      <c r="Y31" s="759"/>
      <c r="Z31" s="759"/>
      <c r="AA31" s="755"/>
      <c r="AB31" s="755"/>
      <c r="AC31" s="755"/>
      <c r="AD31" s="802"/>
      <c r="AF31" s="821"/>
      <c r="AG31" s="802"/>
      <c r="AH31" s="805"/>
      <c r="AI31" s="805"/>
      <c r="AJ31" s="822"/>
      <c r="AK31" s="805"/>
      <c r="AL31" s="806"/>
      <c r="AM31" s="824"/>
      <c r="AN31" s="805"/>
      <c r="AO31" s="807"/>
      <c r="AP31" s="805"/>
      <c r="AQ31" s="805"/>
      <c r="AR31" s="807"/>
      <c r="AS31" s="807"/>
      <c r="AT31" s="805"/>
      <c r="AU31" s="805"/>
      <c r="AV31" s="807"/>
      <c r="AW31" s="802"/>
    </row>
    <row r="32" spans="1:49" s="803" customFormat="1" ht="12.75" customHeight="1" x14ac:dyDescent="0.25">
      <c r="A32" s="1115"/>
      <c r="B32" s="754" t="s">
        <v>1179</v>
      </c>
      <c r="C32" s="799">
        <f>C12</f>
        <v>22.420123808013045</v>
      </c>
      <c r="D32" s="820"/>
      <c r="E32" s="767" t="s">
        <v>1598</v>
      </c>
      <c r="F32" s="768" t="s">
        <v>1441</v>
      </c>
      <c r="G32" s="769">
        <v>4.4000000000000004</v>
      </c>
      <c r="H32" s="769">
        <v>1</v>
      </c>
      <c r="I32" s="770">
        <f t="shared" si="0"/>
        <v>4.4000000000000004</v>
      </c>
      <c r="J32" s="758" t="s">
        <v>1513</v>
      </c>
      <c r="K32" s="760">
        <v>2</v>
      </c>
      <c r="L32" s="760">
        <v>25</v>
      </c>
      <c r="M32" s="771">
        <v>0.5</v>
      </c>
      <c r="N32" s="760">
        <f>L32/'Исп. коэффициенты'!E31*(C34+C35)</f>
        <v>1.2606207296472782E-2</v>
      </c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  <c r="Z32" s="759"/>
      <c r="AA32" s="755"/>
      <c r="AB32" s="755"/>
      <c r="AC32" s="755"/>
      <c r="AD32" s="802"/>
      <c r="AF32" s="821"/>
      <c r="AG32" s="802"/>
      <c r="AH32" s="805"/>
      <c r="AI32" s="805"/>
      <c r="AJ32" s="822"/>
      <c r="AK32" s="805"/>
      <c r="AL32" s="806"/>
      <c r="AM32" s="805"/>
      <c r="AN32" s="805"/>
      <c r="AO32" s="807"/>
      <c r="AP32" s="805"/>
      <c r="AQ32" s="805"/>
      <c r="AR32" s="807"/>
      <c r="AS32" s="807"/>
      <c r="AT32" s="805"/>
      <c r="AU32" s="805"/>
      <c r="AV32" s="807"/>
      <c r="AW32" s="802"/>
    </row>
    <row r="33" spans="1:49" s="803" customFormat="1" ht="12.75" customHeight="1" x14ac:dyDescent="0.25">
      <c r="A33" s="1115"/>
      <c r="B33" s="754" t="s">
        <v>831</v>
      </c>
      <c r="C33" s="825"/>
      <c r="D33" s="820"/>
      <c r="E33" s="767" t="s">
        <v>1599</v>
      </c>
      <c r="F33" s="768" t="s">
        <v>1441</v>
      </c>
      <c r="G33" s="769">
        <v>77.28</v>
      </c>
      <c r="H33" s="768">
        <v>1</v>
      </c>
      <c r="I33" s="770">
        <f t="shared" si="0"/>
        <v>77.28</v>
      </c>
      <c r="J33" s="758"/>
      <c r="K33" s="760"/>
      <c r="L33" s="760"/>
      <c r="M33" s="760"/>
      <c r="N33" s="760"/>
      <c r="O33" s="759"/>
      <c r="P33" s="759"/>
      <c r="Q33" s="759"/>
      <c r="R33" s="759"/>
      <c r="S33" s="759"/>
      <c r="T33" s="759"/>
      <c r="U33" s="759"/>
      <c r="V33" s="759"/>
      <c r="W33" s="759"/>
      <c r="X33" s="759"/>
      <c r="Y33" s="759"/>
      <c r="Z33" s="759"/>
      <c r="AA33" s="755"/>
      <c r="AB33" s="755"/>
      <c r="AC33" s="755"/>
      <c r="AD33" s="802"/>
      <c r="AF33" s="821"/>
      <c r="AG33" s="802"/>
      <c r="AH33" s="805"/>
      <c r="AI33" s="805"/>
      <c r="AJ33" s="822"/>
      <c r="AK33" s="805"/>
      <c r="AL33" s="806"/>
      <c r="AM33" s="805"/>
      <c r="AN33" s="805"/>
      <c r="AO33" s="807"/>
      <c r="AP33" s="805"/>
      <c r="AQ33" s="805"/>
      <c r="AR33" s="807"/>
      <c r="AS33" s="807"/>
      <c r="AT33" s="805"/>
      <c r="AU33" s="805"/>
      <c r="AV33" s="807"/>
      <c r="AW33" s="802"/>
    </row>
    <row r="34" spans="1:49" s="803" customFormat="1" ht="12.75" customHeight="1" x14ac:dyDescent="0.25">
      <c r="A34" s="1115"/>
      <c r="B34" s="774" t="s">
        <v>1178</v>
      </c>
      <c r="C34" s="826">
        <v>1.5</v>
      </c>
      <c r="D34" s="820"/>
      <c r="E34" s="767" t="s">
        <v>1442</v>
      </c>
      <c r="F34" s="768" t="s">
        <v>1443</v>
      </c>
      <c r="G34" s="769">
        <v>419.5</v>
      </c>
      <c r="H34" s="768">
        <v>1E-3</v>
      </c>
      <c r="I34" s="770">
        <f t="shared" si="0"/>
        <v>0.41949999999999998</v>
      </c>
      <c r="J34" s="758"/>
      <c r="K34" s="760"/>
      <c r="L34" s="760"/>
      <c r="M34" s="760"/>
      <c r="N34" s="760"/>
      <c r="O34" s="759"/>
      <c r="P34" s="759"/>
      <c r="Q34" s="759"/>
      <c r="R34" s="759"/>
      <c r="S34" s="759"/>
      <c r="T34" s="759"/>
      <c r="U34" s="759"/>
      <c r="V34" s="759"/>
      <c r="W34" s="759"/>
      <c r="X34" s="759"/>
      <c r="Y34" s="759"/>
      <c r="Z34" s="759"/>
      <c r="AA34" s="755"/>
      <c r="AB34" s="755"/>
      <c r="AC34" s="755"/>
      <c r="AD34" s="802"/>
      <c r="AF34" s="821"/>
      <c r="AG34" s="802"/>
      <c r="AH34" s="805"/>
      <c r="AI34" s="805"/>
      <c r="AJ34" s="827"/>
      <c r="AK34" s="805"/>
      <c r="AL34" s="806"/>
      <c r="AM34" s="805"/>
      <c r="AN34" s="805"/>
      <c r="AO34" s="807"/>
      <c r="AP34" s="805"/>
      <c r="AQ34" s="805"/>
      <c r="AR34" s="807"/>
      <c r="AS34" s="807"/>
      <c r="AT34" s="805"/>
      <c r="AU34" s="805"/>
      <c r="AV34" s="807"/>
      <c r="AW34" s="802"/>
    </row>
    <row r="35" spans="1:49" s="803" customFormat="1" ht="12.75" customHeight="1" x14ac:dyDescent="0.25">
      <c r="A35" s="1115"/>
      <c r="B35" s="754" t="s">
        <v>1179</v>
      </c>
      <c r="C35" s="826">
        <v>2.5</v>
      </c>
      <c r="D35" s="820"/>
      <c r="E35" s="767" t="s">
        <v>1444</v>
      </c>
      <c r="F35" s="768" t="s">
        <v>1443</v>
      </c>
      <c r="G35" s="769">
        <v>872</v>
      </c>
      <c r="H35" s="768">
        <v>2E-3</v>
      </c>
      <c r="I35" s="770">
        <f t="shared" si="0"/>
        <v>1.744</v>
      </c>
      <c r="J35" s="758"/>
      <c r="K35" s="760"/>
      <c r="L35" s="760"/>
      <c r="M35" s="760"/>
      <c r="N35" s="760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  <c r="Z35" s="759"/>
      <c r="AA35" s="755"/>
      <c r="AB35" s="755"/>
      <c r="AC35" s="755"/>
      <c r="AD35" s="802"/>
      <c r="AF35" s="821"/>
      <c r="AG35" s="802"/>
      <c r="AH35" s="805"/>
      <c r="AI35" s="805"/>
      <c r="AJ35" s="827"/>
      <c r="AK35" s="805"/>
      <c r="AL35" s="806"/>
      <c r="AM35" s="805"/>
      <c r="AN35" s="805"/>
      <c r="AO35" s="807"/>
      <c r="AP35" s="805"/>
      <c r="AQ35" s="805"/>
      <c r="AR35" s="807"/>
      <c r="AS35" s="807"/>
      <c r="AT35" s="805"/>
      <c r="AU35" s="805"/>
      <c r="AV35" s="807"/>
      <c r="AW35" s="802"/>
    </row>
    <row r="36" spans="1:49" s="803" customFormat="1" ht="12.75" customHeight="1" x14ac:dyDescent="0.25">
      <c r="A36" s="1115"/>
      <c r="B36" s="782" t="s">
        <v>1181</v>
      </c>
      <c r="C36" s="799">
        <f>C31*C34+C32*C35</f>
        <v>114.12710832513658</v>
      </c>
      <c r="D36" s="820"/>
      <c r="E36" s="780"/>
      <c r="F36" s="781"/>
      <c r="G36" s="769"/>
      <c r="H36" s="768"/>
      <c r="I36" s="770"/>
      <c r="J36" s="758"/>
      <c r="K36" s="828"/>
      <c r="L36" s="776"/>
      <c r="M36" s="771"/>
      <c r="N36" s="760"/>
      <c r="O36" s="759"/>
      <c r="P36" s="759"/>
      <c r="Q36" s="759"/>
      <c r="R36" s="759"/>
      <c r="S36" s="759"/>
      <c r="T36" s="759"/>
      <c r="U36" s="759"/>
      <c r="V36" s="759"/>
      <c r="W36" s="759"/>
      <c r="X36" s="759"/>
      <c r="Y36" s="759"/>
      <c r="Z36" s="759"/>
      <c r="AA36" s="755"/>
      <c r="AB36" s="755"/>
      <c r="AC36" s="755"/>
      <c r="AD36" s="802"/>
      <c r="AF36" s="821"/>
      <c r="AG36" s="802"/>
      <c r="AH36" s="805"/>
      <c r="AI36" s="805"/>
      <c r="AJ36" s="822"/>
      <c r="AK36" s="805"/>
      <c r="AL36" s="806"/>
      <c r="AM36" s="805"/>
      <c r="AN36" s="805"/>
      <c r="AO36" s="807"/>
      <c r="AP36" s="805"/>
      <c r="AQ36" s="805"/>
      <c r="AR36" s="807"/>
      <c r="AS36" s="807"/>
      <c r="AT36" s="805"/>
      <c r="AU36" s="805"/>
      <c r="AV36" s="807"/>
      <c r="AW36" s="802"/>
    </row>
    <row r="37" spans="1:49" s="803" customFormat="1" ht="13.5" customHeight="1" x14ac:dyDescent="0.25">
      <c r="A37" s="1116"/>
      <c r="B37" s="783"/>
      <c r="C37" s="826"/>
      <c r="D37" s="829"/>
      <c r="E37" s="780"/>
      <c r="F37" s="781"/>
      <c r="G37" s="769"/>
      <c r="H37" s="768"/>
      <c r="I37" s="770"/>
      <c r="J37" s="758"/>
      <c r="K37" s="828"/>
      <c r="L37" s="760"/>
      <c r="M37" s="771"/>
      <c r="N37" s="760"/>
      <c r="O37" s="759"/>
      <c r="P37" s="759"/>
      <c r="Q37" s="759"/>
      <c r="R37" s="759"/>
      <c r="S37" s="759"/>
      <c r="T37" s="759"/>
      <c r="U37" s="759"/>
      <c r="V37" s="759"/>
      <c r="W37" s="759"/>
      <c r="X37" s="759"/>
      <c r="Y37" s="759"/>
      <c r="Z37" s="759"/>
      <c r="AA37" s="755"/>
      <c r="AB37" s="755"/>
      <c r="AC37" s="755"/>
      <c r="AD37" s="802"/>
      <c r="AF37" s="821"/>
      <c r="AG37" s="802"/>
      <c r="AH37" s="805"/>
      <c r="AI37" s="805"/>
      <c r="AJ37" s="827"/>
      <c r="AK37" s="805"/>
      <c r="AL37" s="806"/>
      <c r="AM37" s="805"/>
      <c r="AN37" s="805"/>
      <c r="AO37" s="807"/>
      <c r="AP37" s="805"/>
      <c r="AQ37" s="805"/>
      <c r="AR37" s="807"/>
      <c r="AS37" s="807"/>
      <c r="AT37" s="805"/>
      <c r="AU37" s="805"/>
      <c r="AV37" s="807"/>
      <c r="AW37" s="802"/>
    </row>
    <row r="38" spans="1:49" s="3" customFormat="1" ht="56.25" hidden="1" customHeight="1" x14ac:dyDescent="0.25">
      <c r="A38" s="1012" t="s">
        <v>1600</v>
      </c>
      <c r="B38" s="258" t="s">
        <v>712</v>
      </c>
      <c r="C38" s="222"/>
      <c r="D38" s="219"/>
      <c r="E38" s="226" t="s">
        <v>488</v>
      </c>
      <c r="F38" s="53" t="s">
        <v>837</v>
      </c>
      <c r="G38" s="51" t="s">
        <v>489</v>
      </c>
      <c r="H38" s="52" t="s">
        <v>1170</v>
      </c>
      <c r="I38" s="53" t="s">
        <v>838</v>
      </c>
      <c r="J38" s="47" t="s">
        <v>1171</v>
      </c>
      <c r="K38" s="47" t="s">
        <v>490</v>
      </c>
      <c r="L38" s="54" t="s">
        <v>489</v>
      </c>
      <c r="M38" s="47" t="s">
        <v>1172</v>
      </c>
      <c r="N38" s="53" t="s">
        <v>838</v>
      </c>
      <c r="O38" s="47" t="s">
        <v>1171</v>
      </c>
      <c r="P38" s="47" t="s">
        <v>826</v>
      </c>
      <c r="Q38" s="47" t="s">
        <v>1173</v>
      </c>
      <c r="R38" s="47" t="s">
        <v>1174</v>
      </c>
      <c r="S38" s="47" t="s">
        <v>839</v>
      </c>
      <c r="T38" s="47" t="s">
        <v>1171</v>
      </c>
      <c r="U38" s="47" t="s">
        <v>1392</v>
      </c>
      <c r="V38" s="47" t="s">
        <v>841</v>
      </c>
      <c r="W38" s="231" t="s">
        <v>1173</v>
      </c>
      <c r="X38" s="47" t="s">
        <v>1394</v>
      </c>
      <c r="Y38" s="47" t="s">
        <v>839</v>
      </c>
      <c r="Z38" s="55"/>
      <c r="AA38" s="1"/>
      <c r="AB38" s="1"/>
      <c r="AC38" s="1"/>
      <c r="AD38" s="56"/>
      <c r="AF38" s="81"/>
      <c r="AG38" s="56"/>
      <c r="AH38" s="125"/>
      <c r="AI38" s="125"/>
      <c r="AJ38" s="125"/>
      <c r="AK38" s="125"/>
      <c r="AL38" s="127"/>
      <c r="AM38" s="125"/>
      <c r="AN38" s="125"/>
      <c r="AO38" s="128"/>
      <c r="AP38" s="125"/>
      <c r="AQ38" s="139"/>
      <c r="AR38" s="139"/>
      <c r="AS38" s="139"/>
      <c r="AT38" s="125"/>
      <c r="AU38" s="125"/>
      <c r="AV38" s="128"/>
      <c r="AW38" s="56"/>
    </row>
    <row r="39" spans="1:49" s="3" customFormat="1" ht="12" hidden="1" customHeight="1" x14ac:dyDescent="0.25">
      <c r="A39" s="1013"/>
      <c r="B39" s="36" t="s">
        <v>1175</v>
      </c>
      <c r="C39" s="222">
        <f>C46</f>
        <v>102.91704642113005</v>
      </c>
      <c r="D39" s="219">
        <f>C39*$D$5</f>
        <v>20.789243377068271</v>
      </c>
      <c r="E39" s="227" t="s">
        <v>1176</v>
      </c>
      <c r="F39" s="165"/>
      <c r="G39" s="58"/>
      <c r="H39" s="58"/>
      <c r="I39" s="2">
        <f>SUM(I40:I47)</f>
        <v>83.8536</v>
      </c>
      <c r="J39" s="59" t="s">
        <v>1176</v>
      </c>
      <c r="K39" s="169"/>
      <c r="L39" s="60"/>
      <c r="M39" s="60"/>
      <c r="N39" s="61">
        <f>SUM(N40:N47)</f>
        <v>4.4213899999999997</v>
      </c>
      <c r="O39" s="60" t="s">
        <v>1176</v>
      </c>
      <c r="P39" s="60"/>
      <c r="Q39" s="62"/>
      <c r="R39" s="63"/>
      <c r="S39" s="61">
        <f>SUM(S40:S47)</f>
        <v>9.7215000000000007</v>
      </c>
      <c r="T39" s="61"/>
      <c r="U39" s="61"/>
      <c r="V39" s="61"/>
      <c r="W39" s="61"/>
      <c r="X39" s="61"/>
      <c r="Y39" s="61">
        <f>SUM(Y40:Y47)</f>
        <v>9.1999999999999998E-3</v>
      </c>
      <c r="Z39" s="64">
        <f>(C39+D39+I39+N39+S39+Y39)*$Z$5</f>
        <v>288.26718747878243</v>
      </c>
      <c r="AA39" s="65">
        <f>C39+D39+I39+N39+S39+Y39+Z39</f>
        <v>509.97916727698077</v>
      </c>
      <c r="AB39" s="66">
        <v>0.25</v>
      </c>
      <c r="AC39" s="244">
        <f>AA39*(1+AB39)</f>
        <v>637.47395909622594</v>
      </c>
      <c r="AD39" s="67"/>
      <c r="AF39" s="81"/>
      <c r="AG39" s="56"/>
      <c r="AH39" s="125"/>
      <c r="AI39" s="139"/>
      <c r="AJ39" s="140"/>
      <c r="AK39" s="141"/>
      <c r="AL39" s="127"/>
      <c r="AM39" s="142"/>
      <c r="AN39" s="143"/>
      <c r="AO39" s="142"/>
      <c r="AP39" s="139"/>
      <c r="AQ39" s="139"/>
      <c r="AR39" s="139"/>
      <c r="AS39" s="139"/>
      <c r="AT39" s="139"/>
      <c r="AU39" s="142"/>
      <c r="AV39" s="142"/>
      <c r="AW39" s="144"/>
    </row>
    <row r="40" spans="1:49" s="3" customFormat="1" ht="12.75" hidden="1" customHeight="1" x14ac:dyDescent="0.25">
      <c r="A40" s="1013"/>
      <c r="B40" s="50" t="s">
        <v>830</v>
      </c>
      <c r="C40" s="222"/>
      <c r="D40" s="220"/>
      <c r="E40" s="68" t="s">
        <v>1437</v>
      </c>
      <c r="F40" s="69" t="s">
        <v>1438</v>
      </c>
      <c r="G40" s="70">
        <v>0.74</v>
      </c>
      <c r="H40" s="69">
        <v>0.01</v>
      </c>
      <c r="I40" s="71">
        <f t="shared" ref="I40:I45" si="1">G40*H40</f>
        <v>7.4000000000000003E-3</v>
      </c>
      <c r="J40" s="59" t="s">
        <v>1291</v>
      </c>
      <c r="K40" s="72">
        <v>2</v>
      </c>
      <c r="L40" s="73">
        <v>750</v>
      </c>
      <c r="M40" s="72">
        <v>2</v>
      </c>
      <c r="N40" s="61">
        <v>1.1745000000000001</v>
      </c>
      <c r="O40" s="60" t="s">
        <v>1239</v>
      </c>
      <c r="P40" s="60">
        <v>61189.5</v>
      </c>
      <c r="Q40" s="60">
        <v>19.670000000000002</v>
      </c>
      <c r="R40" s="60">
        <v>6513.87</v>
      </c>
      <c r="S40" s="60">
        <v>9.7215000000000007</v>
      </c>
      <c r="T40" s="239" t="s">
        <v>1435</v>
      </c>
      <c r="U40" s="240">
        <v>6785401.3499999996</v>
      </c>
      <c r="V40" s="241">
        <v>1.32E-2</v>
      </c>
      <c r="W40" s="239">
        <v>1508.3</v>
      </c>
      <c r="X40" s="61">
        <v>59.38</v>
      </c>
      <c r="Y40" s="60">
        <v>9.1999999999999998E-3</v>
      </c>
      <c r="Z40" s="60"/>
      <c r="AA40" s="1"/>
      <c r="AB40" s="1"/>
      <c r="AC40" s="1"/>
      <c r="AD40" s="56"/>
      <c r="AF40" s="151"/>
      <c r="AG40" s="56"/>
      <c r="AH40" s="125"/>
      <c r="AI40" s="125"/>
      <c r="AJ40" s="136"/>
      <c r="AK40" s="125"/>
      <c r="AL40" s="127"/>
      <c r="AM40" s="125"/>
      <c r="AN40" s="125"/>
      <c r="AO40" s="128"/>
      <c r="AP40" s="125"/>
      <c r="AQ40" s="125"/>
      <c r="AR40" s="128"/>
      <c r="AS40" s="128"/>
      <c r="AT40" s="125"/>
      <c r="AU40" s="125"/>
      <c r="AV40" s="128"/>
      <c r="AW40" s="56"/>
    </row>
    <row r="41" spans="1:49" s="3" customFormat="1" hidden="1" x14ac:dyDescent="0.25">
      <c r="A41" s="1013"/>
      <c r="B41" s="74" t="s">
        <v>1178</v>
      </c>
      <c r="C41" s="223">
        <f>C31</f>
        <v>38.717865870069311</v>
      </c>
      <c r="D41" s="220"/>
      <c r="E41" s="68" t="s">
        <v>1439</v>
      </c>
      <c r="F41" s="69" t="s">
        <v>1438</v>
      </c>
      <c r="G41" s="70">
        <v>0.27</v>
      </c>
      <c r="H41" s="69">
        <v>0.01</v>
      </c>
      <c r="I41" s="242">
        <f t="shared" si="1"/>
        <v>2.7000000000000001E-3</v>
      </c>
      <c r="J41" s="59" t="s">
        <v>1445</v>
      </c>
      <c r="K41" s="61">
        <v>2</v>
      </c>
      <c r="L41" s="76">
        <v>95</v>
      </c>
      <c r="M41" s="72">
        <v>2</v>
      </c>
      <c r="N41" s="61">
        <v>3.1146400000000001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1"/>
      <c r="AB41" s="1"/>
      <c r="AC41" s="1"/>
      <c r="AD41" s="56"/>
      <c r="AF41" s="151"/>
      <c r="AG41" s="56"/>
      <c r="AH41" s="125"/>
      <c r="AI41" s="125"/>
      <c r="AJ41" s="136"/>
      <c r="AK41" s="125"/>
      <c r="AL41" s="127"/>
      <c r="AM41" s="145"/>
      <c r="AN41" s="125"/>
      <c r="AO41" s="128"/>
      <c r="AP41" s="125"/>
      <c r="AQ41" s="125"/>
      <c r="AR41" s="128"/>
      <c r="AS41" s="128"/>
      <c r="AT41" s="125"/>
      <c r="AU41" s="125"/>
      <c r="AV41" s="128"/>
      <c r="AW41" s="56"/>
    </row>
    <row r="42" spans="1:49" s="3" customFormat="1" ht="12.75" hidden="1" customHeight="1" x14ac:dyDescent="0.25">
      <c r="A42" s="1013"/>
      <c r="B42" s="57" t="s">
        <v>1179</v>
      </c>
      <c r="C42" s="222">
        <f>C32</f>
        <v>22.420123808013045</v>
      </c>
      <c r="D42" s="220"/>
      <c r="E42" s="68" t="s">
        <v>1598</v>
      </c>
      <c r="F42" s="69" t="s">
        <v>1441</v>
      </c>
      <c r="G42" s="70">
        <v>4.4000000000000004</v>
      </c>
      <c r="H42" s="70">
        <v>1</v>
      </c>
      <c r="I42" s="71">
        <f t="shared" si="1"/>
        <v>4.4000000000000004</v>
      </c>
      <c r="J42" s="59" t="s">
        <v>1513</v>
      </c>
      <c r="K42" s="61">
        <v>2</v>
      </c>
      <c r="L42" s="61">
        <v>25</v>
      </c>
      <c r="M42" s="72">
        <v>0.5</v>
      </c>
      <c r="N42" s="61">
        <v>0.13225000000000001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1"/>
      <c r="AB42" s="1"/>
      <c r="AC42" s="1"/>
      <c r="AD42" s="56"/>
      <c r="AF42" s="151"/>
      <c r="AG42" s="56"/>
      <c r="AH42" s="125"/>
      <c r="AI42" s="125"/>
      <c r="AJ42" s="136"/>
      <c r="AK42" s="125"/>
      <c r="AL42" s="127"/>
      <c r="AM42" s="125"/>
      <c r="AN42" s="125"/>
      <c r="AO42" s="128"/>
      <c r="AP42" s="125"/>
      <c r="AQ42" s="125"/>
      <c r="AR42" s="128"/>
      <c r="AS42" s="128"/>
      <c r="AT42" s="125"/>
      <c r="AU42" s="125"/>
      <c r="AV42" s="128"/>
      <c r="AW42" s="56"/>
    </row>
    <row r="43" spans="1:49" s="3" customFormat="1" ht="12.75" hidden="1" customHeight="1" x14ac:dyDescent="0.25">
      <c r="A43" s="1013"/>
      <c r="B43" s="57" t="s">
        <v>831</v>
      </c>
      <c r="C43" s="224"/>
      <c r="D43" s="220"/>
      <c r="E43" s="68" t="s">
        <v>1599</v>
      </c>
      <c r="F43" s="69" t="s">
        <v>1441</v>
      </c>
      <c r="G43" s="70">
        <v>77.28</v>
      </c>
      <c r="H43" s="69">
        <v>1</v>
      </c>
      <c r="I43" s="71">
        <f t="shared" si="1"/>
        <v>77.28</v>
      </c>
      <c r="J43" s="59"/>
      <c r="K43" s="61"/>
      <c r="L43" s="61"/>
      <c r="M43" s="61"/>
      <c r="N43" s="61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1"/>
      <c r="AB43" s="1"/>
      <c r="AC43" s="1"/>
      <c r="AD43" s="56"/>
      <c r="AF43" s="151"/>
      <c r="AG43" s="56"/>
      <c r="AH43" s="125"/>
      <c r="AI43" s="125"/>
      <c r="AJ43" s="136"/>
      <c r="AK43" s="125"/>
      <c r="AL43" s="127"/>
      <c r="AM43" s="125"/>
      <c r="AN43" s="125"/>
      <c r="AO43" s="128"/>
      <c r="AP43" s="125"/>
      <c r="AQ43" s="125"/>
      <c r="AR43" s="128"/>
      <c r="AS43" s="128"/>
      <c r="AT43" s="125"/>
      <c r="AU43" s="125"/>
      <c r="AV43" s="128"/>
      <c r="AW43" s="56"/>
    </row>
    <row r="44" spans="1:49" s="3" customFormat="1" ht="12.75" hidden="1" customHeight="1" x14ac:dyDescent="0.25">
      <c r="A44" s="1013"/>
      <c r="B44" s="74" t="s">
        <v>1178</v>
      </c>
      <c r="C44" s="225">
        <v>1.5</v>
      </c>
      <c r="D44" s="220"/>
      <c r="E44" s="68" t="s">
        <v>1442</v>
      </c>
      <c r="F44" s="69" t="s">
        <v>1443</v>
      </c>
      <c r="G44" s="70">
        <v>419.5</v>
      </c>
      <c r="H44" s="69">
        <v>1E-3</v>
      </c>
      <c r="I44" s="71">
        <f t="shared" si="1"/>
        <v>0.41949999999999998</v>
      </c>
      <c r="J44" s="59"/>
      <c r="K44" s="61"/>
      <c r="L44" s="61"/>
      <c r="M44" s="61"/>
      <c r="N44" s="61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1"/>
      <c r="AB44" s="1"/>
      <c r="AC44" s="1"/>
      <c r="AD44" s="56"/>
      <c r="AF44" s="151"/>
      <c r="AG44" s="56"/>
      <c r="AH44" s="125"/>
      <c r="AI44" s="125"/>
      <c r="AJ44" s="146"/>
      <c r="AK44" s="125"/>
      <c r="AL44" s="127"/>
      <c r="AM44" s="125"/>
      <c r="AN44" s="125"/>
      <c r="AO44" s="128"/>
      <c r="AP44" s="125"/>
      <c r="AQ44" s="125"/>
      <c r="AR44" s="128"/>
      <c r="AS44" s="128"/>
      <c r="AT44" s="125"/>
      <c r="AU44" s="125"/>
      <c r="AV44" s="128"/>
      <c r="AW44" s="56"/>
    </row>
    <row r="45" spans="1:49" s="3" customFormat="1" ht="12.75" hidden="1" customHeight="1" x14ac:dyDescent="0.25">
      <c r="A45" s="1013"/>
      <c r="B45" s="57" t="s">
        <v>1179</v>
      </c>
      <c r="C45" s="225">
        <v>2</v>
      </c>
      <c r="D45" s="220"/>
      <c r="E45" s="68" t="s">
        <v>1444</v>
      </c>
      <c r="F45" s="69" t="s">
        <v>1443</v>
      </c>
      <c r="G45" s="70">
        <v>872</v>
      </c>
      <c r="H45" s="69">
        <v>2E-3</v>
      </c>
      <c r="I45" s="71">
        <f t="shared" si="1"/>
        <v>1.744</v>
      </c>
      <c r="J45" s="59"/>
      <c r="K45" s="61"/>
      <c r="L45" s="61"/>
      <c r="M45" s="61"/>
      <c r="N45" s="61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1"/>
      <c r="AB45" s="1"/>
      <c r="AC45" s="1"/>
      <c r="AD45" s="56"/>
      <c r="AF45" s="151"/>
      <c r="AG45" s="56"/>
      <c r="AH45" s="125"/>
      <c r="AI45" s="125"/>
      <c r="AJ45" s="146"/>
      <c r="AK45" s="125"/>
      <c r="AL45" s="127"/>
      <c r="AM45" s="125"/>
      <c r="AN45" s="125"/>
      <c r="AO45" s="128"/>
      <c r="AP45" s="125"/>
      <c r="AQ45" s="125"/>
      <c r="AR45" s="128"/>
      <c r="AS45" s="128"/>
      <c r="AT45" s="125"/>
      <c r="AU45" s="125"/>
      <c r="AV45" s="128"/>
      <c r="AW45" s="56"/>
    </row>
    <row r="46" spans="1:49" s="3" customFormat="1" ht="12.75" hidden="1" customHeight="1" x14ac:dyDescent="0.25">
      <c r="A46" s="1013"/>
      <c r="B46" s="79" t="s">
        <v>1181</v>
      </c>
      <c r="C46" s="222">
        <f>C41*C44+C42*C45</f>
        <v>102.91704642113005</v>
      </c>
      <c r="D46" s="220"/>
      <c r="E46" s="228"/>
      <c r="F46" s="166"/>
      <c r="G46" s="70"/>
      <c r="H46" s="69"/>
      <c r="I46" s="71"/>
      <c r="J46" s="59"/>
      <c r="K46" s="170"/>
      <c r="L46" s="76"/>
      <c r="M46" s="72"/>
      <c r="N46" s="61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1"/>
      <c r="AB46" s="1"/>
      <c r="AC46" s="1"/>
      <c r="AD46" s="56"/>
      <c r="AF46" s="151"/>
      <c r="AG46" s="56"/>
      <c r="AH46" s="125"/>
      <c r="AI46" s="125"/>
      <c r="AJ46" s="136"/>
      <c r="AK46" s="125"/>
      <c r="AL46" s="127"/>
      <c r="AM46" s="125"/>
      <c r="AN46" s="125"/>
      <c r="AO46" s="128"/>
      <c r="AP46" s="125"/>
      <c r="AQ46" s="125"/>
      <c r="AR46" s="128"/>
      <c r="AS46" s="128"/>
      <c r="AT46" s="125"/>
      <c r="AU46" s="125"/>
      <c r="AV46" s="128"/>
      <c r="AW46" s="56"/>
    </row>
    <row r="47" spans="1:49" s="3" customFormat="1" ht="13.5" hidden="1" customHeight="1" x14ac:dyDescent="0.25">
      <c r="A47" s="1014"/>
      <c r="B47" s="123"/>
      <c r="C47" s="225"/>
      <c r="D47" s="221"/>
      <c r="E47" s="228"/>
      <c r="F47" s="166"/>
      <c r="G47" s="70"/>
      <c r="H47" s="69"/>
      <c r="I47" s="71"/>
      <c r="J47" s="59"/>
      <c r="K47" s="170"/>
      <c r="L47" s="61"/>
      <c r="M47" s="72"/>
      <c r="N47" s="61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1"/>
      <c r="AB47" s="1"/>
      <c r="AC47" s="1"/>
      <c r="AD47" s="56"/>
      <c r="AF47" s="151"/>
      <c r="AG47" s="56"/>
      <c r="AH47" s="125"/>
      <c r="AI47" s="125"/>
      <c r="AJ47" s="146"/>
      <c r="AK47" s="125"/>
      <c r="AL47" s="127"/>
      <c r="AM47" s="125"/>
      <c r="AN47" s="125"/>
      <c r="AO47" s="128"/>
      <c r="AP47" s="125"/>
      <c r="AQ47" s="125"/>
      <c r="AR47" s="128"/>
      <c r="AS47" s="128"/>
      <c r="AT47" s="125"/>
      <c r="AU47" s="125"/>
      <c r="AV47" s="128"/>
      <c r="AW47" s="56"/>
    </row>
    <row r="48" spans="1:49" s="3" customFormat="1" ht="13.5" hidden="1" customHeight="1" x14ac:dyDescent="0.25">
      <c r="A48" s="1059" t="s">
        <v>1601</v>
      </c>
      <c r="B48" s="1060"/>
      <c r="C48" s="1060"/>
      <c r="D48" s="1060"/>
      <c r="E48" s="1060"/>
      <c r="F48" s="1060"/>
      <c r="G48" s="1060"/>
      <c r="H48" s="1060"/>
      <c r="I48" s="1060"/>
      <c r="J48" s="1060"/>
      <c r="K48" s="1060"/>
      <c r="L48" s="1060"/>
      <c r="M48" s="1060"/>
      <c r="N48" s="1060"/>
      <c r="O48" s="1060"/>
      <c r="P48" s="1060"/>
      <c r="Q48" s="1060"/>
      <c r="R48" s="1060"/>
      <c r="S48" s="1060"/>
      <c r="T48" s="1060"/>
      <c r="U48" s="1060"/>
      <c r="V48" s="1060"/>
      <c r="W48" s="1060"/>
      <c r="X48" s="1060"/>
      <c r="Y48" s="1060"/>
      <c r="Z48" s="1060"/>
      <c r="AA48" s="1060"/>
      <c r="AB48" s="1060"/>
      <c r="AC48" s="1061"/>
      <c r="AD48" s="56"/>
      <c r="AF48" s="151"/>
      <c r="AG48" s="56"/>
      <c r="AH48" s="125"/>
      <c r="AI48" s="125"/>
      <c r="AJ48" s="146"/>
      <c r="AK48" s="125"/>
      <c r="AL48" s="127"/>
      <c r="AM48" s="125"/>
      <c r="AN48" s="125"/>
      <c r="AO48" s="128"/>
      <c r="AP48" s="125"/>
      <c r="AQ48" s="125"/>
      <c r="AR48" s="128"/>
      <c r="AS48" s="128"/>
      <c r="AT48" s="125"/>
      <c r="AU48" s="125"/>
      <c r="AV48" s="128"/>
      <c r="AW48" s="56"/>
    </row>
    <row r="49" spans="1:49" s="3" customFormat="1" ht="56.25" hidden="1" customHeight="1" x14ac:dyDescent="0.25">
      <c r="A49" s="1012" t="s">
        <v>1602</v>
      </c>
      <c r="B49" s="51"/>
      <c r="C49" s="222"/>
      <c r="D49" s="219"/>
      <c r="E49" s="226" t="s">
        <v>488</v>
      </c>
      <c r="F49" s="53" t="s">
        <v>837</v>
      </c>
      <c r="G49" s="51" t="s">
        <v>489</v>
      </c>
      <c r="H49" s="52" t="s">
        <v>1170</v>
      </c>
      <c r="I49" s="53" t="s">
        <v>838</v>
      </c>
      <c r="J49" s="47" t="s">
        <v>1171</v>
      </c>
      <c r="K49" s="47" t="s">
        <v>490</v>
      </c>
      <c r="L49" s="54" t="s">
        <v>489</v>
      </c>
      <c r="M49" s="47" t="s">
        <v>1172</v>
      </c>
      <c r="N49" s="53" t="s">
        <v>838</v>
      </c>
      <c r="O49" s="47" t="s">
        <v>1171</v>
      </c>
      <c r="P49" s="47" t="s">
        <v>826</v>
      </c>
      <c r="Q49" s="47" t="s">
        <v>1173</v>
      </c>
      <c r="R49" s="47" t="s">
        <v>1174</v>
      </c>
      <c r="S49" s="47" t="s">
        <v>839</v>
      </c>
      <c r="T49" s="47" t="s">
        <v>1171</v>
      </c>
      <c r="U49" s="47" t="s">
        <v>1392</v>
      </c>
      <c r="V49" s="47" t="s">
        <v>841</v>
      </c>
      <c r="W49" s="231" t="s">
        <v>1173</v>
      </c>
      <c r="X49" s="47" t="s">
        <v>1394</v>
      </c>
      <c r="Y49" s="47" t="s">
        <v>839</v>
      </c>
      <c r="Z49" s="55"/>
      <c r="AA49" s="1"/>
      <c r="AB49" s="1"/>
      <c r="AC49" s="1"/>
      <c r="AD49" s="56"/>
      <c r="AF49" s="81"/>
      <c r="AG49" s="56"/>
      <c r="AH49" s="125"/>
      <c r="AI49" s="125"/>
      <c r="AJ49" s="125"/>
      <c r="AK49" s="125"/>
      <c r="AL49" s="127"/>
      <c r="AM49" s="125"/>
      <c r="AN49" s="125"/>
      <c r="AO49" s="128"/>
      <c r="AP49" s="125"/>
      <c r="AQ49" s="139"/>
      <c r="AR49" s="139"/>
      <c r="AS49" s="139"/>
      <c r="AT49" s="125"/>
      <c r="AU49" s="125"/>
      <c r="AV49" s="128"/>
      <c r="AW49" s="56"/>
    </row>
    <row r="50" spans="1:49" s="3" customFormat="1" ht="12" hidden="1" customHeight="1" x14ac:dyDescent="0.25">
      <c r="A50" s="1013"/>
      <c r="B50" s="36" t="s">
        <v>1175</v>
      </c>
      <c r="C50" s="222">
        <f>C57</f>
        <v>102.91704642113005</v>
      </c>
      <c r="D50" s="219">
        <f>C50*$D$5</f>
        <v>20.789243377068271</v>
      </c>
      <c r="E50" s="227" t="s">
        <v>1176</v>
      </c>
      <c r="F50" s="165"/>
      <c r="G50" s="58"/>
      <c r="H50" s="58"/>
      <c r="I50" s="2">
        <f>SUM(I51:I58)</f>
        <v>83.8536</v>
      </c>
      <c r="J50" s="59" t="s">
        <v>1176</v>
      </c>
      <c r="K50" s="169"/>
      <c r="L50" s="60"/>
      <c r="M50" s="60"/>
      <c r="N50" s="61">
        <f>SUM(N51:N58)</f>
        <v>4.4213899999999997</v>
      </c>
      <c r="O50" s="60" t="s">
        <v>1176</v>
      </c>
      <c r="P50" s="60"/>
      <c r="Q50" s="62"/>
      <c r="R50" s="63"/>
      <c r="S50" s="61">
        <f>SUM(S51:S58)</f>
        <v>9.7215000000000007</v>
      </c>
      <c r="T50" s="61"/>
      <c r="U50" s="61"/>
      <c r="V50" s="61"/>
      <c r="W50" s="61"/>
      <c r="X50" s="61"/>
      <c r="Y50" s="61">
        <f>SUM(Y51:Y58)</f>
        <v>9.1999999999999998E-3</v>
      </c>
      <c r="Z50" s="64">
        <f>(C50+D50+I50+N50+Y50+S50)*$Z$5</f>
        <v>288.26718747878243</v>
      </c>
      <c r="AA50" s="65">
        <f>C50+D50+I50+N50+S50+Y50+Z50</f>
        <v>509.97916727698077</v>
      </c>
      <c r="AB50" s="66">
        <v>0.25</v>
      </c>
      <c r="AC50" s="244">
        <f>AA50*(1+AB50)</f>
        <v>637.47395909622594</v>
      </c>
      <c r="AD50" s="67"/>
      <c r="AF50" s="81"/>
      <c r="AG50" s="56"/>
      <c r="AH50" s="125"/>
      <c r="AI50" s="139"/>
      <c r="AJ50" s="140"/>
      <c r="AK50" s="141"/>
      <c r="AL50" s="127"/>
      <c r="AM50" s="142"/>
      <c r="AN50" s="143"/>
      <c r="AO50" s="142"/>
      <c r="AP50" s="139"/>
      <c r="AQ50" s="139"/>
      <c r="AR50" s="139"/>
      <c r="AS50" s="139"/>
      <c r="AT50" s="139"/>
      <c r="AU50" s="142"/>
      <c r="AV50" s="142"/>
      <c r="AW50" s="144"/>
    </row>
    <row r="51" spans="1:49" s="3" customFormat="1" ht="12.75" hidden="1" customHeight="1" x14ac:dyDescent="0.25">
      <c r="A51" s="1013"/>
      <c r="B51" s="50" t="s">
        <v>830</v>
      </c>
      <c r="C51" s="222"/>
      <c r="D51" s="220"/>
      <c r="E51" s="68" t="s">
        <v>1437</v>
      </c>
      <c r="F51" s="69" t="s">
        <v>1438</v>
      </c>
      <c r="G51" s="70">
        <v>0.74</v>
      </c>
      <c r="H51" s="69">
        <v>0.01</v>
      </c>
      <c r="I51" s="71">
        <f t="shared" ref="I51:I56" si="2">G51*H51</f>
        <v>7.4000000000000003E-3</v>
      </c>
      <c r="J51" s="59" t="s">
        <v>1291</v>
      </c>
      <c r="K51" s="72">
        <v>2</v>
      </c>
      <c r="L51" s="73">
        <v>750</v>
      </c>
      <c r="M51" s="72">
        <v>2</v>
      </c>
      <c r="N51" s="61">
        <v>1.1745000000000001</v>
      </c>
      <c r="O51" s="60" t="s">
        <v>1239</v>
      </c>
      <c r="P51" s="60">
        <v>61189.5</v>
      </c>
      <c r="Q51" s="60">
        <v>19.670000000000002</v>
      </c>
      <c r="R51" s="60">
        <v>6513.87</v>
      </c>
      <c r="S51" s="60">
        <v>9.7215000000000007</v>
      </c>
      <c r="T51" s="239" t="s">
        <v>1435</v>
      </c>
      <c r="U51" s="240">
        <v>6785401.3499999996</v>
      </c>
      <c r="V51" s="241">
        <v>1.32E-2</v>
      </c>
      <c r="W51" s="239">
        <v>1508.3</v>
      </c>
      <c r="X51" s="61">
        <v>59.38</v>
      </c>
      <c r="Y51" s="60">
        <v>9.1999999999999998E-3</v>
      </c>
      <c r="Z51" s="60"/>
      <c r="AA51" s="1"/>
      <c r="AB51" s="1"/>
      <c r="AC51" s="1"/>
      <c r="AD51" s="56"/>
      <c r="AF51" s="151"/>
      <c r="AG51" s="56"/>
      <c r="AH51" s="125"/>
      <c r="AI51" s="125"/>
      <c r="AJ51" s="136"/>
      <c r="AK51" s="125"/>
      <c r="AL51" s="127"/>
      <c r="AM51" s="125"/>
      <c r="AN51" s="125"/>
      <c r="AO51" s="128"/>
      <c r="AP51" s="125"/>
      <c r="AQ51" s="125"/>
      <c r="AR51" s="128"/>
      <c r="AS51" s="128"/>
      <c r="AT51" s="125"/>
      <c r="AU51" s="125"/>
      <c r="AV51" s="128"/>
      <c r="AW51" s="56"/>
    </row>
    <row r="52" spans="1:49" s="3" customFormat="1" hidden="1" x14ac:dyDescent="0.25">
      <c r="A52" s="1013"/>
      <c r="B52" s="74" t="s">
        <v>1178</v>
      </c>
      <c r="C52" s="223">
        <f>C41</f>
        <v>38.717865870069311</v>
      </c>
      <c r="D52" s="220"/>
      <c r="E52" s="68" t="s">
        <v>1439</v>
      </c>
      <c r="F52" s="69" t="s">
        <v>1438</v>
      </c>
      <c r="G52" s="70">
        <v>0.27</v>
      </c>
      <c r="H52" s="69">
        <v>0.01</v>
      </c>
      <c r="I52" s="242">
        <f t="shared" si="2"/>
        <v>2.7000000000000001E-3</v>
      </c>
      <c r="J52" s="59" t="s">
        <v>1445</v>
      </c>
      <c r="K52" s="61">
        <v>2</v>
      </c>
      <c r="L52" s="76">
        <v>95</v>
      </c>
      <c r="M52" s="72">
        <v>2</v>
      </c>
      <c r="N52" s="61">
        <v>3.1146400000000001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1"/>
      <c r="AB52" s="1"/>
      <c r="AC52" s="1"/>
      <c r="AD52" s="56"/>
      <c r="AF52" s="151"/>
      <c r="AG52" s="56"/>
      <c r="AH52" s="125"/>
      <c r="AI52" s="125"/>
      <c r="AJ52" s="136"/>
      <c r="AK52" s="125"/>
      <c r="AL52" s="127"/>
      <c r="AM52" s="145"/>
      <c r="AN52" s="125"/>
      <c r="AO52" s="128"/>
      <c r="AP52" s="125"/>
      <c r="AQ52" s="125"/>
      <c r="AR52" s="128"/>
      <c r="AS52" s="128"/>
      <c r="AT52" s="125"/>
      <c r="AU52" s="125"/>
      <c r="AV52" s="128"/>
      <c r="AW52" s="56"/>
    </row>
    <row r="53" spans="1:49" s="3" customFormat="1" ht="12.75" hidden="1" customHeight="1" x14ac:dyDescent="0.25">
      <c r="A53" s="1013"/>
      <c r="B53" s="57" t="s">
        <v>1179</v>
      </c>
      <c r="C53" s="222">
        <f>C42</f>
        <v>22.420123808013045</v>
      </c>
      <c r="D53" s="220"/>
      <c r="E53" s="68" t="s">
        <v>1598</v>
      </c>
      <c r="F53" s="69" t="s">
        <v>1441</v>
      </c>
      <c r="G53" s="70">
        <v>4.4000000000000004</v>
      </c>
      <c r="H53" s="70">
        <v>1</v>
      </c>
      <c r="I53" s="71">
        <f t="shared" si="2"/>
        <v>4.4000000000000004</v>
      </c>
      <c r="J53" s="59" t="s">
        <v>1513</v>
      </c>
      <c r="K53" s="61">
        <v>2</v>
      </c>
      <c r="L53" s="61">
        <v>25</v>
      </c>
      <c r="M53" s="72">
        <v>0.5</v>
      </c>
      <c r="N53" s="61">
        <v>0.13225000000000001</v>
      </c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1"/>
      <c r="AB53" s="1"/>
      <c r="AC53" s="1"/>
      <c r="AD53" s="56"/>
      <c r="AF53" s="151"/>
      <c r="AG53" s="56"/>
      <c r="AH53" s="125"/>
      <c r="AI53" s="125"/>
      <c r="AJ53" s="136"/>
      <c r="AK53" s="125"/>
      <c r="AL53" s="127"/>
      <c r="AM53" s="125"/>
      <c r="AN53" s="125"/>
      <c r="AO53" s="128"/>
      <c r="AP53" s="125"/>
      <c r="AQ53" s="125"/>
      <c r="AR53" s="128"/>
      <c r="AS53" s="128"/>
      <c r="AT53" s="125"/>
      <c r="AU53" s="125"/>
      <c r="AV53" s="128"/>
      <c r="AW53" s="56"/>
    </row>
    <row r="54" spans="1:49" s="3" customFormat="1" ht="12.75" hidden="1" customHeight="1" x14ac:dyDescent="0.25">
      <c r="A54" s="1013"/>
      <c r="B54" s="57" t="s">
        <v>831</v>
      </c>
      <c r="C54" s="224"/>
      <c r="D54" s="220"/>
      <c r="E54" s="68" t="s">
        <v>1599</v>
      </c>
      <c r="F54" s="69" t="s">
        <v>1441</v>
      </c>
      <c r="G54" s="70">
        <v>77.28</v>
      </c>
      <c r="H54" s="69">
        <v>1</v>
      </c>
      <c r="I54" s="71">
        <f t="shared" si="2"/>
        <v>77.28</v>
      </c>
      <c r="J54" s="59"/>
      <c r="K54" s="61"/>
      <c r="L54" s="61"/>
      <c r="M54" s="61"/>
      <c r="N54" s="61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1"/>
      <c r="AB54" s="1"/>
      <c r="AC54" s="1"/>
      <c r="AD54" s="56"/>
      <c r="AF54" s="151"/>
      <c r="AG54" s="56"/>
      <c r="AH54" s="125"/>
      <c r="AI54" s="125"/>
      <c r="AJ54" s="136"/>
      <c r="AK54" s="125"/>
      <c r="AL54" s="127"/>
      <c r="AM54" s="125"/>
      <c r="AN54" s="125"/>
      <c r="AO54" s="128"/>
      <c r="AP54" s="125"/>
      <c r="AQ54" s="125"/>
      <c r="AR54" s="128"/>
      <c r="AS54" s="128"/>
      <c r="AT54" s="125"/>
      <c r="AU54" s="125"/>
      <c r="AV54" s="128"/>
      <c r="AW54" s="56"/>
    </row>
    <row r="55" spans="1:49" s="3" customFormat="1" ht="12.75" hidden="1" customHeight="1" x14ac:dyDescent="0.25">
      <c r="A55" s="1013"/>
      <c r="B55" s="74" t="s">
        <v>1178</v>
      </c>
      <c r="C55" s="225">
        <v>1.5</v>
      </c>
      <c r="D55" s="220"/>
      <c r="E55" s="68" t="s">
        <v>1442</v>
      </c>
      <c r="F55" s="69" t="s">
        <v>1443</v>
      </c>
      <c r="G55" s="70">
        <v>419.5</v>
      </c>
      <c r="H55" s="69">
        <v>1E-3</v>
      </c>
      <c r="I55" s="71">
        <f t="shared" si="2"/>
        <v>0.41949999999999998</v>
      </c>
      <c r="J55" s="59"/>
      <c r="K55" s="61"/>
      <c r="L55" s="61"/>
      <c r="M55" s="61"/>
      <c r="N55" s="61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1"/>
      <c r="AB55" s="1"/>
      <c r="AC55" s="1"/>
      <c r="AD55" s="56"/>
      <c r="AF55" s="151"/>
      <c r="AG55" s="56"/>
      <c r="AH55" s="125"/>
      <c r="AI55" s="125"/>
      <c r="AJ55" s="146"/>
      <c r="AK55" s="125"/>
      <c r="AL55" s="127"/>
      <c r="AM55" s="125"/>
      <c r="AN55" s="125"/>
      <c r="AO55" s="128"/>
      <c r="AP55" s="125"/>
      <c r="AQ55" s="125"/>
      <c r="AR55" s="128"/>
      <c r="AS55" s="128"/>
      <c r="AT55" s="125"/>
      <c r="AU55" s="125"/>
      <c r="AV55" s="128"/>
      <c r="AW55" s="56"/>
    </row>
    <row r="56" spans="1:49" s="3" customFormat="1" ht="12.75" hidden="1" customHeight="1" x14ac:dyDescent="0.25">
      <c r="A56" s="1013"/>
      <c r="B56" s="57" t="s">
        <v>1179</v>
      </c>
      <c r="C56" s="225">
        <v>2</v>
      </c>
      <c r="D56" s="220"/>
      <c r="E56" s="68" t="s">
        <v>1444</v>
      </c>
      <c r="F56" s="69" t="s">
        <v>1443</v>
      </c>
      <c r="G56" s="70">
        <v>872</v>
      </c>
      <c r="H56" s="69">
        <v>2E-3</v>
      </c>
      <c r="I56" s="71">
        <f t="shared" si="2"/>
        <v>1.744</v>
      </c>
      <c r="J56" s="59"/>
      <c r="K56" s="61"/>
      <c r="L56" s="61"/>
      <c r="M56" s="61"/>
      <c r="N56" s="61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1"/>
      <c r="AB56" s="1"/>
      <c r="AC56" s="1"/>
      <c r="AD56" s="56"/>
      <c r="AF56" s="151"/>
      <c r="AG56" s="56"/>
      <c r="AH56" s="125"/>
      <c r="AI56" s="125"/>
      <c r="AJ56" s="146"/>
      <c r="AK56" s="125"/>
      <c r="AL56" s="127"/>
      <c r="AM56" s="125"/>
      <c r="AN56" s="125"/>
      <c r="AO56" s="128"/>
      <c r="AP56" s="125"/>
      <c r="AQ56" s="125"/>
      <c r="AR56" s="128"/>
      <c r="AS56" s="128"/>
      <c r="AT56" s="125"/>
      <c r="AU56" s="125"/>
      <c r="AV56" s="128"/>
      <c r="AW56" s="56"/>
    </row>
    <row r="57" spans="1:49" s="3" customFormat="1" ht="12.75" hidden="1" customHeight="1" x14ac:dyDescent="0.25">
      <c r="A57" s="1013"/>
      <c r="B57" s="79" t="s">
        <v>1181</v>
      </c>
      <c r="C57" s="222">
        <f>C52*C55+C53*C56</f>
        <v>102.91704642113005</v>
      </c>
      <c r="D57" s="220"/>
      <c r="E57" s="228"/>
      <c r="F57" s="166"/>
      <c r="G57" s="70"/>
      <c r="H57" s="69"/>
      <c r="I57" s="71"/>
      <c r="J57" s="59"/>
      <c r="K57" s="170"/>
      <c r="L57" s="76"/>
      <c r="M57" s="72"/>
      <c r="N57" s="61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1"/>
      <c r="AB57" s="1"/>
      <c r="AC57" s="1"/>
      <c r="AD57" s="56"/>
      <c r="AF57" s="151"/>
      <c r="AG57" s="56"/>
      <c r="AH57" s="125"/>
      <c r="AI57" s="125"/>
      <c r="AJ57" s="136"/>
      <c r="AK57" s="125"/>
      <c r="AL57" s="127"/>
      <c r="AM57" s="125"/>
      <c r="AN57" s="125"/>
      <c r="AO57" s="128"/>
      <c r="AP57" s="125"/>
      <c r="AQ57" s="125"/>
      <c r="AR57" s="128"/>
      <c r="AS57" s="128"/>
      <c r="AT57" s="125"/>
      <c r="AU57" s="125"/>
      <c r="AV57" s="128"/>
      <c r="AW57" s="56"/>
    </row>
    <row r="58" spans="1:49" s="3" customFormat="1" ht="13.5" hidden="1" customHeight="1" x14ac:dyDescent="0.25">
      <c r="A58" s="1014"/>
      <c r="B58" s="123"/>
      <c r="C58" s="225"/>
      <c r="D58" s="221"/>
      <c r="E58" s="228"/>
      <c r="F58" s="166"/>
      <c r="G58" s="70"/>
      <c r="H58" s="69"/>
      <c r="I58" s="71"/>
      <c r="J58" s="59"/>
      <c r="K58" s="170"/>
      <c r="L58" s="61"/>
      <c r="M58" s="72"/>
      <c r="N58" s="61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1"/>
      <c r="AB58" s="1"/>
      <c r="AC58" s="1"/>
      <c r="AD58" s="56"/>
      <c r="AF58" s="151"/>
      <c r="AG58" s="56"/>
      <c r="AH58" s="125"/>
      <c r="AI58" s="125"/>
      <c r="AJ58" s="146"/>
      <c r="AK58" s="125"/>
      <c r="AL58" s="127"/>
      <c r="AM58" s="125"/>
      <c r="AN58" s="125"/>
      <c r="AO58" s="128"/>
      <c r="AP58" s="125"/>
      <c r="AQ58" s="125"/>
      <c r="AR58" s="128"/>
      <c r="AS58" s="128"/>
      <c r="AT58" s="125"/>
      <c r="AU58" s="125"/>
      <c r="AV58" s="128"/>
      <c r="AW58" s="56"/>
    </row>
    <row r="59" spans="1:49" s="3" customFormat="1" ht="13.5" hidden="1" customHeight="1" x14ac:dyDescent="0.25">
      <c r="A59" s="1059" t="s">
        <v>1603</v>
      </c>
      <c r="B59" s="1060"/>
      <c r="C59" s="1060"/>
      <c r="D59" s="1060"/>
      <c r="E59" s="1060"/>
      <c r="F59" s="1060"/>
      <c r="G59" s="1060"/>
      <c r="H59" s="1060"/>
      <c r="I59" s="1060"/>
      <c r="J59" s="1060"/>
      <c r="K59" s="1060"/>
      <c r="L59" s="1060"/>
      <c r="M59" s="1060"/>
      <c r="N59" s="1060"/>
      <c r="O59" s="1060"/>
      <c r="P59" s="1060"/>
      <c r="Q59" s="1060"/>
      <c r="R59" s="1060"/>
      <c r="S59" s="1060"/>
      <c r="T59" s="1060"/>
      <c r="U59" s="1060"/>
      <c r="V59" s="1060"/>
      <c r="W59" s="1060"/>
      <c r="X59" s="1060"/>
      <c r="Y59" s="1060"/>
      <c r="Z59" s="1060"/>
      <c r="AA59" s="1060"/>
      <c r="AB59" s="1060"/>
      <c r="AC59" s="1061"/>
      <c r="AD59" s="56"/>
      <c r="AF59" s="151"/>
      <c r="AG59" s="56"/>
      <c r="AH59" s="125"/>
      <c r="AI59" s="125"/>
      <c r="AJ59" s="146"/>
      <c r="AK59" s="125"/>
      <c r="AL59" s="127"/>
      <c r="AM59" s="125"/>
      <c r="AN59" s="125"/>
      <c r="AO59" s="128"/>
      <c r="AP59" s="125"/>
      <c r="AQ59" s="125"/>
      <c r="AR59" s="128"/>
      <c r="AS59" s="128"/>
      <c r="AT59" s="125"/>
      <c r="AU59" s="125"/>
      <c r="AV59" s="128"/>
      <c r="AW59" s="56"/>
    </row>
    <row r="60" spans="1:49" s="3" customFormat="1" ht="56.25" hidden="1" customHeight="1" x14ac:dyDescent="0.25">
      <c r="A60" s="1012" t="s">
        <v>1604</v>
      </c>
      <c r="B60" s="258" t="s">
        <v>713</v>
      </c>
      <c r="C60" s="222"/>
      <c r="D60" s="219"/>
      <c r="E60" s="226" t="s">
        <v>488</v>
      </c>
      <c r="F60" s="53" t="s">
        <v>837</v>
      </c>
      <c r="G60" s="51" t="s">
        <v>489</v>
      </c>
      <c r="H60" s="52" t="s">
        <v>1170</v>
      </c>
      <c r="I60" s="53" t="s">
        <v>838</v>
      </c>
      <c r="J60" s="47" t="s">
        <v>1171</v>
      </c>
      <c r="K60" s="47" t="s">
        <v>490</v>
      </c>
      <c r="L60" s="54" t="s">
        <v>489</v>
      </c>
      <c r="M60" s="47" t="s">
        <v>1172</v>
      </c>
      <c r="N60" s="53" t="s">
        <v>838</v>
      </c>
      <c r="O60" s="47" t="s">
        <v>1171</v>
      </c>
      <c r="P60" s="47" t="s">
        <v>826</v>
      </c>
      <c r="Q60" s="47" t="s">
        <v>1173</v>
      </c>
      <c r="R60" s="47" t="s">
        <v>1174</v>
      </c>
      <c r="S60" s="47" t="s">
        <v>839</v>
      </c>
      <c r="T60" s="47" t="s">
        <v>1171</v>
      </c>
      <c r="U60" s="47" t="s">
        <v>1392</v>
      </c>
      <c r="V60" s="47" t="s">
        <v>841</v>
      </c>
      <c r="W60" s="231" t="s">
        <v>1173</v>
      </c>
      <c r="X60" s="47" t="s">
        <v>1394</v>
      </c>
      <c r="Y60" s="47" t="s">
        <v>839</v>
      </c>
      <c r="Z60" s="55"/>
      <c r="AA60" s="1"/>
      <c r="AB60" s="1"/>
      <c r="AC60" s="1"/>
      <c r="AD60" s="56"/>
      <c r="AF60" s="81"/>
      <c r="AG60" s="56"/>
      <c r="AH60" s="125"/>
      <c r="AI60" s="125"/>
      <c r="AJ60" s="125"/>
      <c r="AK60" s="125"/>
      <c r="AL60" s="127"/>
      <c r="AM60" s="125"/>
      <c r="AN60" s="125"/>
      <c r="AO60" s="128"/>
      <c r="AP60" s="125"/>
      <c r="AQ60" s="139"/>
      <c r="AR60" s="139"/>
      <c r="AS60" s="139"/>
      <c r="AT60" s="125"/>
      <c r="AU60" s="125"/>
      <c r="AV60" s="128"/>
      <c r="AW60" s="56"/>
    </row>
    <row r="61" spans="1:49" s="3" customFormat="1" ht="12" hidden="1" customHeight="1" x14ac:dyDescent="0.25">
      <c r="A61" s="1013"/>
      <c r="B61" s="36" t="s">
        <v>1175</v>
      </c>
      <c r="C61" s="222">
        <f>C68</f>
        <v>72.348051582088885</v>
      </c>
      <c r="D61" s="219">
        <f>C61*$D$5</f>
        <v>14.614306419581956</v>
      </c>
      <c r="E61" s="227" t="s">
        <v>1176</v>
      </c>
      <c r="F61" s="165"/>
      <c r="G61" s="58"/>
      <c r="H61" s="58"/>
      <c r="I61" s="2">
        <f>SUM(I62:I69)</f>
        <v>83.8536</v>
      </c>
      <c r="J61" s="59" t="s">
        <v>1176</v>
      </c>
      <c r="K61" s="169"/>
      <c r="L61" s="60"/>
      <c r="M61" s="60"/>
      <c r="N61" s="61">
        <f>SUM(N62:N69)</f>
        <v>4.4213899999999997</v>
      </c>
      <c r="O61" s="60" t="s">
        <v>1176</v>
      </c>
      <c r="P61" s="60"/>
      <c r="Q61" s="62"/>
      <c r="R61" s="63"/>
      <c r="S61" s="61">
        <f>SUM(S62:S69)</f>
        <v>9.7215000000000007</v>
      </c>
      <c r="T61" s="61"/>
      <c r="U61" s="61"/>
      <c r="V61" s="61"/>
      <c r="W61" s="61"/>
      <c r="X61" s="61"/>
      <c r="Y61" s="61">
        <f>SUM(Y62:Y69)</f>
        <v>9.1999999999999998E-3</v>
      </c>
      <c r="Z61" s="64">
        <f>(C61+D61+I61+N61+S61+Y61)*$Z$5</f>
        <v>240.49317957204656</v>
      </c>
      <c r="AA61" s="65">
        <f>C61+D61+I61+N61+S61+Y61+Z61</f>
        <v>425.46122757371734</v>
      </c>
      <c r="AB61" s="66">
        <v>0.25</v>
      </c>
      <c r="AC61" s="244">
        <f>AA61*(1+AB61)</f>
        <v>531.82653446714664</v>
      </c>
      <c r="AD61" s="67"/>
      <c r="AF61" s="81"/>
      <c r="AG61" s="56"/>
      <c r="AH61" s="125"/>
      <c r="AI61" s="139"/>
      <c r="AJ61" s="140"/>
      <c r="AK61" s="141"/>
      <c r="AL61" s="127"/>
      <c r="AM61" s="142"/>
      <c r="AN61" s="143"/>
      <c r="AO61" s="142"/>
      <c r="AP61" s="139"/>
      <c r="AQ61" s="139"/>
      <c r="AR61" s="139"/>
      <c r="AS61" s="139"/>
      <c r="AT61" s="139"/>
      <c r="AU61" s="142"/>
      <c r="AV61" s="142"/>
      <c r="AW61" s="144"/>
    </row>
    <row r="62" spans="1:49" s="3" customFormat="1" ht="12.75" hidden="1" customHeight="1" x14ac:dyDescent="0.25">
      <c r="A62" s="1013"/>
      <c r="B62" s="50" t="s">
        <v>830</v>
      </c>
      <c r="C62" s="222"/>
      <c r="D62" s="220"/>
      <c r="E62" s="68" t="s">
        <v>1437</v>
      </c>
      <c r="F62" s="69" t="s">
        <v>1438</v>
      </c>
      <c r="G62" s="70">
        <v>0.74</v>
      </c>
      <c r="H62" s="69">
        <v>0.01</v>
      </c>
      <c r="I62" s="71">
        <f t="shared" ref="I62:I67" si="3">G62*H62</f>
        <v>7.4000000000000003E-3</v>
      </c>
      <c r="J62" s="59" t="s">
        <v>1291</v>
      </c>
      <c r="K62" s="72">
        <v>2</v>
      </c>
      <c r="L62" s="73">
        <v>750</v>
      </c>
      <c r="M62" s="72">
        <v>2</v>
      </c>
      <c r="N62" s="61">
        <v>1.1745000000000001</v>
      </c>
      <c r="O62" s="60" t="s">
        <v>1239</v>
      </c>
      <c r="P62" s="60">
        <v>61189.5</v>
      </c>
      <c r="Q62" s="60">
        <v>19.670000000000002</v>
      </c>
      <c r="R62" s="60">
        <v>6513.87</v>
      </c>
      <c r="S62" s="60">
        <v>9.7215000000000007</v>
      </c>
      <c r="T62" s="239" t="s">
        <v>1435</v>
      </c>
      <c r="U62" s="240">
        <v>6785401.3499999996</v>
      </c>
      <c r="V62" s="241">
        <v>1.32E-2</v>
      </c>
      <c r="W62" s="239">
        <v>1508.3</v>
      </c>
      <c r="X62" s="61">
        <v>59.38</v>
      </c>
      <c r="Y62" s="60">
        <v>9.1999999999999998E-3</v>
      </c>
      <c r="Z62" s="60"/>
      <c r="AA62" s="1"/>
      <c r="AB62" s="1"/>
      <c r="AC62" s="245"/>
      <c r="AD62" s="56"/>
      <c r="AF62" s="151"/>
      <c r="AG62" s="56"/>
      <c r="AH62" s="125"/>
      <c r="AI62" s="125"/>
      <c r="AJ62" s="136"/>
      <c r="AK62" s="125"/>
      <c r="AL62" s="127"/>
      <c r="AM62" s="125"/>
      <c r="AN62" s="125"/>
      <c r="AO62" s="128"/>
      <c r="AP62" s="125"/>
      <c r="AQ62" s="125"/>
      <c r="AR62" s="128"/>
      <c r="AS62" s="128"/>
      <c r="AT62" s="125"/>
      <c r="AU62" s="125"/>
      <c r="AV62" s="128"/>
      <c r="AW62" s="56"/>
    </row>
    <row r="63" spans="1:49" s="3" customFormat="1" hidden="1" x14ac:dyDescent="0.25">
      <c r="A63" s="1013"/>
      <c r="B63" s="74" t="s">
        <v>1178</v>
      </c>
      <c r="C63" s="223">
        <f>C52</f>
        <v>38.717865870069311</v>
      </c>
      <c r="D63" s="220"/>
      <c r="E63" s="68" t="s">
        <v>1439</v>
      </c>
      <c r="F63" s="69" t="s">
        <v>1438</v>
      </c>
      <c r="G63" s="70">
        <v>0.27</v>
      </c>
      <c r="H63" s="69">
        <v>0.01</v>
      </c>
      <c r="I63" s="242">
        <f t="shared" si="3"/>
        <v>2.7000000000000001E-3</v>
      </c>
      <c r="J63" s="59" t="s">
        <v>1445</v>
      </c>
      <c r="K63" s="61">
        <v>2</v>
      </c>
      <c r="L63" s="76">
        <v>95</v>
      </c>
      <c r="M63" s="72">
        <v>2</v>
      </c>
      <c r="N63" s="61">
        <v>3.1146400000000001</v>
      </c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1"/>
      <c r="AB63" s="1"/>
      <c r="AC63" s="245"/>
      <c r="AD63" s="56"/>
      <c r="AF63" s="151"/>
      <c r="AG63" s="56"/>
      <c r="AH63" s="125"/>
      <c r="AI63" s="125"/>
      <c r="AJ63" s="136"/>
      <c r="AK63" s="125"/>
      <c r="AL63" s="127"/>
      <c r="AM63" s="145"/>
      <c r="AN63" s="125"/>
      <c r="AO63" s="128"/>
      <c r="AP63" s="125"/>
      <c r="AQ63" s="125"/>
      <c r="AR63" s="128"/>
      <c r="AS63" s="128"/>
      <c r="AT63" s="125"/>
      <c r="AU63" s="125"/>
      <c r="AV63" s="128"/>
      <c r="AW63" s="56"/>
    </row>
    <row r="64" spans="1:49" s="3" customFormat="1" ht="12.75" hidden="1" customHeight="1" x14ac:dyDescent="0.25">
      <c r="A64" s="1013"/>
      <c r="B64" s="57" t="s">
        <v>1179</v>
      </c>
      <c r="C64" s="222">
        <f>C53</f>
        <v>22.420123808013045</v>
      </c>
      <c r="D64" s="220"/>
      <c r="E64" s="68" t="s">
        <v>1598</v>
      </c>
      <c r="F64" s="69" t="s">
        <v>1441</v>
      </c>
      <c r="G64" s="70">
        <v>4.4000000000000004</v>
      </c>
      <c r="H64" s="70">
        <v>1</v>
      </c>
      <c r="I64" s="71">
        <f t="shared" si="3"/>
        <v>4.4000000000000004</v>
      </c>
      <c r="J64" s="59" t="s">
        <v>1513</v>
      </c>
      <c r="K64" s="61">
        <v>2</v>
      </c>
      <c r="L64" s="61">
        <v>25</v>
      </c>
      <c r="M64" s="72">
        <v>0.5</v>
      </c>
      <c r="N64" s="61">
        <v>0.13225000000000001</v>
      </c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1"/>
      <c r="AB64" s="1"/>
      <c r="AC64" s="245"/>
      <c r="AD64" s="56"/>
      <c r="AF64" s="151"/>
      <c r="AG64" s="56"/>
      <c r="AH64" s="125"/>
      <c r="AI64" s="125"/>
      <c r="AJ64" s="136"/>
      <c r="AK64" s="125"/>
      <c r="AL64" s="127"/>
      <c r="AM64" s="125"/>
      <c r="AN64" s="125"/>
      <c r="AO64" s="128"/>
      <c r="AP64" s="125"/>
      <c r="AQ64" s="125"/>
      <c r="AR64" s="128"/>
      <c r="AS64" s="128"/>
      <c r="AT64" s="125"/>
      <c r="AU64" s="125"/>
      <c r="AV64" s="128"/>
      <c r="AW64" s="56"/>
    </row>
    <row r="65" spans="1:49" s="3" customFormat="1" ht="12.75" hidden="1" customHeight="1" x14ac:dyDescent="0.25">
      <c r="A65" s="1013"/>
      <c r="B65" s="57" t="s">
        <v>831</v>
      </c>
      <c r="C65" s="224"/>
      <c r="D65" s="220"/>
      <c r="E65" s="68" t="s">
        <v>1599</v>
      </c>
      <c r="F65" s="69" t="s">
        <v>1441</v>
      </c>
      <c r="G65" s="70">
        <v>77.28</v>
      </c>
      <c r="H65" s="69">
        <v>1</v>
      </c>
      <c r="I65" s="71">
        <f t="shared" si="3"/>
        <v>77.28</v>
      </c>
      <c r="J65" s="59"/>
      <c r="K65" s="61"/>
      <c r="L65" s="61"/>
      <c r="M65" s="61"/>
      <c r="N65" s="61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1"/>
      <c r="AB65" s="1"/>
      <c r="AC65" s="245"/>
      <c r="AD65" s="56"/>
      <c r="AF65" s="151"/>
      <c r="AG65" s="56"/>
      <c r="AH65" s="125"/>
      <c r="AI65" s="125"/>
      <c r="AJ65" s="136"/>
      <c r="AK65" s="125"/>
      <c r="AL65" s="127"/>
      <c r="AM65" s="125"/>
      <c r="AN65" s="125"/>
      <c r="AO65" s="128"/>
      <c r="AP65" s="125"/>
      <c r="AQ65" s="125"/>
      <c r="AR65" s="128"/>
      <c r="AS65" s="128"/>
      <c r="AT65" s="125"/>
      <c r="AU65" s="125"/>
      <c r="AV65" s="128"/>
      <c r="AW65" s="56"/>
    </row>
    <row r="66" spans="1:49" s="3" customFormat="1" ht="12.75" hidden="1" customHeight="1" x14ac:dyDescent="0.25">
      <c r="A66" s="1013"/>
      <c r="B66" s="74" t="s">
        <v>1178</v>
      </c>
      <c r="C66" s="225">
        <v>1</v>
      </c>
      <c r="D66" s="220"/>
      <c r="E66" s="68" t="s">
        <v>1442</v>
      </c>
      <c r="F66" s="69" t="s">
        <v>1443</v>
      </c>
      <c r="G66" s="70">
        <v>419.5</v>
      </c>
      <c r="H66" s="69">
        <v>1E-3</v>
      </c>
      <c r="I66" s="71">
        <f t="shared" si="3"/>
        <v>0.41949999999999998</v>
      </c>
      <c r="J66" s="59"/>
      <c r="K66" s="61"/>
      <c r="L66" s="61"/>
      <c r="M66" s="61"/>
      <c r="N66" s="61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1"/>
      <c r="AB66" s="1"/>
      <c r="AC66" s="245"/>
      <c r="AD66" s="56"/>
      <c r="AF66" s="151"/>
      <c r="AG66" s="56"/>
      <c r="AH66" s="125"/>
      <c r="AI66" s="125"/>
      <c r="AJ66" s="146"/>
      <c r="AK66" s="125"/>
      <c r="AL66" s="127"/>
      <c r="AM66" s="125"/>
      <c r="AN66" s="125"/>
      <c r="AO66" s="128"/>
      <c r="AP66" s="125"/>
      <c r="AQ66" s="125"/>
      <c r="AR66" s="128"/>
      <c r="AS66" s="128"/>
      <c r="AT66" s="125"/>
      <c r="AU66" s="125"/>
      <c r="AV66" s="128"/>
      <c r="AW66" s="56"/>
    </row>
    <row r="67" spans="1:49" s="3" customFormat="1" ht="12.75" hidden="1" customHeight="1" x14ac:dyDescent="0.25">
      <c r="A67" s="1013"/>
      <c r="B67" s="57" t="s">
        <v>1179</v>
      </c>
      <c r="C67" s="225">
        <v>1.5</v>
      </c>
      <c r="D67" s="220"/>
      <c r="E67" s="68" t="s">
        <v>1444</v>
      </c>
      <c r="F67" s="69" t="s">
        <v>1443</v>
      </c>
      <c r="G67" s="70">
        <v>872</v>
      </c>
      <c r="H67" s="69">
        <v>2E-3</v>
      </c>
      <c r="I67" s="71">
        <f t="shared" si="3"/>
        <v>1.744</v>
      </c>
      <c r="J67" s="59"/>
      <c r="K67" s="61"/>
      <c r="L67" s="61"/>
      <c r="M67" s="61"/>
      <c r="N67" s="61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1"/>
      <c r="AB67" s="1"/>
      <c r="AC67" s="245"/>
      <c r="AD67" s="56"/>
      <c r="AF67" s="151"/>
      <c r="AG67" s="56"/>
      <c r="AH67" s="125"/>
      <c r="AI67" s="125"/>
      <c r="AJ67" s="146"/>
      <c r="AK67" s="125"/>
      <c r="AL67" s="127"/>
      <c r="AM67" s="125"/>
      <c r="AN67" s="125"/>
      <c r="AO67" s="128"/>
      <c r="AP67" s="125"/>
      <c r="AQ67" s="125"/>
      <c r="AR67" s="128"/>
      <c r="AS67" s="128"/>
      <c r="AT67" s="125"/>
      <c r="AU67" s="125"/>
      <c r="AV67" s="128"/>
      <c r="AW67" s="56"/>
    </row>
    <row r="68" spans="1:49" s="3" customFormat="1" ht="12.75" hidden="1" customHeight="1" x14ac:dyDescent="0.25">
      <c r="A68" s="1013"/>
      <c r="B68" s="79" t="s">
        <v>1181</v>
      </c>
      <c r="C68" s="222">
        <f>C63*C66+C64*C67</f>
        <v>72.348051582088885</v>
      </c>
      <c r="D68" s="220"/>
      <c r="E68" s="228"/>
      <c r="F68" s="166"/>
      <c r="G68" s="70"/>
      <c r="H68" s="69"/>
      <c r="I68" s="71"/>
      <c r="J68" s="59"/>
      <c r="K68" s="170"/>
      <c r="L68" s="76"/>
      <c r="M68" s="72"/>
      <c r="N68" s="61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1"/>
      <c r="AB68" s="1"/>
      <c r="AC68" s="245"/>
      <c r="AD68" s="56"/>
      <c r="AF68" s="151"/>
      <c r="AG68" s="56"/>
      <c r="AH68" s="125"/>
      <c r="AI68" s="125"/>
      <c r="AJ68" s="136"/>
      <c r="AK68" s="125"/>
      <c r="AL68" s="127"/>
      <c r="AM68" s="125"/>
      <c r="AN68" s="125"/>
      <c r="AO68" s="128"/>
      <c r="AP68" s="125"/>
      <c r="AQ68" s="125"/>
      <c r="AR68" s="128"/>
      <c r="AS68" s="128"/>
      <c r="AT68" s="125"/>
      <c r="AU68" s="125"/>
      <c r="AV68" s="128"/>
      <c r="AW68" s="56"/>
    </row>
    <row r="69" spans="1:49" s="3" customFormat="1" ht="12.75" hidden="1" customHeight="1" x14ac:dyDescent="0.25">
      <c r="A69" s="1014"/>
      <c r="B69" s="123"/>
      <c r="C69" s="225"/>
      <c r="D69" s="221"/>
      <c r="E69" s="228"/>
      <c r="F69" s="166"/>
      <c r="G69" s="70"/>
      <c r="H69" s="69"/>
      <c r="I69" s="71"/>
      <c r="J69" s="59"/>
      <c r="K69" s="170"/>
      <c r="L69" s="61"/>
      <c r="M69" s="72"/>
      <c r="N69" s="61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1"/>
      <c r="AB69" s="1"/>
      <c r="AC69" s="245"/>
      <c r="AD69" s="56"/>
      <c r="AF69" s="151"/>
      <c r="AG69" s="56"/>
      <c r="AH69" s="125"/>
      <c r="AI69" s="125"/>
      <c r="AJ69" s="146"/>
      <c r="AK69" s="125"/>
      <c r="AL69" s="127"/>
      <c r="AM69" s="125"/>
      <c r="AN69" s="125"/>
      <c r="AO69" s="128"/>
      <c r="AP69" s="125"/>
      <c r="AQ69" s="125"/>
      <c r="AR69" s="128"/>
      <c r="AS69" s="128"/>
      <c r="AT69" s="125"/>
      <c r="AU69" s="125"/>
      <c r="AV69" s="128"/>
      <c r="AW69" s="56"/>
    </row>
    <row r="70" spans="1:49" s="3" customFormat="1" ht="56.25" hidden="1" customHeight="1" x14ac:dyDescent="0.25">
      <c r="A70" s="1012" t="s">
        <v>1605</v>
      </c>
      <c r="B70" s="258" t="s">
        <v>714</v>
      </c>
      <c r="C70" s="222"/>
      <c r="D70" s="219"/>
      <c r="E70" s="226" t="s">
        <v>488</v>
      </c>
      <c r="F70" s="53" t="s">
        <v>837</v>
      </c>
      <c r="G70" s="51" t="s">
        <v>489</v>
      </c>
      <c r="H70" s="52" t="s">
        <v>1170</v>
      </c>
      <c r="I70" s="53" t="s">
        <v>838</v>
      </c>
      <c r="J70" s="47" t="s">
        <v>1171</v>
      </c>
      <c r="K70" s="47" t="s">
        <v>490</v>
      </c>
      <c r="L70" s="54" t="s">
        <v>489</v>
      </c>
      <c r="M70" s="47" t="s">
        <v>1172</v>
      </c>
      <c r="N70" s="53" t="s">
        <v>838</v>
      </c>
      <c r="O70" s="47" t="s">
        <v>1171</v>
      </c>
      <c r="P70" s="47" t="s">
        <v>826</v>
      </c>
      <c r="Q70" s="47" t="s">
        <v>1173</v>
      </c>
      <c r="R70" s="47" t="s">
        <v>1174</v>
      </c>
      <c r="S70" s="47" t="s">
        <v>839</v>
      </c>
      <c r="T70" s="47" t="s">
        <v>1171</v>
      </c>
      <c r="U70" s="47" t="s">
        <v>1392</v>
      </c>
      <c r="V70" s="47" t="s">
        <v>841</v>
      </c>
      <c r="W70" s="231" t="s">
        <v>1173</v>
      </c>
      <c r="X70" s="47" t="s">
        <v>1394</v>
      </c>
      <c r="Y70" s="47" t="s">
        <v>839</v>
      </c>
      <c r="Z70" s="55"/>
      <c r="AA70" s="1"/>
      <c r="AB70" s="1"/>
      <c r="AC70" s="245"/>
      <c r="AD70" s="56"/>
      <c r="AF70" s="81"/>
      <c r="AG70" s="56"/>
      <c r="AH70" s="125"/>
      <c r="AI70" s="125"/>
      <c r="AJ70" s="125"/>
      <c r="AK70" s="125"/>
      <c r="AL70" s="127"/>
      <c r="AM70" s="125"/>
      <c r="AN70" s="125"/>
      <c r="AO70" s="128"/>
      <c r="AP70" s="125"/>
      <c r="AQ70" s="139"/>
      <c r="AR70" s="139"/>
      <c r="AS70" s="139"/>
      <c r="AT70" s="125"/>
      <c r="AU70" s="125"/>
      <c r="AV70" s="128"/>
      <c r="AW70" s="56"/>
    </row>
    <row r="71" spans="1:49" s="3" customFormat="1" ht="12" hidden="1" customHeight="1" x14ac:dyDescent="0.25">
      <c r="A71" s="1013"/>
      <c r="B71" s="36" t="s">
        <v>1175</v>
      </c>
      <c r="C71" s="222">
        <f>C78</f>
        <v>133.48604126017125</v>
      </c>
      <c r="D71" s="219">
        <f>C71*$D$5</f>
        <v>26.964180334554595</v>
      </c>
      <c r="E71" s="227" t="s">
        <v>1176</v>
      </c>
      <c r="F71" s="165"/>
      <c r="G71" s="58"/>
      <c r="H71" s="58"/>
      <c r="I71" s="2">
        <f>SUM(I72:I79)</f>
        <v>83.8536</v>
      </c>
      <c r="J71" s="59" t="s">
        <v>1176</v>
      </c>
      <c r="K71" s="169"/>
      <c r="L71" s="60"/>
      <c r="M71" s="60"/>
      <c r="N71" s="61">
        <f>SUM(N72:N79)</f>
        <v>4.4213899999999997</v>
      </c>
      <c r="O71" s="60" t="s">
        <v>1176</v>
      </c>
      <c r="P71" s="60"/>
      <c r="Q71" s="62"/>
      <c r="R71" s="63"/>
      <c r="S71" s="61">
        <f>SUM(S72:S79)</f>
        <v>9.7215000000000007</v>
      </c>
      <c r="T71" s="61"/>
      <c r="U71" s="61"/>
      <c r="V71" s="61"/>
      <c r="W71" s="61"/>
      <c r="X71" s="61"/>
      <c r="Y71" s="61">
        <f>SUM(Y72:Y79)</f>
        <v>9.1999999999999998E-3</v>
      </c>
      <c r="Z71" s="64">
        <f>(C71+D71+I71+N71+S71+Y71)*$Z$5</f>
        <v>336.04119538551839</v>
      </c>
      <c r="AA71" s="65">
        <f>C71+D71+I71+N71+S71+Y71+Z71</f>
        <v>594.49710698024433</v>
      </c>
      <c r="AB71" s="66">
        <v>0.25</v>
      </c>
      <c r="AC71" s="244">
        <f>AA71*(1+AB71)</f>
        <v>743.12138372530535</v>
      </c>
      <c r="AD71" s="67"/>
      <c r="AF71" s="81"/>
      <c r="AG71" s="56"/>
      <c r="AH71" s="125"/>
      <c r="AI71" s="139"/>
      <c r="AJ71" s="140"/>
      <c r="AK71" s="141"/>
      <c r="AL71" s="127"/>
      <c r="AM71" s="142"/>
      <c r="AN71" s="143"/>
      <c r="AO71" s="142"/>
      <c r="AP71" s="139"/>
      <c r="AQ71" s="139"/>
      <c r="AR71" s="139"/>
      <c r="AS71" s="139"/>
      <c r="AT71" s="139"/>
      <c r="AU71" s="142"/>
      <c r="AV71" s="142"/>
      <c r="AW71" s="144"/>
    </row>
    <row r="72" spans="1:49" s="3" customFormat="1" ht="12.75" hidden="1" customHeight="1" x14ac:dyDescent="0.25">
      <c r="A72" s="1013"/>
      <c r="B72" s="50" t="s">
        <v>830</v>
      </c>
      <c r="C72" s="222"/>
      <c r="D72" s="220"/>
      <c r="E72" s="68" t="s">
        <v>1437</v>
      </c>
      <c r="F72" s="69" t="s">
        <v>1438</v>
      </c>
      <c r="G72" s="70">
        <v>0.74</v>
      </c>
      <c r="H72" s="69">
        <v>0.01</v>
      </c>
      <c r="I72" s="71">
        <f t="shared" ref="I72:I77" si="4">G72*H72</f>
        <v>7.4000000000000003E-3</v>
      </c>
      <c r="J72" s="59" t="s">
        <v>1291</v>
      </c>
      <c r="K72" s="72">
        <v>2</v>
      </c>
      <c r="L72" s="73">
        <v>750</v>
      </c>
      <c r="M72" s="72">
        <v>2</v>
      </c>
      <c r="N72" s="61">
        <v>1.1745000000000001</v>
      </c>
      <c r="O72" s="60" t="s">
        <v>1239</v>
      </c>
      <c r="P72" s="60">
        <v>61189.5</v>
      </c>
      <c r="Q72" s="60">
        <v>19.670000000000002</v>
      </c>
      <c r="R72" s="60">
        <v>6513.87</v>
      </c>
      <c r="S72" s="60">
        <v>9.7215000000000007</v>
      </c>
      <c r="T72" s="239" t="s">
        <v>1435</v>
      </c>
      <c r="U72" s="240">
        <v>6785401.3499999996</v>
      </c>
      <c r="V72" s="241">
        <v>1.32E-2</v>
      </c>
      <c r="W72" s="239">
        <v>1508.3</v>
      </c>
      <c r="X72" s="61">
        <v>59.38</v>
      </c>
      <c r="Y72" s="60">
        <v>9.1999999999999998E-3</v>
      </c>
      <c r="Z72" s="60"/>
      <c r="AA72" s="1"/>
      <c r="AB72" s="1"/>
      <c r="AC72" s="245"/>
      <c r="AD72" s="56"/>
      <c r="AF72" s="151"/>
      <c r="AG72" s="56"/>
      <c r="AH72" s="125"/>
      <c r="AI72" s="125"/>
      <c r="AJ72" s="136"/>
      <c r="AK72" s="125"/>
      <c r="AL72" s="127"/>
      <c r="AM72" s="125"/>
      <c r="AN72" s="125"/>
      <c r="AO72" s="128"/>
      <c r="AP72" s="125"/>
      <c r="AQ72" s="125"/>
      <c r="AR72" s="128"/>
      <c r="AS72" s="128"/>
      <c r="AT72" s="125"/>
      <c r="AU72" s="125"/>
      <c r="AV72" s="128"/>
      <c r="AW72" s="56"/>
    </row>
    <row r="73" spans="1:49" s="3" customFormat="1" hidden="1" x14ac:dyDescent="0.25">
      <c r="A73" s="1013"/>
      <c r="B73" s="74" t="s">
        <v>1178</v>
      </c>
      <c r="C73" s="223">
        <f>C63</f>
        <v>38.717865870069311</v>
      </c>
      <c r="D73" s="220"/>
      <c r="E73" s="68" t="s">
        <v>1439</v>
      </c>
      <c r="F73" s="69" t="s">
        <v>1438</v>
      </c>
      <c r="G73" s="70">
        <v>0.27</v>
      </c>
      <c r="H73" s="69">
        <v>0.01</v>
      </c>
      <c r="I73" s="242">
        <f t="shared" si="4"/>
        <v>2.7000000000000001E-3</v>
      </c>
      <c r="J73" s="59" t="s">
        <v>1445</v>
      </c>
      <c r="K73" s="61">
        <v>2</v>
      </c>
      <c r="L73" s="76">
        <v>95</v>
      </c>
      <c r="M73" s="72">
        <v>2</v>
      </c>
      <c r="N73" s="61">
        <v>3.1146400000000001</v>
      </c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1"/>
      <c r="AB73" s="1"/>
      <c r="AC73" s="245"/>
      <c r="AD73" s="56"/>
      <c r="AF73" s="151"/>
      <c r="AG73" s="56"/>
      <c r="AH73" s="125"/>
      <c r="AI73" s="125"/>
      <c r="AJ73" s="136"/>
      <c r="AK73" s="125"/>
      <c r="AL73" s="127"/>
      <c r="AM73" s="145"/>
      <c r="AN73" s="125"/>
      <c r="AO73" s="128"/>
      <c r="AP73" s="125"/>
      <c r="AQ73" s="125"/>
      <c r="AR73" s="128"/>
      <c r="AS73" s="128"/>
      <c r="AT73" s="125"/>
      <c r="AU73" s="125"/>
      <c r="AV73" s="128"/>
      <c r="AW73" s="56"/>
    </row>
    <row r="74" spans="1:49" s="3" customFormat="1" ht="12.75" hidden="1" customHeight="1" x14ac:dyDescent="0.25">
      <c r="A74" s="1013"/>
      <c r="B74" s="57" t="s">
        <v>1179</v>
      </c>
      <c r="C74" s="222">
        <f>C64</f>
        <v>22.420123808013045</v>
      </c>
      <c r="D74" s="220"/>
      <c r="E74" s="68" t="s">
        <v>1598</v>
      </c>
      <c r="F74" s="69" t="s">
        <v>1441</v>
      </c>
      <c r="G74" s="70">
        <v>4.4000000000000004</v>
      </c>
      <c r="H74" s="70">
        <v>1</v>
      </c>
      <c r="I74" s="71">
        <f t="shared" si="4"/>
        <v>4.4000000000000004</v>
      </c>
      <c r="J74" s="59" t="s">
        <v>1513</v>
      </c>
      <c r="K74" s="61">
        <v>2</v>
      </c>
      <c r="L74" s="61">
        <v>25</v>
      </c>
      <c r="M74" s="72">
        <v>0.5</v>
      </c>
      <c r="N74" s="61">
        <v>0.13225000000000001</v>
      </c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1"/>
      <c r="AB74" s="1"/>
      <c r="AC74" s="245"/>
      <c r="AD74" s="56"/>
      <c r="AF74" s="151"/>
      <c r="AG74" s="56"/>
      <c r="AH74" s="125"/>
      <c r="AI74" s="125"/>
      <c r="AJ74" s="136"/>
      <c r="AK74" s="125"/>
      <c r="AL74" s="127"/>
      <c r="AM74" s="125"/>
      <c r="AN74" s="125"/>
      <c r="AO74" s="128"/>
      <c r="AP74" s="125"/>
      <c r="AQ74" s="125"/>
      <c r="AR74" s="128"/>
      <c r="AS74" s="128"/>
      <c r="AT74" s="125"/>
      <c r="AU74" s="125"/>
      <c r="AV74" s="128"/>
      <c r="AW74" s="56"/>
    </row>
    <row r="75" spans="1:49" s="3" customFormat="1" ht="12.75" hidden="1" customHeight="1" x14ac:dyDescent="0.25">
      <c r="A75" s="1013"/>
      <c r="B75" s="57" t="s">
        <v>831</v>
      </c>
      <c r="C75" s="224"/>
      <c r="D75" s="220"/>
      <c r="E75" s="68" t="s">
        <v>1599</v>
      </c>
      <c r="F75" s="69" t="s">
        <v>1441</v>
      </c>
      <c r="G75" s="70">
        <v>77.28</v>
      </c>
      <c r="H75" s="69">
        <v>1</v>
      </c>
      <c r="I75" s="71">
        <f t="shared" si="4"/>
        <v>77.28</v>
      </c>
      <c r="J75" s="59"/>
      <c r="K75" s="61"/>
      <c r="L75" s="61"/>
      <c r="M75" s="61"/>
      <c r="N75" s="61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1"/>
      <c r="AB75" s="1"/>
      <c r="AC75" s="245"/>
      <c r="AD75" s="56"/>
      <c r="AF75" s="151"/>
      <c r="AG75" s="56"/>
      <c r="AH75" s="125"/>
      <c r="AI75" s="125"/>
      <c r="AJ75" s="136"/>
      <c r="AK75" s="125"/>
      <c r="AL75" s="127"/>
      <c r="AM75" s="125"/>
      <c r="AN75" s="125"/>
      <c r="AO75" s="128"/>
      <c r="AP75" s="125"/>
      <c r="AQ75" s="125"/>
      <c r="AR75" s="128"/>
      <c r="AS75" s="128"/>
      <c r="AT75" s="125"/>
      <c r="AU75" s="125"/>
      <c r="AV75" s="128"/>
      <c r="AW75" s="56"/>
    </row>
    <row r="76" spans="1:49" s="3" customFormat="1" ht="12.75" hidden="1" customHeight="1" x14ac:dyDescent="0.25">
      <c r="A76" s="1013"/>
      <c r="B76" s="74" t="s">
        <v>1178</v>
      </c>
      <c r="C76" s="225">
        <v>2</v>
      </c>
      <c r="D76" s="220"/>
      <c r="E76" s="68" t="s">
        <v>1442</v>
      </c>
      <c r="F76" s="69" t="s">
        <v>1443</v>
      </c>
      <c r="G76" s="70">
        <v>419.5</v>
      </c>
      <c r="H76" s="69">
        <v>1E-3</v>
      </c>
      <c r="I76" s="71">
        <f t="shared" si="4"/>
        <v>0.41949999999999998</v>
      </c>
      <c r="J76" s="59"/>
      <c r="K76" s="61"/>
      <c r="L76" s="61"/>
      <c r="M76" s="61"/>
      <c r="N76" s="61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1"/>
      <c r="AB76" s="1"/>
      <c r="AC76" s="245"/>
      <c r="AD76" s="56"/>
      <c r="AF76" s="151"/>
      <c r="AG76" s="56"/>
      <c r="AH76" s="125"/>
      <c r="AI76" s="125"/>
      <c r="AJ76" s="146"/>
      <c r="AK76" s="125"/>
      <c r="AL76" s="127"/>
      <c r="AM76" s="125"/>
      <c r="AN76" s="125"/>
      <c r="AO76" s="128"/>
      <c r="AP76" s="125"/>
      <c r="AQ76" s="125"/>
      <c r="AR76" s="128"/>
      <c r="AS76" s="128"/>
      <c r="AT76" s="125"/>
      <c r="AU76" s="125"/>
      <c r="AV76" s="128"/>
      <c r="AW76" s="56"/>
    </row>
    <row r="77" spans="1:49" s="3" customFormat="1" ht="12.75" hidden="1" customHeight="1" x14ac:dyDescent="0.25">
      <c r="A77" s="1013"/>
      <c r="B77" s="57" t="s">
        <v>1179</v>
      </c>
      <c r="C77" s="225">
        <v>2.5</v>
      </c>
      <c r="D77" s="220"/>
      <c r="E77" s="68" t="s">
        <v>1444</v>
      </c>
      <c r="F77" s="69" t="s">
        <v>1443</v>
      </c>
      <c r="G77" s="70">
        <v>872</v>
      </c>
      <c r="H77" s="69">
        <v>2E-3</v>
      </c>
      <c r="I77" s="71">
        <f t="shared" si="4"/>
        <v>1.744</v>
      </c>
      <c r="J77" s="59"/>
      <c r="K77" s="61"/>
      <c r="L77" s="61"/>
      <c r="M77" s="61"/>
      <c r="N77" s="61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1"/>
      <c r="AB77" s="1"/>
      <c r="AC77" s="245"/>
      <c r="AD77" s="56"/>
      <c r="AF77" s="151"/>
      <c r="AG77" s="56"/>
      <c r="AH77" s="125"/>
      <c r="AI77" s="125"/>
      <c r="AJ77" s="146"/>
      <c r="AK77" s="125"/>
      <c r="AL77" s="127"/>
      <c r="AM77" s="125"/>
      <c r="AN77" s="125"/>
      <c r="AO77" s="128"/>
      <c r="AP77" s="125"/>
      <c r="AQ77" s="125"/>
      <c r="AR77" s="128"/>
      <c r="AS77" s="128"/>
      <c r="AT77" s="125"/>
      <c r="AU77" s="125"/>
      <c r="AV77" s="128"/>
      <c r="AW77" s="56"/>
    </row>
    <row r="78" spans="1:49" s="3" customFormat="1" ht="12.75" hidden="1" customHeight="1" x14ac:dyDescent="0.25">
      <c r="A78" s="1013"/>
      <c r="B78" s="79" t="s">
        <v>1181</v>
      </c>
      <c r="C78" s="222">
        <f>C73*C76+C74*C77</f>
        <v>133.48604126017125</v>
      </c>
      <c r="D78" s="220"/>
      <c r="E78" s="228"/>
      <c r="F78" s="166"/>
      <c r="G78" s="70"/>
      <c r="H78" s="69"/>
      <c r="I78" s="71"/>
      <c r="J78" s="59"/>
      <c r="K78" s="170"/>
      <c r="L78" s="76"/>
      <c r="M78" s="72"/>
      <c r="N78" s="61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1"/>
      <c r="AB78" s="1"/>
      <c r="AC78" s="245"/>
      <c r="AD78" s="56"/>
      <c r="AF78" s="151"/>
      <c r="AG78" s="56"/>
      <c r="AH78" s="125"/>
      <c r="AI78" s="125"/>
      <c r="AJ78" s="136"/>
      <c r="AK78" s="125"/>
      <c r="AL78" s="127"/>
      <c r="AM78" s="125"/>
      <c r="AN78" s="125"/>
      <c r="AO78" s="128"/>
      <c r="AP78" s="125"/>
      <c r="AQ78" s="125"/>
      <c r="AR78" s="128"/>
      <c r="AS78" s="128"/>
      <c r="AT78" s="125"/>
      <c r="AU78" s="125"/>
      <c r="AV78" s="128"/>
      <c r="AW78" s="56"/>
    </row>
    <row r="79" spans="1:49" s="3" customFormat="1" ht="13.5" hidden="1" customHeight="1" x14ac:dyDescent="0.25">
      <c r="A79" s="1014"/>
      <c r="B79" s="123"/>
      <c r="C79" s="225"/>
      <c r="D79" s="221"/>
      <c r="E79" s="228"/>
      <c r="F79" s="166"/>
      <c r="G79" s="70"/>
      <c r="H79" s="69"/>
      <c r="I79" s="71"/>
      <c r="J79" s="59"/>
      <c r="K79" s="170"/>
      <c r="L79" s="61"/>
      <c r="M79" s="72"/>
      <c r="N79" s="61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1"/>
      <c r="AB79" s="1"/>
      <c r="AC79" s="245"/>
      <c r="AD79" s="56"/>
      <c r="AF79" s="151"/>
      <c r="AG79" s="56"/>
      <c r="AH79" s="125"/>
      <c r="AI79" s="125"/>
      <c r="AJ79" s="146"/>
      <c r="AK79" s="125"/>
      <c r="AL79" s="127"/>
      <c r="AM79" s="125"/>
      <c r="AN79" s="125"/>
      <c r="AO79" s="128"/>
      <c r="AP79" s="125"/>
      <c r="AQ79" s="125"/>
      <c r="AR79" s="128"/>
      <c r="AS79" s="128"/>
      <c r="AT79" s="125"/>
      <c r="AU79" s="125"/>
      <c r="AV79" s="128"/>
      <c r="AW79" s="56"/>
    </row>
    <row r="80" spans="1:49" s="3" customFormat="1" ht="56.25" hidden="1" customHeight="1" x14ac:dyDescent="0.25">
      <c r="A80" s="1012" t="s">
        <v>1606</v>
      </c>
      <c r="B80" s="258" t="s">
        <v>715</v>
      </c>
      <c r="C80" s="222"/>
      <c r="D80" s="219"/>
      <c r="E80" s="226" t="s">
        <v>488</v>
      </c>
      <c r="F80" s="53" t="s">
        <v>837</v>
      </c>
      <c r="G80" s="51" t="s">
        <v>489</v>
      </c>
      <c r="H80" s="52" t="s">
        <v>1170</v>
      </c>
      <c r="I80" s="53" t="s">
        <v>838</v>
      </c>
      <c r="J80" s="47" t="s">
        <v>1171</v>
      </c>
      <c r="K80" s="47" t="s">
        <v>490</v>
      </c>
      <c r="L80" s="54" t="s">
        <v>489</v>
      </c>
      <c r="M80" s="47" t="s">
        <v>1172</v>
      </c>
      <c r="N80" s="53" t="s">
        <v>838</v>
      </c>
      <c r="O80" s="47" t="s">
        <v>1171</v>
      </c>
      <c r="P80" s="47" t="s">
        <v>826</v>
      </c>
      <c r="Q80" s="47" t="s">
        <v>1173</v>
      </c>
      <c r="R80" s="47" t="s">
        <v>1174</v>
      </c>
      <c r="S80" s="47" t="s">
        <v>839</v>
      </c>
      <c r="T80" s="47" t="s">
        <v>1171</v>
      </c>
      <c r="U80" s="47" t="s">
        <v>1392</v>
      </c>
      <c r="V80" s="47" t="s">
        <v>841</v>
      </c>
      <c r="W80" s="231" t="s">
        <v>1173</v>
      </c>
      <c r="X80" s="47" t="s">
        <v>1394</v>
      </c>
      <c r="Y80" s="47" t="s">
        <v>839</v>
      </c>
      <c r="Z80" s="55"/>
      <c r="AA80" s="1"/>
      <c r="AB80" s="1"/>
      <c r="AC80" s="245"/>
      <c r="AD80" s="56"/>
      <c r="AF80" s="81"/>
      <c r="AG80" s="56"/>
      <c r="AH80" s="125"/>
      <c r="AI80" s="125"/>
      <c r="AJ80" s="125"/>
      <c r="AK80" s="125"/>
      <c r="AL80" s="127"/>
      <c r="AM80" s="125"/>
      <c r="AN80" s="125"/>
      <c r="AO80" s="128"/>
      <c r="AP80" s="125"/>
      <c r="AQ80" s="139"/>
      <c r="AR80" s="139"/>
      <c r="AS80" s="139"/>
      <c r="AT80" s="125"/>
      <c r="AU80" s="125"/>
      <c r="AV80" s="128"/>
      <c r="AW80" s="56"/>
    </row>
    <row r="81" spans="1:49" s="3" customFormat="1" ht="12" hidden="1" customHeight="1" x14ac:dyDescent="0.25">
      <c r="A81" s="1013"/>
      <c r="B81" s="36" t="s">
        <v>1175</v>
      </c>
      <c r="C81" s="222">
        <f>C88</f>
        <v>133.48604126017125</v>
      </c>
      <c r="D81" s="219">
        <f>C81*$D$5</f>
        <v>26.964180334554595</v>
      </c>
      <c r="E81" s="227" t="s">
        <v>1176</v>
      </c>
      <c r="F81" s="165"/>
      <c r="G81" s="58"/>
      <c r="H81" s="58"/>
      <c r="I81" s="2">
        <f>SUM(I82:I89)</f>
        <v>83.8536</v>
      </c>
      <c r="J81" s="59" t="s">
        <v>1176</v>
      </c>
      <c r="K81" s="169"/>
      <c r="L81" s="60"/>
      <c r="M81" s="60"/>
      <c r="N81" s="61">
        <f>SUM(N82:N89)</f>
        <v>0.49353301565690938</v>
      </c>
      <c r="O81" s="60" t="s">
        <v>1176</v>
      </c>
      <c r="P81" s="60"/>
      <c r="Q81" s="62"/>
      <c r="R81" s="63"/>
      <c r="S81" s="61">
        <f>SUM(S82:S89)</f>
        <v>0.35954794140634844</v>
      </c>
      <c r="T81" s="61"/>
      <c r="U81" s="61"/>
      <c r="V81" s="61"/>
      <c r="W81" s="61"/>
      <c r="X81" s="61"/>
      <c r="Y81" s="61">
        <f>SUM(Y82:Y89)</f>
        <v>23.266383874139621</v>
      </c>
      <c r="Z81" s="64">
        <f>(C81+D81+I81+N81+S81+Y81)*$Z$5</f>
        <v>349.00065347052077</v>
      </c>
      <c r="AA81" s="65">
        <f>C81+D81+I81+N81+S81+Y81+Z81</f>
        <v>617.4239398964495</v>
      </c>
      <c r="AB81" s="66">
        <v>0.25</v>
      </c>
      <c r="AC81" s="244">
        <f>AA81*(1+AB81)</f>
        <v>771.7799248705619</v>
      </c>
      <c r="AD81" s="67"/>
      <c r="AF81" s="81"/>
      <c r="AG81" s="56"/>
      <c r="AH81" s="125"/>
      <c r="AI81" s="139"/>
      <c r="AJ81" s="140"/>
      <c r="AK81" s="141"/>
      <c r="AL81" s="127"/>
      <c r="AM81" s="142"/>
      <c r="AN81" s="143"/>
      <c r="AO81" s="142"/>
      <c r="AP81" s="139"/>
      <c r="AQ81" s="139"/>
      <c r="AR81" s="139"/>
      <c r="AS81" s="139"/>
      <c r="AT81" s="139"/>
      <c r="AU81" s="142"/>
      <c r="AV81" s="142"/>
      <c r="AW81" s="144"/>
    </row>
    <row r="82" spans="1:49" s="3" customFormat="1" ht="12.75" hidden="1" customHeight="1" x14ac:dyDescent="0.25">
      <c r="A82" s="1013"/>
      <c r="B82" s="50" t="s">
        <v>830</v>
      </c>
      <c r="C82" s="222"/>
      <c r="D82" s="220"/>
      <c r="E82" s="68" t="s">
        <v>1437</v>
      </c>
      <c r="F82" s="69" t="s">
        <v>1438</v>
      </c>
      <c r="G82" s="70">
        <v>0.74</v>
      </c>
      <c r="H82" s="69">
        <v>0.01</v>
      </c>
      <c r="I82" s="71">
        <f t="shared" ref="I82:I87" si="5">G82*H82</f>
        <v>7.4000000000000003E-3</v>
      </c>
      <c r="J82" s="758" t="s">
        <v>1291</v>
      </c>
      <c r="K82" s="771">
        <v>2</v>
      </c>
      <c r="L82" s="772">
        <v>750</v>
      </c>
      <c r="M82" s="771">
        <v>2</v>
      </c>
      <c r="N82" s="760">
        <f>L82/'Исп. коэффициенты'!E31*(C86+C87)</f>
        <v>0.42545949625595636</v>
      </c>
      <c r="O82" s="759" t="s">
        <v>2200</v>
      </c>
      <c r="P82" s="759">
        <v>7250</v>
      </c>
      <c r="Q82" s="759">
        <v>19.670000000000002</v>
      </c>
      <c r="R82" s="759">
        <f>P82*Q82%</f>
        <v>1426.075</v>
      </c>
      <c r="S82" s="759">
        <f>R82/'Исп. коэффициенты'!E31*C86</f>
        <v>0.35954794140634844</v>
      </c>
      <c r="T82" s="755" t="s">
        <v>1435</v>
      </c>
      <c r="U82" s="756">
        <v>6785401.3499999996</v>
      </c>
      <c r="V82" s="785">
        <f>'Исп. коэффициенты'!E124</f>
        <v>2978.5</v>
      </c>
      <c r="W82" s="761">
        <f>'Исп. коэффициенты'!D124</f>
        <v>1.3599999999999999E-2</v>
      </c>
      <c r="X82" s="760">
        <f>U82*W82</f>
        <v>92281.45835999999</v>
      </c>
      <c r="Y82" s="759">
        <f>X82/'Исп. коэффициенты'!E31*C86</f>
        <v>23.266383874139621</v>
      </c>
      <c r="Z82" s="60"/>
      <c r="AA82" s="1"/>
      <c r="AB82" s="1"/>
      <c r="AC82" s="245"/>
      <c r="AD82" s="56"/>
      <c r="AF82" s="151"/>
      <c r="AG82" s="56"/>
      <c r="AH82" s="125"/>
      <c r="AI82" s="125"/>
      <c r="AJ82" s="136"/>
      <c r="AK82" s="125"/>
      <c r="AL82" s="127"/>
      <c r="AM82" s="125"/>
      <c r="AN82" s="125"/>
      <c r="AO82" s="128"/>
      <c r="AP82" s="125"/>
      <c r="AQ82" s="125"/>
      <c r="AR82" s="128"/>
      <c r="AS82" s="128"/>
      <c r="AT82" s="125"/>
      <c r="AU82" s="125"/>
      <c r="AV82" s="128"/>
      <c r="AW82" s="56"/>
    </row>
    <row r="83" spans="1:49" s="3" customFormat="1" hidden="1" x14ac:dyDescent="0.25">
      <c r="A83" s="1013"/>
      <c r="B83" s="74" t="s">
        <v>1178</v>
      </c>
      <c r="C83" s="223">
        <f>C73</f>
        <v>38.717865870069311</v>
      </c>
      <c r="D83" s="220"/>
      <c r="E83" s="68" t="s">
        <v>1439</v>
      </c>
      <c r="F83" s="69" t="s">
        <v>1438</v>
      </c>
      <c r="G83" s="70">
        <v>0.27</v>
      </c>
      <c r="H83" s="69">
        <v>0.01</v>
      </c>
      <c r="I83" s="242">
        <f t="shared" si="5"/>
        <v>2.7000000000000001E-3</v>
      </c>
      <c r="J83" s="758" t="s">
        <v>1445</v>
      </c>
      <c r="K83" s="760">
        <v>2</v>
      </c>
      <c r="L83" s="776">
        <v>95</v>
      </c>
      <c r="M83" s="771">
        <v>2</v>
      </c>
      <c r="N83" s="760">
        <f>L83/'Исп. коэффициенты'!E31*(C86+C87)</f>
        <v>5.3891536192421138E-2</v>
      </c>
      <c r="O83" s="759"/>
      <c r="P83" s="759"/>
      <c r="Q83" s="759"/>
      <c r="R83" s="759"/>
      <c r="S83" s="759"/>
      <c r="T83" s="759"/>
      <c r="U83" s="759"/>
      <c r="V83" s="759"/>
      <c r="W83" s="759"/>
      <c r="X83" s="759"/>
      <c r="Y83" s="759"/>
      <c r="Z83" s="60"/>
      <c r="AA83" s="1"/>
      <c r="AB83" s="1"/>
      <c r="AC83" s="245"/>
      <c r="AD83" s="56"/>
      <c r="AF83" s="151"/>
      <c r="AG83" s="56"/>
      <c r="AH83" s="125"/>
      <c r="AI83" s="125"/>
      <c r="AJ83" s="136"/>
      <c r="AK83" s="125"/>
      <c r="AL83" s="127"/>
      <c r="AM83" s="145"/>
      <c r="AN83" s="125"/>
      <c r="AO83" s="128"/>
      <c r="AP83" s="125"/>
      <c r="AQ83" s="125"/>
      <c r="AR83" s="128"/>
      <c r="AS83" s="128"/>
      <c r="AT83" s="125"/>
      <c r="AU83" s="125"/>
      <c r="AV83" s="128"/>
      <c r="AW83" s="56"/>
    </row>
    <row r="84" spans="1:49" s="3" customFormat="1" ht="12.75" hidden="1" customHeight="1" x14ac:dyDescent="0.25">
      <c r="A84" s="1013"/>
      <c r="B84" s="57" t="s">
        <v>1179</v>
      </c>
      <c r="C84" s="222">
        <f>C74</f>
        <v>22.420123808013045</v>
      </c>
      <c r="D84" s="220"/>
      <c r="E84" s="68" t="s">
        <v>1598</v>
      </c>
      <c r="F84" s="69" t="s">
        <v>1441</v>
      </c>
      <c r="G84" s="70">
        <v>4.4000000000000004</v>
      </c>
      <c r="H84" s="70">
        <v>1</v>
      </c>
      <c r="I84" s="71">
        <f t="shared" si="5"/>
        <v>4.4000000000000004</v>
      </c>
      <c r="J84" s="758" t="s">
        <v>1513</v>
      </c>
      <c r="K84" s="760">
        <v>2</v>
      </c>
      <c r="L84" s="760">
        <v>25</v>
      </c>
      <c r="M84" s="771">
        <v>0.5</v>
      </c>
      <c r="N84" s="760">
        <f>L84/'Исп. коэффициенты'!E31*(C86+C87)</f>
        <v>1.418198320853188E-2</v>
      </c>
      <c r="O84" s="759"/>
      <c r="P84" s="759"/>
      <c r="Q84" s="759"/>
      <c r="R84" s="759"/>
      <c r="S84" s="759"/>
      <c r="T84" s="759"/>
      <c r="U84" s="759"/>
      <c r="V84" s="759"/>
      <c r="W84" s="759"/>
      <c r="X84" s="759"/>
      <c r="Y84" s="759"/>
      <c r="Z84" s="60"/>
      <c r="AA84" s="1"/>
      <c r="AB84" s="1"/>
      <c r="AC84" s="245"/>
      <c r="AD84" s="56"/>
      <c r="AF84" s="151"/>
      <c r="AG84" s="56"/>
      <c r="AH84" s="125"/>
      <c r="AI84" s="125"/>
      <c r="AJ84" s="136"/>
      <c r="AK84" s="125"/>
      <c r="AL84" s="127"/>
      <c r="AM84" s="125"/>
      <c r="AN84" s="125"/>
      <c r="AO84" s="128"/>
      <c r="AP84" s="125"/>
      <c r="AQ84" s="125"/>
      <c r="AR84" s="128"/>
      <c r="AS84" s="128"/>
      <c r="AT84" s="125"/>
      <c r="AU84" s="125"/>
      <c r="AV84" s="128"/>
      <c r="AW84" s="56"/>
    </row>
    <row r="85" spans="1:49" s="3" customFormat="1" ht="12.75" hidden="1" customHeight="1" x14ac:dyDescent="0.25">
      <c r="A85" s="1013"/>
      <c r="B85" s="57" t="s">
        <v>831</v>
      </c>
      <c r="C85" s="224"/>
      <c r="D85" s="220"/>
      <c r="E85" s="68" t="s">
        <v>1599</v>
      </c>
      <c r="F85" s="69" t="s">
        <v>1441</v>
      </c>
      <c r="G85" s="70">
        <v>77.28</v>
      </c>
      <c r="H85" s="69">
        <v>1</v>
      </c>
      <c r="I85" s="71">
        <f t="shared" si="5"/>
        <v>77.28</v>
      </c>
      <c r="J85" s="59"/>
      <c r="K85" s="61"/>
      <c r="L85" s="61"/>
      <c r="M85" s="61"/>
      <c r="N85" s="61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1"/>
      <c r="AB85" s="1"/>
      <c r="AC85" s="245"/>
      <c r="AD85" s="56"/>
      <c r="AF85" s="151"/>
      <c r="AG85" s="56"/>
      <c r="AH85" s="125"/>
      <c r="AI85" s="125"/>
      <c r="AJ85" s="136"/>
      <c r="AK85" s="125"/>
      <c r="AL85" s="127"/>
      <c r="AM85" s="125"/>
      <c r="AN85" s="125"/>
      <c r="AO85" s="128"/>
      <c r="AP85" s="125"/>
      <c r="AQ85" s="125"/>
      <c r="AR85" s="128"/>
      <c r="AS85" s="128"/>
      <c r="AT85" s="125"/>
      <c r="AU85" s="125"/>
      <c r="AV85" s="128"/>
      <c r="AW85" s="56"/>
    </row>
    <row r="86" spans="1:49" s="3" customFormat="1" ht="12.75" hidden="1" customHeight="1" x14ac:dyDescent="0.25">
      <c r="A86" s="1013"/>
      <c r="B86" s="74" t="s">
        <v>1178</v>
      </c>
      <c r="C86" s="225">
        <v>2</v>
      </c>
      <c r="D86" s="220"/>
      <c r="E86" s="68" t="s">
        <v>1442</v>
      </c>
      <c r="F86" s="69" t="s">
        <v>1443</v>
      </c>
      <c r="G86" s="70">
        <v>419.5</v>
      </c>
      <c r="H86" s="69">
        <v>1E-3</v>
      </c>
      <c r="I86" s="71">
        <f t="shared" si="5"/>
        <v>0.41949999999999998</v>
      </c>
      <c r="J86" s="59"/>
      <c r="K86" s="61"/>
      <c r="L86" s="61"/>
      <c r="M86" s="61"/>
      <c r="N86" s="61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1"/>
      <c r="AB86" s="1"/>
      <c r="AC86" s="245"/>
      <c r="AD86" s="56"/>
      <c r="AF86" s="151"/>
      <c r="AG86" s="56"/>
      <c r="AH86" s="125"/>
      <c r="AI86" s="125"/>
      <c r="AJ86" s="146"/>
      <c r="AK86" s="125"/>
      <c r="AL86" s="127"/>
      <c r="AM86" s="125"/>
      <c r="AN86" s="125"/>
      <c r="AO86" s="128"/>
      <c r="AP86" s="125"/>
      <c r="AQ86" s="125"/>
      <c r="AR86" s="128"/>
      <c r="AS86" s="128"/>
      <c r="AT86" s="125"/>
      <c r="AU86" s="125"/>
      <c r="AV86" s="128"/>
      <c r="AW86" s="56"/>
    </row>
    <row r="87" spans="1:49" s="3" customFormat="1" ht="12.75" hidden="1" customHeight="1" x14ac:dyDescent="0.25">
      <c r="A87" s="1013"/>
      <c r="B87" s="57" t="s">
        <v>1179</v>
      </c>
      <c r="C87" s="225">
        <v>2.5</v>
      </c>
      <c r="D87" s="220"/>
      <c r="E87" s="68" t="s">
        <v>1444</v>
      </c>
      <c r="F87" s="69" t="s">
        <v>1443</v>
      </c>
      <c r="G87" s="70">
        <v>872</v>
      </c>
      <c r="H87" s="69">
        <v>2E-3</v>
      </c>
      <c r="I87" s="71">
        <f t="shared" si="5"/>
        <v>1.744</v>
      </c>
      <c r="J87" s="59"/>
      <c r="K87" s="61"/>
      <c r="L87" s="61"/>
      <c r="M87" s="61"/>
      <c r="N87" s="61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1"/>
      <c r="AB87" s="1"/>
      <c r="AC87" s="245"/>
      <c r="AD87" s="56"/>
      <c r="AF87" s="151"/>
      <c r="AG87" s="56"/>
      <c r="AH87" s="125"/>
      <c r="AI87" s="125"/>
      <c r="AJ87" s="146"/>
      <c r="AK87" s="125"/>
      <c r="AL87" s="127"/>
      <c r="AM87" s="125"/>
      <c r="AN87" s="125"/>
      <c r="AO87" s="128"/>
      <c r="AP87" s="125"/>
      <c r="AQ87" s="125"/>
      <c r="AR87" s="128"/>
      <c r="AS87" s="128"/>
      <c r="AT87" s="125"/>
      <c r="AU87" s="125"/>
      <c r="AV87" s="128"/>
      <c r="AW87" s="56"/>
    </row>
    <row r="88" spans="1:49" s="3" customFormat="1" ht="12.75" hidden="1" customHeight="1" x14ac:dyDescent="0.25">
      <c r="A88" s="1013"/>
      <c r="B88" s="79" t="s">
        <v>1181</v>
      </c>
      <c r="C88" s="222">
        <f>C83*C86+C84*C87</f>
        <v>133.48604126017125</v>
      </c>
      <c r="D88" s="220"/>
      <c r="E88" s="228"/>
      <c r="F88" s="166"/>
      <c r="G88" s="70"/>
      <c r="H88" s="69"/>
      <c r="I88" s="71"/>
      <c r="J88" s="59"/>
      <c r="K88" s="170"/>
      <c r="L88" s="76"/>
      <c r="M88" s="72"/>
      <c r="N88" s="61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1"/>
      <c r="AB88" s="1"/>
      <c r="AC88" s="245"/>
      <c r="AD88" s="56"/>
      <c r="AF88" s="151"/>
      <c r="AG88" s="56"/>
      <c r="AH88" s="125"/>
      <c r="AI88" s="125"/>
      <c r="AJ88" s="136"/>
      <c r="AK88" s="125"/>
      <c r="AL88" s="127"/>
      <c r="AM88" s="125"/>
      <c r="AN88" s="125"/>
      <c r="AO88" s="128"/>
      <c r="AP88" s="125"/>
      <c r="AQ88" s="125"/>
      <c r="AR88" s="128"/>
      <c r="AS88" s="128"/>
      <c r="AT88" s="125"/>
      <c r="AU88" s="125"/>
      <c r="AV88" s="128"/>
      <c r="AW88" s="56"/>
    </row>
    <row r="89" spans="1:49" s="3" customFormat="1" ht="13.5" hidden="1" customHeight="1" x14ac:dyDescent="0.25">
      <c r="A89" s="1014"/>
      <c r="B89" s="123"/>
      <c r="C89" s="225"/>
      <c r="D89" s="221"/>
      <c r="E89" s="228"/>
      <c r="F89" s="166"/>
      <c r="G89" s="70"/>
      <c r="H89" s="69"/>
      <c r="I89" s="71"/>
      <c r="J89" s="59"/>
      <c r="K89" s="170"/>
      <c r="L89" s="61"/>
      <c r="M89" s="72"/>
      <c r="N89" s="61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1"/>
      <c r="AB89" s="1"/>
      <c r="AC89" s="245"/>
      <c r="AD89" s="56"/>
      <c r="AF89" s="151"/>
      <c r="AG89" s="56"/>
      <c r="AH89" s="125"/>
      <c r="AI89" s="125"/>
      <c r="AJ89" s="146"/>
      <c r="AK89" s="125"/>
      <c r="AL89" s="127"/>
      <c r="AM89" s="125"/>
      <c r="AN89" s="125"/>
      <c r="AO89" s="128"/>
      <c r="AP89" s="125"/>
      <c r="AQ89" s="125"/>
      <c r="AR89" s="128"/>
      <c r="AS89" s="128"/>
      <c r="AT89" s="125"/>
      <c r="AU89" s="125"/>
      <c r="AV89" s="128"/>
      <c r="AW89" s="56"/>
    </row>
    <row r="90" spans="1:49" s="803" customFormat="1" ht="56.25" customHeight="1" x14ac:dyDescent="0.25">
      <c r="A90" s="1114" t="s">
        <v>1607</v>
      </c>
      <c r="B90" s="778" t="s">
        <v>716</v>
      </c>
      <c r="C90" s="799"/>
      <c r="D90" s="800"/>
      <c r="E90" s="801" t="s">
        <v>488</v>
      </c>
      <c r="F90" s="792" t="s">
        <v>837</v>
      </c>
      <c r="G90" s="778" t="s">
        <v>489</v>
      </c>
      <c r="H90" s="791" t="s">
        <v>1170</v>
      </c>
      <c r="I90" s="792" t="s">
        <v>838</v>
      </c>
      <c r="J90" s="793" t="s">
        <v>1171</v>
      </c>
      <c r="K90" s="793" t="s">
        <v>490</v>
      </c>
      <c r="L90" s="794" t="s">
        <v>489</v>
      </c>
      <c r="M90" s="793" t="s">
        <v>1172</v>
      </c>
      <c r="N90" s="792" t="s">
        <v>838</v>
      </c>
      <c r="O90" s="793" t="s">
        <v>1171</v>
      </c>
      <c r="P90" s="793" t="s">
        <v>826</v>
      </c>
      <c r="Q90" s="793" t="s">
        <v>1173</v>
      </c>
      <c r="R90" s="793" t="s">
        <v>1174</v>
      </c>
      <c r="S90" s="793" t="s">
        <v>839</v>
      </c>
      <c r="T90" s="793" t="s">
        <v>1171</v>
      </c>
      <c r="U90" s="793" t="s">
        <v>1392</v>
      </c>
      <c r="V90" s="793" t="s">
        <v>841</v>
      </c>
      <c r="W90" s="795" t="s">
        <v>1173</v>
      </c>
      <c r="X90" s="793" t="s">
        <v>1394</v>
      </c>
      <c r="Y90" s="793" t="s">
        <v>839</v>
      </c>
      <c r="Z90" s="796"/>
      <c r="AA90" s="755"/>
      <c r="AB90" s="755"/>
      <c r="AC90" s="773"/>
      <c r="AD90" s="802"/>
      <c r="AF90" s="804"/>
      <c r="AG90" s="802"/>
      <c r="AH90" s="805"/>
      <c r="AI90" s="805"/>
      <c r="AJ90" s="805"/>
      <c r="AK90" s="805"/>
      <c r="AL90" s="806"/>
      <c r="AM90" s="805"/>
      <c r="AN90" s="805"/>
      <c r="AO90" s="807"/>
      <c r="AP90" s="805"/>
      <c r="AQ90" s="808"/>
      <c r="AR90" s="808"/>
      <c r="AS90" s="808"/>
      <c r="AT90" s="805"/>
      <c r="AU90" s="805"/>
      <c r="AV90" s="807"/>
      <c r="AW90" s="802"/>
    </row>
    <row r="91" spans="1:49" s="803" customFormat="1" ht="12" customHeight="1" x14ac:dyDescent="0.25">
      <c r="A91" s="1115"/>
      <c r="B91" s="752" t="s">
        <v>1175</v>
      </c>
      <c r="C91" s="799">
        <f>C98</f>
        <v>72.348051582088885</v>
      </c>
      <c r="D91" s="800">
        <f>C91*$D$5</f>
        <v>14.614306419581956</v>
      </c>
      <c r="E91" s="809" t="s">
        <v>1176</v>
      </c>
      <c r="F91" s="810"/>
      <c r="G91" s="756"/>
      <c r="H91" s="756"/>
      <c r="I91" s="757">
        <f>SUM(I92:I99)</f>
        <v>83.8536</v>
      </c>
      <c r="J91" s="758" t="s">
        <v>1176</v>
      </c>
      <c r="K91" s="811"/>
      <c r="L91" s="759"/>
      <c r="M91" s="759"/>
      <c r="N91" s="760">
        <f>SUM(N92:N99)</f>
        <v>0.27418500869828294</v>
      </c>
      <c r="O91" s="759" t="s">
        <v>1176</v>
      </c>
      <c r="P91" s="759"/>
      <c r="Q91" s="812"/>
      <c r="R91" s="813"/>
      <c r="S91" s="760">
        <f>SUM(S92:S99)</f>
        <v>0.17977397070317422</v>
      </c>
      <c r="T91" s="760"/>
      <c r="U91" s="760"/>
      <c r="V91" s="760"/>
      <c r="W91" s="760"/>
      <c r="X91" s="760"/>
      <c r="Y91" s="760">
        <f>SUM(Y92:Y99)</f>
        <v>11.63319193706981</v>
      </c>
      <c r="Z91" s="762">
        <f>(C91+D91+I91+N91+S91+Y91)*$Z$5</f>
        <v>237.80837118927158</v>
      </c>
      <c r="AA91" s="763">
        <f>C91+D91+I91+N91+S91+Y91+Z91</f>
        <v>420.71148010741365</v>
      </c>
      <c r="AB91" s="764">
        <v>0.25</v>
      </c>
      <c r="AC91" s="765">
        <f>AA91*(1+AB91)</f>
        <v>525.88935013426703</v>
      </c>
      <c r="AD91" s="814"/>
      <c r="AF91" s="804"/>
      <c r="AG91" s="802"/>
      <c r="AH91" s="805"/>
      <c r="AI91" s="808"/>
      <c r="AJ91" s="815"/>
      <c r="AK91" s="816"/>
      <c r="AL91" s="806"/>
      <c r="AM91" s="817"/>
      <c r="AN91" s="818"/>
      <c r="AO91" s="817"/>
      <c r="AP91" s="808"/>
      <c r="AQ91" s="808"/>
      <c r="AR91" s="808"/>
      <c r="AS91" s="808"/>
      <c r="AT91" s="808"/>
      <c r="AU91" s="817"/>
      <c r="AV91" s="817"/>
      <c r="AW91" s="819"/>
    </row>
    <row r="92" spans="1:49" s="803" customFormat="1" ht="12.75" customHeight="1" x14ac:dyDescent="0.25">
      <c r="A92" s="1115"/>
      <c r="B92" s="766" t="s">
        <v>830</v>
      </c>
      <c r="C92" s="799"/>
      <c r="D92" s="820"/>
      <c r="E92" s="767" t="s">
        <v>1437</v>
      </c>
      <c r="F92" s="768" t="s">
        <v>1438</v>
      </c>
      <c r="G92" s="769">
        <v>0.74</v>
      </c>
      <c r="H92" s="768">
        <v>0.01</v>
      </c>
      <c r="I92" s="770">
        <f t="shared" ref="I92:I97" si="6">G92*H92</f>
        <v>7.4000000000000003E-3</v>
      </c>
      <c r="J92" s="758" t="s">
        <v>1291</v>
      </c>
      <c r="K92" s="771">
        <v>2</v>
      </c>
      <c r="L92" s="772">
        <v>750</v>
      </c>
      <c r="M92" s="771">
        <v>2</v>
      </c>
      <c r="N92" s="760">
        <f>L92/'Исп. коэффициенты'!E31*(C96+C97)</f>
        <v>0.23636638680886463</v>
      </c>
      <c r="O92" s="759" t="s">
        <v>2200</v>
      </c>
      <c r="P92" s="759">
        <v>7250</v>
      </c>
      <c r="Q92" s="759">
        <v>19.670000000000002</v>
      </c>
      <c r="R92" s="759">
        <f>P92*Q92%</f>
        <v>1426.075</v>
      </c>
      <c r="S92" s="759">
        <f>R92/'Исп. коэффициенты'!E31*C96</f>
        <v>0.17977397070317422</v>
      </c>
      <c r="T92" s="755" t="s">
        <v>1435</v>
      </c>
      <c r="U92" s="756">
        <v>6785401.3499999996</v>
      </c>
      <c r="V92" s="785">
        <f>'Исп. коэффициенты'!E124</f>
        <v>2978.5</v>
      </c>
      <c r="W92" s="761">
        <f>'Исп. коэффициенты'!D124</f>
        <v>1.3599999999999999E-2</v>
      </c>
      <c r="X92" s="760">
        <f>U92*W92</f>
        <v>92281.45835999999</v>
      </c>
      <c r="Y92" s="759">
        <f>X92/'Исп. коэффициенты'!E31*C96</f>
        <v>11.63319193706981</v>
      </c>
      <c r="Z92" s="759"/>
      <c r="AA92" s="755"/>
      <c r="AB92" s="755"/>
      <c r="AC92" s="773"/>
      <c r="AD92" s="802"/>
      <c r="AF92" s="821"/>
      <c r="AG92" s="802"/>
      <c r="AH92" s="805"/>
      <c r="AI92" s="805"/>
      <c r="AJ92" s="822"/>
      <c r="AK92" s="805"/>
      <c r="AL92" s="806"/>
      <c r="AM92" s="805"/>
      <c r="AN92" s="805"/>
      <c r="AO92" s="807"/>
      <c r="AP92" s="805"/>
      <c r="AQ92" s="805"/>
      <c r="AR92" s="807"/>
      <c r="AS92" s="807"/>
      <c r="AT92" s="805"/>
      <c r="AU92" s="805"/>
      <c r="AV92" s="807"/>
      <c r="AW92" s="802"/>
    </row>
    <row r="93" spans="1:49" s="803" customFormat="1" x14ac:dyDescent="0.25">
      <c r="A93" s="1115"/>
      <c r="B93" s="774" t="s">
        <v>1178</v>
      </c>
      <c r="C93" s="823">
        <f>C83</f>
        <v>38.717865870069311</v>
      </c>
      <c r="D93" s="820"/>
      <c r="E93" s="767" t="s">
        <v>1439</v>
      </c>
      <c r="F93" s="768" t="s">
        <v>1438</v>
      </c>
      <c r="G93" s="769">
        <v>0.27</v>
      </c>
      <c r="H93" s="768">
        <v>0.01</v>
      </c>
      <c r="I93" s="775">
        <f t="shared" si="6"/>
        <v>2.7000000000000001E-3</v>
      </c>
      <c r="J93" s="758" t="s">
        <v>1445</v>
      </c>
      <c r="K93" s="760">
        <v>2</v>
      </c>
      <c r="L93" s="776">
        <v>95</v>
      </c>
      <c r="M93" s="771">
        <v>2</v>
      </c>
      <c r="N93" s="760">
        <f>L93/'Исп. коэффициенты'!E31*(C96+C97)</f>
        <v>2.9939742329122852E-2</v>
      </c>
      <c r="O93" s="759"/>
      <c r="P93" s="759"/>
      <c r="Q93" s="759"/>
      <c r="R93" s="759"/>
      <c r="S93" s="759"/>
      <c r="T93" s="759"/>
      <c r="U93" s="759"/>
      <c r="V93" s="759"/>
      <c r="W93" s="759"/>
      <c r="X93" s="759"/>
      <c r="Y93" s="759"/>
      <c r="Z93" s="759"/>
      <c r="AA93" s="755"/>
      <c r="AB93" s="755"/>
      <c r="AC93" s="773"/>
      <c r="AD93" s="802"/>
      <c r="AF93" s="821"/>
      <c r="AG93" s="802"/>
      <c r="AH93" s="805"/>
      <c r="AI93" s="805"/>
      <c r="AJ93" s="822"/>
      <c r="AK93" s="805"/>
      <c r="AL93" s="806"/>
      <c r="AM93" s="824"/>
      <c r="AN93" s="805"/>
      <c r="AO93" s="807"/>
      <c r="AP93" s="805"/>
      <c r="AQ93" s="805"/>
      <c r="AR93" s="807"/>
      <c r="AS93" s="807"/>
      <c r="AT93" s="805"/>
      <c r="AU93" s="805"/>
      <c r="AV93" s="807"/>
      <c r="AW93" s="802"/>
    </row>
    <row r="94" spans="1:49" s="803" customFormat="1" ht="12.75" customHeight="1" x14ac:dyDescent="0.25">
      <c r="A94" s="1115"/>
      <c r="B94" s="754" t="s">
        <v>1179</v>
      </c>
      <c r="C94" s="799">
        <f>C84</f>
        <v>22.420123808013045</v>
      </c>
      <c r="D94" s="820"/>
      <c r="E94" s="767" t="s">
        <v>1598</v>
      </c>
      <c r="F94" s="768" t="s">
        <v>1441</v>
      </c>
      <c r="G94" s="769">
        <v>4.4000000000000004</v>
      </c>
      <c r="H94" s="769">
        <v>1</v>
      </c>
      <c r="I94" s="770">
        <f t="shared" si="6"/>
        <v>4.4000000000000004</v>
      </c>
      <c r="J94" s="758" t="s">
        <v>1513</v>
      </c>
      <c r="K94" s="760">
        <v>2</v>
      </c>
      <c r="L94" s="760">
        <v>25</v>
      </c>
      <c r="M94" s="771">
        <v>0.5</v>
      </c>
      <c r="N94" s="760">
        <f>L94/'Исп. коэффициенты'!E31*(C96+C97)</f>
        <v>7.8788795602954889E-3</v>
      </c>
      <c r="O94" s="759"/>
      <c r="P94" s="759"/>
      <c r="Q94" s="759"/>
      <c r="R94" s="759"/>
      <c r="S94" s="759"/>
      <c r="T94" s="759"/>
      <c r="U94" s="759"/>
      <c r="V94" s="759"/>
      <c r="W94" s="759"/>
      <c r="X94" s="759"/>
      <c r="Y94" s="759"/>
      <c r="Z94" s="759"/>
      <c r="AA94" s="755"/>
      <c r="AB94" s="755"/>
      <c r="AC94" s="773"/>
      <c r="AD94" s="802"/>
      <c r="AF94" s="821"/>
      <c r="AG94" s="802"/>
      <c r="AH94" s="805"/>
      <c r="AI94" s="805"/>
      <c r="AJ94" s="822"/>
      <c r="AK94" s="805"/>
      <c r="AL94" s="806"/>
      <c r="AM94" s="805"/>
      <c r="AN94" s="805"/>
      <c r="AO94" s="807"/>
      <c r="AP94" s="805"/>
      <c r="AQ94" s="805"/>
      <c r="AR94" s="807"/>
      <c r="AS94" s="807"/>
      <c r="AT94" s="805"/>
      <c r="AU94" s="805"/>
      <c r="AV94" s="807"/>
      <c r="AW94" s="802"/>
    </row>
    <row r="95" spans="1:49" s="803" customFormat="1" ht="12.75" customHeight="1" x14ac:dyDescent="0.25">
      <c r="A95" s="1115"/>
      <c r="B95" s="754" t="s">
        <v>831</v>
      </c>
      <c r="C95" s="825"/>
      <c r="D95" s="820"/>
      <c r="E95" s="767" t="s">
        <v>1599</v>
      </c>
      <c r="F95" s="768" t="s">
        <v>1441</v>
      </c>
      <c r="G95" s="769">
        <v>77.28</v>
      </c>
      <c r="H95" s="768">
        <v>1</v>
      </c>
      <c r="I95" s="770">
        <f t="shared" si="6"/>
        <v>77.28</v>
      </c>
      <c r="J95" s="758"/>
      <c r="K95" s="760"/>
      <c r="L95" s="760"/>
      <c r="M95" s="760"/>
      <c r="N95" s="760"/>
      <c r="O95" s="759"/>
      <c r="P95" s="759"/>
      <c r="Q95" s="759"/>
      <c r="R95" s="759"/>
      <c r="S95" s="759"/>
      <c r="T95" s="759"/>
      <c r="U95" s="759"/>
      <c r="V95" s="759"/>
      <c r="W95" s="759"/>
      <c r="X95" s="759"/>
      <c r="Y95" s="759"/>
      <c r="Z95" s="759"/>
      <c r="AA95" s="755"/>
      <c r="AB95" s="755"/>
      <c r="AC95" s="773"/>
      <c r="AD95" s="802"/>
      <c r="AF95" s="821"/>
      <c r="AG95" s="802"/>
      <c r="AH95" s="805"/>
      <c r="AI95" s="805"/>
      <c r="AJ95" s="822"/>
      <c r="AK95" s="805"/>
      <c r="AL95" s="806"/>
      <c r="AM95" s="805"/>
      <c r="AN95" s="805"/>
      <c r="AO95" s="807"/>
      <c r="AP95" s="805"/>
      <c r="AQ95" s="805"/>
      <c r="AR95" s="807"/>
      <c r="AS95" s="807"/>
      <c r="AT95" s="805"/>
      <c r="AU95" s="805"/>
      <c r="AV95" s="807"/>
      <c r="AW95" s="802"/>
    </row>
    <row r="96" spans="1:49" s="803" customFormat="1" ht="12.75" customHeight="1" x14ac:dyDescent="0.25">
      <c r="A96" s="1115"/>
      <c r="B96" s="774" t="s">
        <v>1178</v>
      </c>
      <c r="C96" s="826">
        <v>1</v>
      </c>
      <c r="D96" s="820"/>
      <c r="E96" s="767" t="s">
        <v>1442</v>
      </c>
      <c r="F96" s="768" t="s">
        <v>1443</v>
      </c>
      <c r="G96" s="769">
        <v>419.5</v>
      </c>
      <c r="H96" s="768">
        <v>1E-3</v>
      </c>
      <c r="I96" s="770">
        <f t="shared" si="6"/>
        <v>0.41949999999999998</v>
      </c>
      <c r="J96" s="758"/>
      <c r="K96" s="760"/>
      <c r="L96" s="760"/>
      <c r="M96" s="760"/>
      <c r="N96" s="760"/>
      <c r="O96" s="759"/>
      <c r="P96" s="759"/>
      <c r="Q96" s="759"/>
      <c r="R96" s="759"/>
      <c r="S96" s="759"/>
      <c r="T96" s="759"/>
      <c r="U96" s="759"/>
      <c r="V96" s="759"/>
      <c r="W96" s="759"/>
      <c r="X96" s="759"/>
      <c r="Y96" s="759"/>
      <c r="Z96" s="759"/>
      <c r="AA96" s="755"/>
      <c r="AB96" s="755"/>
      <c r="AC96" s="773"/>
      <c r="AD96" s="802"/>
      <c r="AF96" s="821"/>
      <c r="AG96" s="802"/>
      <c r="AH96" s="805"/>
      <c r="AI96" s="805"/>
      <c r="AJ96" s="827"/>
      <c r="AK96" s="805"/>
      <c r="AL96" s="806"/>
      <c r="AM96" s="805"/>
      <c r="AN96" s="805"/>
      <c r="AO96" s="807"/>
      <c r="AP96" s="805"/>
      <c r="AQ96" s="805"/>
      <c r="AR96" s="807"/>
      <c r="AS96" s="807"/>
      <c r="AT96" s="805"/>
      <c r="AU96" s="805"/>
      <c r="AV96" s="807"/>
      <c r="AW96" s="802"/>
    </row>
    <row r="97" spans="1:49" s="803" customFormat="1" ht="12.75" customHeight="1" x14ac:dyDescent="0.25">
      <c r="A97" s="1115"/>
      <c r="B97" s="754" t="s">
        <v>1179</v>
      </c>
      <c r="C97" s="826">
        <v>1.5</v>
      </c>
      <c r="D97" s="820"/>
      <c r="E97" s="767" t="s">
        <v>1444</v>
      </c>
      <c r="F97" s="768" t="s">
        <v>1443</v>
      </c>
      <c r="G97" s="769">
        <v>872</v>
      </c>
      <c r="H97" s="768">
        <v>2E-3</v>
      </c>
      <c r="I97" s="770">
        <f t="shared" si="6"/>
        <v>1.744</v>
      </c>
      <c r="J97" s="758"/>
      <c r="K97" s="760"/>
      <c r="L97" s="760"/>
      <c r="M97" s="760"/>
      <c r="N97" s="760"/>
      <c r="O97" s="759"/>
      <c r="P97" s="759"/>
      <c r="Q97" s="759"/>
      <c r="R97" s="759"/>
      <c r="S97" s="759"/>
      <c r="T97" s="759"/>
      <c r="U97" s="759"/>
      <c r="V97" s="759"/>
      <c r="W97" s="759"/>
      <c r="X97" s="759"/>
      <c r="Y97" s="759"/>
      <c r="Z97" s="759"/>
      <c r="AA97" s="755"/>
      <c r="AB97" s="755"/>
      <c r="AC97" s="773"/>
      <c r="AD97" s="802"/>
      <c r="AF97" s="821"/>
      <c r="AG97" s="802"/>
      <c r="AH97" s="805"/>
      <c r="AI97" s="805"/>
      <c r="AJ97" s="827"/>
      <c r="AK97" s="805"/>
      <c r="AL97" s="806"/>
      <c r="AM97" s="805"/>
      <c r="AN97" s="805"/>
      <c r="AO97" s="807"/>
      <c r="AP97" s="805"/>
      <c r="AQ97" s="805"/>
      <c r="AR97" s="807"/>
      <c r="AS97" s="807"/>
      <c r="AT97" s="805"/>
      <c r="AU97" s="805"/>
      <c r="AV97" s="807"/>
      <c r="AW97" s="802"/>
    </row>
    <row r="98" spans="1:49" s="803" customFormat="1" ht="12.75" customHeight="1" x14ac:dyDescent="0.25">
      <c r="A98" s="1115"/>
      <c r="B98" s="782" t="s">
        <v>1181</v>
      </c>
      <c r="C98" s="799">
        <f>C93*C96+C94*C97</f>
        <v>72.348051582088885</v>
      </c>
      <c r="D98" s="820"/>
      <c r="E98" s="780"/>
      <c r="F98" s="781"/>
      <c r="G98" s="769"/>
      <c r="H98" s="768"/>
      <c r="I98" s="770"/>
      <c r="J98" s="758"/>
      <c r="K98" s="828"/>
      <c r="L98" s="776"/>
      <c r="M98" s="771"/>
      <c r="N98" s="760"/>
      <c r="O98" s="759"/>
      <c r="P98" s="759"/>
      <c r="Q98" s="759"/>
      <c r="R98" s="759"/>
      <c r="S98" s="759"/>
      <c r="T98" s="759"/>
      <c r="U98" s="759"/>
      <c r="V98" s="759"/>
      <c r="W98" s="759"/>
      <c r="X98" s="759"/>
      <c r="Y98" s="759"/>
      <c r="Z98" s="759"/>
      <c r="AA98" s="755"/>
      <c r="AB98" s="755"/>
      <c r="AC98" s="773"/>
      <c r="AD98" s="802"/>
      <c r="AF98" s="821"/>
      <c r="AG98" s="802"/>
      <c r="AH98" s="805"/>
      <c r="AI98" s="805"/>
      <c r="AJ98" s="822"/>
      <c r="AK98" s="805"/>
      <c r="AL98" s="806"/>
      <c r="AM98" s="805"/>
      <c r="AN98" s="805"/>
      <c r="AO98" s="807"/>
      <c r="AP98" s="805"/>
      <c r="AQ98" s="805"/>
      <c r="AR98" s="807"/>
      <c r="AS98" s="807"/>
      <c r="AT98" s="805"/>
      <c r="AU98" s="805"/>
      <c r="AV98" s="807"/>
      <c r="AW98" s="802"/>
    </row>
    <row r="99" spans="1:49" s="803" customFormat="1" ht="13.5" customHeight="1" x14ac:dyDescent="0.25">
      <c r="A99" s="1116"/>
      <c r="B99" s="783"/>
      <c r="C99" s="826"/>
      <c r="D99" s="829"/>
      <c r="E99" s="780"/>
      <c r="F99" s="781"/>
      <c r="G99" s="769"/>
      <c r="H99" s="768"/>
      <c r="I99" s="770"/>
      <c r="J99" s="758"/>
      <c r="K99" s="828"/>
      <c r="L99" s="760"/>
      <c r="M99" s="771"/>
      <c r="N99" s="760"/>
      <c r="O99" s="759"/>
      <c r="P99" s="759"/>
      <c r="Q99" s="759"/>
      <c r="R99" s="759"/>
      <c r="S99" s="759"/>
      <c r="T99" s="759"/>
      <c r="U99" s="759"/>
      <c r="V99" s="759"/>
      <c r="W99" s="759"/>
      <c r="X99" s="759"/>
      <c r="Y99" s="759"/>
      <c r="Z99" s="759"/>
      <c r="AA99" s="755"/>
      <c r="AB99" s="755"/>
      <c r="AC99" s="773"/>
      <c r="AD99" s="802"/>
      <c r="AF99" s="821"/>
      <c r="AG99" s="802"/>
      <c r="AH99" s="805"/>
      <c r="AI99" s="805"/>
      <c r="AJ99" s="827"/>
      <c r="AK99" s="805"/>
      <c r="AL99" s="806"/>
      <c r="AM99" s="805"/>
      <c r="AN99" s="805"/>
      <c r="AO99" s="807"/>
      <c r="AP99" s="805"/>
      <c r="AQ99" s="805"/>
      <c r="AR99" s="807"/>
      <c r="AS99" s="807"/>
      <c r="AT99" s="805"/>
      <c r="AU99" s="805"/>
      <c r="AV99" s="807"/>
      <c r="AW99" s="802"/>
    </row>
    <row r="100" spans="1:49" s="3" customFormat="1" ht="56.25" hidden="1" customHeight="1" x14ac:dyDescent="0.25">
      <c r="A100" s="1012" t="s">
        <v>1608</v>
      </c>
      <c r="B100" s="258" t="s">
        <v>717</v>
      </c>
      <c r="C100" s="222"/>
      <c r="D100" s="219"/>
      <c r="E100" s="226" t="s">
        <v>488</v>
      </c>
      <c r="F100" s="53" t="s">
        <v>837</v>
      </c>
      <c r="G100" s="51" t="s">
        <v>489</v>
      </c>
      <c r="H100" s="52" t="s">
        <v>1170</v>
      </c>
      <c r="I100" s="53" t="s">
        <v>838</v>
      </c>
      <c r="J100" s="47" t="s">
        <v>1171</v>
      </c>
      <c r="K100" s="47" t="s">
        <v>490</v>
      </c>
      <c r="L100" s="54" t="s">
        <v>489</v>
      </c>
      <c r="M100" s="47" t="s">
        <v>1172</v>
      </c>
      <c r="N100" s="53" t="s">
        <v>838</v>
      </c>
      <c r="O100" s="47" t="s">
        <v>1171</v>
      </c>
      <c r="P100" s="47" t="s">
        <v>826</v>
      </c>
      <c r="Q100" s="47" t="s">
        <v>1173</v>
      </c>
      <c r="R100" s="47" t="s">
        <v>1174</v>
      </c>
      <c r="S100" s="47" t="s">
        <v>839</v>
      </c>
      <c r="T100" s="47" t="s">
        <v>1171</v>
      </c>
      <c r="U100" s="47" t="s">
        <v>1392</v>
      </c>
      <c r="V100" s="47" t="s">
        <v>841</v>
      </c>
      <c r="W100" s="231" t="s">
        <v>1173</v>
      </c>
      <c r="X100" s="47" t="s">
        <v>1394</v>
      </c>
      <c r="Y100" s="47" t="s">
        <v>839</v>
      </c>
      <c r="Z100" s="55"/>
      <c r="AA100" s="1"/>
      <c r="AB100" s="1"/>
      <c r="AC100" s="245"/>
      <c r="AD100" s="56"/>
      <c r="AF100" s="81"/>
      <c r="AG100" s="56"/>
      <c r="AH100" s="125"/>
      <c r="AI100" s="125"/>
      <c r="AJ100" s="125"/>
      <c r="AK100" s="125"/>
      <c r="AL100" s="127"/>
      <c r="AM100" s="125"/>
      <c r="AN100" s="125"/>
      <c r="AO100" s="128"/>
      <c r="AP100" s="125"/>
      <c r="AQ100" s="139"/>
      <c r="AR100" s="139"/>
      <c r="AS100" s="139"/>
      <c r="AT100" s="125"/>
      <c r="AU100" s="125"/>
      <c r="AV100" s="128"/>
      <c r="AW100" s="56"/>
    </row>
    <row r="101" spans="1:49" s="3" customFormat="1" ht="12" hidden="1" customHeight="1" x14ac:dyDescent="0.25">
      <c r="A101" s="1013"/>
      <c r="B101" s="36" t="s">
        <v>1175</v>
      </c>
      <c r="C101" s="222">
        <f>C108</f>
        <v>72.348051582088885</v>
      </c>
      <c r="D101" s="219">
        <f>C101*$D$5</f>
        <v>14.614306419581956</v>
      </c>
      <c r="E101" s="227" t="s">
        <v>1176</v>
      </c>
      <c r="F101" s="165"/>
      <c r="G101" s="58"/>
      <c r="H101" s="58"/>
      <c r="I101" s="2">
        <f>SUM(I102:I109)</f>
        <v>83.8536</v>
      </c>
      <c r="J101" s="59" t="s">
        <v>1176</v>
      </c>
      <c r="K101" s="169"/>
      <c r="L101" s="60"/>
      <c r="M101" s="60"/>
      <c r="N101" s="61">
        <f>SUM(N102:N109)</f>
        <v>8.4000000000000005E-2</v>
      </c>
      <c r="O101" s="60" t="s">
        <v>1176</v>
      </c>
      <c r="P101" s="60"/>
      <c r="Q101" s="62"/>
      <c r="R101" s="63"/>
      <c r="S101" s="61">
        <f>SUM(S102:S109)</f>
        <v>9.7215000000000007</v>
      </c>
      <c r="T101" s="61"/>
      <c r="U101" s="61"/>
      <c r="V101" s="61"/>
      <c r="W101" s="61"/>
      <c r="X101" s="61"/>
      <c r="Y101" s="61">
        <f>SUM(Y102:Y109)</f>
        <v>9.1999999999999998E-3</v>
      </c>
      <c r="Z101" s="64">
        <f>(C101+D101+I101+N101+S101+Y101)*$Z$5</f>
        <v>234.85375847519541</v>
      </c>
      <c r="AA101" s="65">
        <f>C101+D101+I101+N101+S101+Y101+Z101</f>
        <v>415.48441647686622</v>
      </c>
      <c r="AB101" s="66">
        <v>0.25</v>
      </c>
      <c r="AC101" s="244">
        <f>AA101*(1+AB101)</f>
        <v>519.35552059608278</v>
      </c>
      <c r="AD101" s="67"/>
      <c r="AF101" s="81"/>
      <c r="AG101" s="56"/>
      <c r="AH101" s="125"/>
      <c r="AI101" s="139"/>
      <c r="AJ101" s="140"/>
      <c r="AK101" s="141"/>
      <c r="AL101" s="127"/>
      <c r="AM101" s="142"/>
      <c r="AN101" s="143"/>
      <c r="AO101" s="142"/>
      <c r="AP101" s="139"/>
      <c r="AQ101" s="139"/>
      <c r="AR101" s="139"/>
      <c r="AS101" s="139"/>
      <c r="AT101" s="139"/>
      <c r="AU101" s="142"/>
      <c r="AV101" s="142"/>
      <c r="AW101" s="144"/>
    </row>
    <row r="102" spans="1:49" s="3" customFormat="1" ht="12.75" hidden="1" customHeight="1" x14ac:dyDescent="0.25">
      <c r="A102" s="1013"/>
      <c r="B102" s="50" t="s">
        <v>830</v>
      </c>
      <c r="C102" s="222"/>
      <c r="D102" s="220"/>
      <c r="E102" s="68" t="s">
        <v>1437</v>
      </c>
      <c r="F102" s="69" t="s">
        <v>1438</v>
      </c>
      <c r="G102" s="70">
        <v>0.74</v>
      </c>
      <c r="H102" s="69">
        <v>0.01</v>
      </c>
      <c r="I102" s="71">
        <f t="shared" ref="I102:I107" si="7">G102*H102</f>
        <v>7.4000000000000003E-3</v>
      </c>
      <c r="J102" s="59" t="s">
        <v>1291</v>
      </c>
      <c r="K102" s="61">
        <v>2</v>
      </c>
      <c r="L102" s="61">
        <v>640</v>
      </c>
      <c r="M102" s="61">
        <v>2</v>
      </c>
      <c r="N102" s="61">
        <v>0.05</v>
      </c>
      <c r="O102" s="60" t="s">
        <v>1239</v>
      </c>
      <c r="P102" s="60">
        <v>61189.5</v>
      </c>
      <c r="Q102" s="60">
        <v>19.670000000000002</v>
      </c>
      <c r="R102" s="60">
        <v>6513.87</v>
      </c>
      <c r="S102" s="60">
        <v>9.7215000000000007</v>
      </c>
      <c r="T102" s="239" t="s">
        <v>1435</v>
      </c>
      <c r="U102" s="240">
        <v>6785401.3499999996</v>
      </c>
      <c r="V102" s="241">
        <v>1.32E-2</v>
      </c>
      <c r="W102" s="239">
        <v>1508.3</v>
      </c>
      <c r="X102" s="61">
        <v>59.38</v>
      </c>
      <c r="Y102" s="60">
        <v>9.1999999999999998E-3</v>
      </c>
      <c r="Z102" s="60"/>
      <c r="AA102" s="1"/>
      <c r="AB102" s="1"/>
      <c r="AC102" s="245"/>
      <c r="AD102" s="56"/>
      <c r="AF102" s="151"/>
      <c r="AG102" s="56"/>
      <c r="AH102" s="125"/>
      <c r="AI102" s="125"/>
      <c r="AJ102" s="136"/>
      <c r="AK102" s="125"/>
      <c r="AL102" s="127"/>
      <c r="AM102" s="125"/>
      <c r="AN102" s="125"/>
      <c r="AO102" s="128"/>
      <c r="AP102" s="125"/>
      <c r="AQ102" s="125"/>
      <c r="AR102" s="128"/>
      <c r="AS102" s="128"/>
      <c r="AT102" s="125"/>
      <c r="AU102" s="125"/>
      <c r="AV102" s="128"/>
      <c r="AW102" s="56"/>
    </row>
    <row r="103" spans="1:49" s="3" customFormat="1" hidden="1" x14ac:dyDescent="0.25">
      <c r="A103" s="1013"/>
      <c r="B103" s="74" t="s">
        <v>1178</v>
      </c>
      <c r="C103" s="223">
        <f>C93</f>
        <v>38.717865870069311</v>
      </c>
      <c r="D103" s="220"/>
      <c r="E103" s="68" t="s">
        <v>1439</v>
      </c>
      <c r="F103" s="69" t="s">
        <v>1438</v>
      </c>
      <c r="G103" s="70">
        <v>0.27</v>
      </c>
      <c r="H103" s="69">
        <v>0.01</v>
      </c>
      <c r="I103" s="242">
        <f t="shared" si="7"/>
        <v>2.7000000000000001E-3</v>
      </c>
      <c r="J103" s="59" t="s">
        <v>1445</v>
      </c>
      <c r="K103" s="61">
        <v>2</v>
      </c>
      <c r="L103" s="61">
        <v>84</v>
      </c>
      <c r="M103" s="61">
        <v>2</v>
      </c>
      <c r="N103" s="61">
        <v>8.9999999999999993E-3</v>
      </c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1"/>
      <c r="AB103" s="1"/>
      <c r="AC103" s="245"/>
      <c r="AD103" s="56"/>
      <c r="AF103" s="151"/>
      <c r="AG103" s="56"/>
      <c r="AH103" s="125"/>
      <c r="AI103" s="125"/>
      <c r="AJ103" s="136"/>
      <c r="AK103" s="125"/>
      <c r="AL103" s="127"/>
      <c r="AM103" s="145"/>
      <c r="AN103" s="125"/>
      <c r="AO103" s="128"/>
      <c r="AP103" s="125"/>
      <c r="AQ103" s="125"/>
      <c r="AR103" s="128"/>
      <c r="AS103" s="128"/>
      <c r="AT103" s="125"/>
      <c r="AU103" s="125"/>
      <c r="AV103" s="128"/>
      <c r="AW103" s="56"/>
    </row>
    <row r="104" spans="1:49" s="3" customFormat="1" ht="12.75" hidden="1" customHeight="1" x14ac:dyDescent="0.25">
      <c r="A104" s="1013"/>
      <c r="B104" s="57" t="s">
        <v>1179</v>
      </c>
      <c r="C104" s="222">
        <f>C94</f>
        <v>22.420123808013045</v>
      </c>
      <c r="D104" s="220"/>
      <c r="E104" s="68" t="s">
        <v>1598</v>
      </c>
      <c r="F104" s="69" t="s">
        <v>1441</v>
      </c>
      <c r="G104" s="70">
        <v>4.4000000000000004</v>
      </c>
      <c r="H104" s="70">
        <v>1</v>
      </c>
      <c r="I104" s="71">
        <f t="shared" si="7"/>
        <v>4.4000000000000004</v>
      </c>
      <c r="J104" s="59" t="s">
        <v>1513</v>
      </c>
      <c r="K104" s="61">
        <v>2</v>
      </c>
      <c r="L104" s="61">
        <v>25</v>
      </c>
      <c r="M104" s="61">
        <v>0.5</v>
      </c>
      <c r="N104" s="61">
        <v>2.5000000000000001E-2</v>
      </c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1"/>
      <c r="AB104" s="1"/>
      <c r="AC104" s="245"/>
      <c r="AD104" s="56"/>
      <c r="AF104" s="151"/>
      <c r="AG104" s="56"/>
      <c r="AH104" s="125"/>
      <c r="AI104" s="125"/>
      <c r="AJ104" s="136"/>
      <c r="AK104" s="125"/>
      <c r="AL104" s="127"/>
      <c r="AM104" s="125"/>
      <c r="AN104" s="125"/>
      <c r="AO104" s="128"/>
      <c r="AP104" s="125"/>
      <c r="AQ104" s="125"/>
      <c r="AR104" s="128"/>
      <c r="AS104" s="128"/>
      <c r="AT104" s="125"/>
      <c r="AU104" s="125"/>
      <c r="AV104" s="128"/>
      <c r="AW104" s="56"/>
    </row>
    <row r="105" spans="1:49" s="3" customFormat="1" ht="12.75" hidden="1" customHeight="1" x14ac:dyDescent="0.25">
      <c r="A105" s="1013"/>
      <c r="B105" s="57" t="s">
        <v>831</v>
      </c>
      <c r="C105" s="224"/>
      <c r="D105" s="220"/>
      <c r="E105" s="68" t="s">
        <v>1599</v>
      </c>
      <c r="F105" s="69" t="s">
        <v>1441</v>
      </c>
      <c r="G105" s="70">
        <v>77.28</v>
      </c>
      <c r="H105" s="69">
        <v>1</v>
      </c>
      <c r="I105" s="71">
        <f t="shared" si="7"/>
        <v>77.28</v>
      </c>
      <c r="J105" s="59"/>
      <c r="K105" s="61"/>
      <c r="L105" s="61"/>
      <c r="M105" s="61"/>
      <c r="N105" s="61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1"/>
      <c r="AB105" s="1"/>
      <c r="AC105" s="245"/>
      <c r="AD105" s="56"/>
      <c r="AF105" s="151"/>
      <c r="AG105" s="56"/>
      <c r="AH105" s="125"/>
      <c r="AI105" s="125"/>
      <c r="AJ105" s="136"/>
      <c r="AK105" s="125"/>
      <c r="AL105" s="127"/>
      <c r="AM105" s="125"/>
      <c r="AN105" s="125"/>
      <c r="AO105" s="128"/>
      <c r="AP105" s="125"/>
      <c r="AQ105" s="125"/>
      <c r="AR105" s="128"/>
      <c r="AS105" s="128"/>
      <c r="AT105" s="125"/>
      <c r="AU105" s="125"/>
      <c r="AV105" s="128"/>
      <c r="AW105" s="56"/>
    </row>
    <row r="106" spans="1:49" s="3" customFormat="1" ht="12.75" hidden="1" customHeight="1" x14ac:dyDescent="0.25">
      <c r="A106" s="1013"/>
      <c r="B106" s="74" t="s">
        <v>1178</v>
      </c>
      <c r="C106" s="225">
        <v>1</v>
      </c>
      <c r="D106" s="220"/>
      <c r="E106" s="68" t="s">
        <v>1442</v>
      </c>
      <c r="F106" s="69" t="s">
        <v>1443</v>
      </c>
      <c r="G106" s="70">
        <v>419.5</v>
      </c>
      <c r="H106" s="69">
        <v>1E-3</v>
      </c>
      <c r="I106" s="71">
        <f t="shared" si="7"/>
        <v>0.41949999999999998</v>
      </c>
      <c r="J106" s="59"/>
      <c r="K106" s="61"/>
      <c r="L106" s="61"/>
      <c r="M106" s="61"/>
      <c r="N106" s="61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1"/>
      <c r="AB106" s="1"/>
      <c r="AC106" s="245"/>
      <c r="AD106" s="56"/>
      <c r="AF106" s="151"/>
      <c r="AG106" s="56"/>
      <c r="AH106" s="125"/>
      <c r="AI106" s="125"/>
      <c r="AJ106" s="146"/>
      <c r="AK106" s="125"/>
      <c r="AL106" s="127"/>
      <c r="AM106" s="125"/>
      <c r="AN106" s="125"/>
      <c r="AO106" s="128"/>
      <c r="AP106" s="125"/>
      <c r="AQ106" s="125"/>
      <c r="AR106" s="128"/>
      <c r="AS106" s="128"/>
      <c r="AT106" s="125"/>
      <c r="AU106" s="125"/>
      <c r="AV106" s="128"/>
      <c r="AW106" s="56"/>
    </row>
    <row r="107" spans="1:49" s="3" customFormat="1" ht="12.75" hidden="1" customHeight="1" x14ac:dyDescent="0.25">
      <c r="A107" s="1013"/>
      <c r="B107" s="57" t="s">
        <v>1179</v>
      </c>
      <c r="C107" s="225">
        <v>1.5</v>
      </c>
      <c r="D107" s="220"/>
      <c r="E107" s="68" t="s">
        <v>1444</v>
      </c>
      <c r="F107" s="69" t="s">
        <v>1443</v>
      </c>
      <c r="G107" s="70">
        <v>872</v>
      </c>
      <c r="H107" s="69">
        <v>2E-3</v>
      </c>
      <c r="I107" s="71">
        <f t="shared" si="7"/>
        <v>1.744</v>
      </c>
      <c r="J107" s="59"/>
      <c r="K107" s="61"/>
      <c r="L107" s="61"/>
      <c r="M107" s="61"/>
      <c r="N107" s="61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1"/>
      <c r="AB107" s="1"/>
      <c r="AC107" s="245"/>
      <c r="AD107" s="56"/>
      <c r="AF107" s="151"/>
      <c r="AG107" s="56"/>
      <c r="AH107" s="125"/>
      <c r="AI107" s="125"/>
      <c r="AJ107" s="146"/>
      <c r="AK107" s="125"/>
      <c r="AL107" s="127"/>
      <c r="AM107" s="125"/>
      <c r="AN107" s="125"/>
      <c r="AO107" s="128"/>
      <c r="AP107" s="125"/>
      <c r="AQ107" s="125"/>
      <c r="AR107" s="128"/>
      <c r="AS107" s="128"/>
      <c r="AT107" s="125"/>
      <c r="AU107" s="125"/>
      <c r="AV107" s="128"/>
      <c r="AW107" s="56"/>
    </row>
    <row r="108" spans="1:49" s="3" customFormat="1" ht="12.75" hidden="1" customHeight="1" x14ac:dyDescent="0.25">
      <c r="A108" s="1013"/>
      <c r="B108" s="79" t="s">
        <v>1181</v>
      </c>
      <c r="C108" s="222">
        <f>C103*C106+C104*C107</f>
        <v>72.348051582088885</v>
      </c>
      <c r="D108" s="220"/>
      <c r="E108" s="228"/>
      <c r="F108" s="166"/>
      <c r="G108" s="70"/>
      <c r="H108" s="69"/>
      <c r="I108" s="71"/>
      <c r="J108" s="59"/>
      <c r="K108" s="170"/>
      <c r="L108" s="76"/>
      <c r="M108" s="72"/>
      <c r="N108" s="61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1"/>
      <c r="AB108" s="1"/>
      <c r="AC108" s="245"/>
      <c r="AD108" s="56"/>
      <c r="AF108" s="151"/>
      <c r="AG108" s="56"/>
      <c r="AH108" s="125"/>
      <c r="AI108" s="125"/>
      <c r="AJ108" s="136"/>
      <c r="AK108" s="125"/>
      <c r="AL108" s="127"/>
      <c r="AM108" s="125"/>
      <c r="AN108" s="125"/>
      <c r="AO108" s="128"/>
      <c r="AP108" s="125"/>
      <c r="AQ108" s="125"/>
      <c r="AR108" s="128"/>
      <c r="AS108" s="128"/>
      <c r="AT108" s="125"/>
      <c r="AU108" s="125"/>
      <c r="AV108" s="128"/>
      <c r="AW108" s="56"/>
    </row>
    <row r="109" spans="1:49" s="3" customFormat="1" ht="13.5" hidden="1" customHeight="1" x14ac:dyDescent="0.25">
      <c r="A109" s="1014"/>
      <c r="B109" s="123"/>
      <c r="C109" s="225"/>
      <c r="D109" s="221"/>
      <c r="E109" s="228"/>
      <c r="F109" s="166"/>
      <c r="G109" s="70"/>
      <c r="H109" s="69"/>
      <c r="I109" s="71"/>
      <c r="J109" s="59"/>
      <c r="K109" s="170"/>
      <c r="L109" s="61"/>
      <c r="M109" s="72"/>
      <c r="N109" s="61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1"/>
      <c r="AB109" s="1"/>
      <c r="AC109" s="245"/>
      <c r="AD109" s="56"/>
      <c r="AF109" s="151"/>
      <c r="AG109" s="56"/>
      <c r="AH109" s="125"/>
      <c r="AI109" s="125"/>
      <c r="AJ109" s="146"/>
      <c r="AK109" s="125"/>
      <c r="AL109" s="127"/>
      <c r="AM109" s="125"/>
      <c r="AN109" s="125"/>
      <c r="AO109" s="128"/>
      <c r="AP109" s="125"/>
      <c r="AQ109" s="125"/>
      <c r="AR109" s="128"/>
      <c r="AS109" s="128"/>
      <c r="AT109" s="125"/>
      <c r="AU109" s="125"/>
      <c r="AV109" s="128"/>
      <c r="AW109" s="56"/>
    </row>
    <row r="110" spans="1:49" s="3" customFormat="1" ht="56.25" hidden="1" customHeight="1" x14ac:dyDescent="0.25">
      <c r="A110" s="1012" t="s">
        <v>1609</v>
      </c>
      <c r="B110" s="258" t="s">
        <v>718</v>
      </c>
      <c r="C110" s="222"/>
      <c r="D110" s="219"/>
      <c r="E110" s="226" t="s">
        <v>488</v>
      </c>
      <c r="F110" s="53" t="s">
        <v>837</v>
      </c>
      <c r="G110" s="51" t="s">
        <v>489</v>
      </c>
      <c r="H110" s="52" t="s">
        <v>1170</v>
      </c>
      <c r="I110" s="53" t="s">
        <v>838</v>
      </c>
      <c r="J110" s="47" t="s">
        <v>1171</v>
      </c>
      <c r="K110" s="47" t="s">
        <v>490</v>
      </c>
      <c r="L110" s="54" t="s">
        <v>489</v>
      </c>
      <c r="M110" s="47" t="s">
        <v>1172</v>
      </c>
      <c r="N110" s="53" t="s">
        <v>838</v>
      </c>
      <c r="O110" s="47" t="s">
        <v>1171</v>
      </c>
      <c r="P110" s="47" t="s">
        <v>826</v>
      </c>
      <c r="Q110" s="47" t="s">
        <v>1173</v>
      </c>
      <c r="R110" s="47" t="s">
        <v>1174</v>
      </c>
      <c r="S110" s="47" t="s">
        <v>839</v>
      </c>
      <c r="T110" s="47" t="s">
        <v>1171</v>
      </c>
      <c r="U110" s="47" t="s">
        <v>1392</v>
      </c>
      <c r="V110" s="47" t="s">
        <v>841</v>
      </c>
      <c r="W110" s="231" t="s">
        <v>1173</v>
      </c>
      <c r="X110" s="47" t="s">
        <v>1394</v>
      </c>
      <c r="Y110" s="47" t="s">
        <v>839</v>
      </c>
      <c r="Z110" s="55"/>
      <c r="AA110" s="1"/>
      <c r="AB110" s="1"/>
      <c r="AC110" s="245"/>
      <c r="AD110" s="56"/>
      <c r="AF110" s="81"/>
      <c r="AG110" s="56"/>
      <c r="AH110" s="125"/>
      <c r="AI110" s="125"/>
      <c r="AJ110" s="125"/>
      <c r="AK110" s="125"/>
      <c r="AL110" s="127"/>
      <c r="AM110" s="125"/>
      <c r="AN110" s="125"/>
      <c r="AO110" s="128"/>
      <c r="AP110" s="125"/>
      <c r="AQ110" s="139"/>
      <c r="AR110" s="139"/>
      <c r="AS110" s="139"/>
      <c r="AT110" s="125"/>
      <c r="AU110" s="125"/>
      <c r="AV110" s="128"/>
      <c r="AW110" s="56"/>
    </row>
    <row r="111" spans="1:49" s="3" customFormat="1" ht="12" hidden="1" customHeight="1" x14ac:dyDescent="0.25">
      <c r="A111" s="1013"/>
      <c r="B111" s="36" t="s">
        <v>1175</v>
      </c>
      <c r="C111" s="222">
        <f>C118</f>
        <v>72.348051582088885</v>
      </c>
      <c r="D111" s="219">
        <f>C111*$D$5</f>
        <v>14.614306419581956</v>
      </c>
      <c r="E111" s="227" t="s">
        <v>1176</v>
      </c>
      <c r="F111" s="165"/>
      <c r="G111" s="58"/>
      <c r="H111" s="58"/>
      <c r="I111" s="2">
        <f>SUM(I112:I119)</f>
        <v>83.8536</v>
      </c>
      <c r="J111" s="59" t="s">
        <v>1176</v>
      </c>
      <c r="K111" s="169"/>
      <c r="L111" s="60"/>
      <c r="M111" s="60"/>
      <c r="N111" s="61">
        <f>SUM(N112:N119)</f>
        <v>8.4000000000000005E-2</v>
      </c>
      <c r="O111" s="60" t="s">
        <v>1176</v>
      </c>
      <c r="P111" s="60"/>
      <c r="Q111" s="62"/>
      <c r="R111" s="63"/>
      <c r="S111" s="61">
        <f>SUM(S112:S119)</f>
        <v>9.7215000000000007</v>
      </c>
      <c r="T111" s="61"/>
      <c r="U111" s="61"/>
      <c r="V111" s="61"/>
      <c r="W111" s="61"/>
      <c r="X111" s="61"/>
      <c r="Y111" s="61">
        <f>SUM(Y112:Y119)</f>
        <v>9.1999999999999998E-3</v>
      </c>
      <c r="Z111" s="64">
        <f>(C111+D111+I111+N111+S111+Y111)*$Z$5</f>
        <v>234.85375847519541</v>
      </c>
      <c r="AA111" s="65">
        <f>C111+D111+I111+N111+S111+Y111+Z111</f>
        <v>415.48441647686622</v>
      </c>
      <c r="AB111" s="66">
        <v>0.25</v>
      </c>
      <c r="AC111" s="244">
        <f>AA111*(1+AB111)</f>
        <v>519.35552059608278</v>
      </c>
      <c r="AD111" s="67"/>
      <c r="AF111" s="81"/>
      <c r="AG111" s="56"/>
      <c r="AH111" s="125"/>
      <c r="AI111" s="139"/>
      <c r="AJ111" s="140"/>
      <c r="AK111" s="141"/>
      <c r="AL111" s="127"/>
      <c r="AM111" s="142"/>
      <c r="AN111" s="143"/>
      <c r="AO111" s="142"/>
      <c r="AP111" s="139"/>
      <c r="AQ111" s="139"/>
      <c r="AR111" s="139"/>
      <c r="AS111" s="139"/>
      <c r="AT111" s="139"/>
      <c r="AU111" s="142"/>
      <c r="AV111" s="142"/>
      <c r="AW111" s="144"/>
    </row>
    <row r="112" spans="1:49" s="3" customFormat="1" ht="12.75" hidden="1" customHeight="1" x14ac:dyDescent="0.25">
      <c r="A112" s="1013"/>
      <c r="B112" s="50" t="s">
        <v>830</v>
      </c>
      <c r="C112" s="222"/>
      <c r="D112" s="220"/>
      <c r="E112" s="68" t="s">
        <v>1437</v>
      </c>
      <c r="F112" s="69" t="s">
        <v>1438</v>
      </c>
      <c r="G112" s="70">
        <v>0.74</v>
      </c>
      <c r="H112" s="69">
        <v>0.01</v>
      </c>
      <c r="I112" s="71">
        <f t="shared" ref="I112:I117" si="8">G112*H112</f>
        <v>7.4000000000000003E-3</v>
      </c>
      <c r="J112" s="59" t="s">
        <v>1291</v>
      </c>
      <c r="K112" s="61">
        <v>2</v>
      </c>
      <c r="L112" s="61">
        <v>640</v>
      </c>
      <c r="M112" s="61">
        <v>2</v>
      </c>
      <c r="N112" s="61">
        <v>0.05</v>
      </c>
      <c r="O112" s="60" t="s">
        <v>1239</v>
      </c>
      <c r="P112" s="60">
        <v>61189.5</v>
      </c>
      <c r="Q112" s="60">
        <v>19.670000000000002</v>
      </c>
      <c r="R112" s="60">
        <v>6513.87</v>
      </c>
      <c r="S112" s="60">
        <v>9.7215000000000007</v>
      </c>
      <c r="T112" s="239" t="s">
        <v>1435</v>
      </c>
      <c r="U112" s="240">
        <v>6785401.3499999996</v>
      </c>
      <c r="V112" s="241">
        <v>1.32E-2</v>
      </c>
      <c r="W112" s="239">
        <v>1508.3</v>
      </c>
      <c r="X112" s="61">
        <v>59.38</v>
      </c>
      <c r="Y112" s="60">
        <v>9.1999999999999998E-3</v>
      </c>
      <c r="Z112" s="60"/>
      <c r="AA112" s="1"/>
      <c r="AB112" s="1"/>
      <c r="AC112" s="245"/>
      <c r="AD112" s="56"/>
      <c r="AF112" s="151"/>
      <c r="AG112" s="56"/>
      <c r="AH112" s="125"/>
      <c r="AI112" s="125"/>
      <c r="AJ112" s="136"/>
      <c r="AK112" s="125"/>
      <c r="AL112" s="127"/>
      <c r="AM112" s="125"/>
      <c r="AN112" s="125"/>
      <c r="AO112" s="128"/>
      <c r="AP112" s="125"/>
      <c r="AQ112" s="125"/>
      <c r="AR112" s="128"/>
      <c r="AS112" s="128"/>
      <c r="AT112" s="125"/>
      <c r="AU112" s="125"/>
      <c r="AV112" s="128"/>
      <c r="AW112" s="56"/>
    </row>
    <row r="113" spans="1:49" s="3" customFormat="1" hidden="1" x14ac:dyDescent="0.25">
      <c r="A113" s="1013"/>
      <c r="B113" s="74" t="s">
        <v>1178</v>
      </c>
      <c r="C113" s="223">
        <f>C103</f>
        <v>38.717865870069311</v>
      </c>
      <c r="D113" s="220"/>
      <c r="E113" s="68" t="s">
        <v>1439</v>
      </c>
      <c r="F113" s="69" t="s">
        <v>1438</v>
      </c>
      <c r="G113" s="70">
        <v>0.27</v>
      </c>
      <c r="H113" s="69">
        <v>0.01</v>
      </c>
      <c r="I113" s="242">
        <f t="shared" si="8"/>
        <v>2.7000000000000001E-3</v>
      </c>
      <c r="J113" s="59" t="s">
        <v>1445</v>
      </c>
      <c r="K113" s="61">
        <v>2</v>
      </c>
      <c r="L113" s="61">
        <v>84</v>
      </c>
      <c r="M113" s="61">
        <v>2</v>
      </c>
      <c r="N113" s="61">
        <v>8.9999999999999993E-3</v>
      </c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1"/>
      <c r="AB113" s="1"/>
      <c r="AC113" s="245"/>
      <c r="AD113" s="56"/>
      <c r="AF113" s="151"/>
      <c r="AG113" s="56"/>
      <c r="AH113" s="125"/>
      <c r="AI113" s="125"/>
      <c r="AJ113" s="136"/>
      <c r="AK113" s="125"/>
      <c r="AL113" s="127"/>
      <c r="AM113" s="145"/>
      <c r="AN113" s="125"/>
      <c r="AO113" s="128"/>
      <c r="AP113" s="125"/>
      <c r="AQ113" s="125"/>
      <c r="AR113" s="128"/>
      <c r="AS113" s="128"/>
      <c r="AT113" s="125"/>
      <c r="AU113" s="125"/>
      <c r="AV113" s="128"/>
      <c r="AW113" s="56"/>
    </row>
    <row r="114" spans="1:49" s="3" customFormat="1" ht="12.75" hidden="1" customHeight="1" x14ac:dyDescent="0.25">
      <c r="A114" s="1013"/>
      <c r="B114" s="57" t="s">
        <v>1179</v>
      </c>
      <c r="C114" s="222">
        <f>C104</f>
        <v>22.420123808013045</v>
      </c>
      <c r="D114" s="220"/>
      <c r="E114" s="68" t="s">
        <v>1598</v>
      </c>
      <c r="F114" s="69" t="s">
        <v>1441</v>
      </c>
      <c r="G114" s="70">
        <v>4.4000000000000004</v>
      </c>
      <c r="H114" s="70">
        <v>1</v>
      </c>
      <c r="I114" s="71">
        <f t="shared" si="8"/>
        <v>4.4000000000000004</v>
      </c>
      <c r="J114" s="59" t="s">
        <v>1513</v>
      </c>
      <c r="K114" s="61">
        <v>2</v>
      </c>
      <c r="L114" s="61">
        <v>25</v>
      </c>
      <c r="M114" s="61">
        <v>0.5</v>
      </c>
      <c r="N114" s="61">
        <v>2.5000000000000001E-2</v>
      </c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1"/>
      <c r="AB114" s="1"/>
      <c r="AC114" s="245"/>
      <c r="AD114" s="56"/>
      <c r="AF114" s="151"/>
      <c r="AG114" s="56"/>
      <c r="AH114" s="125"/>
      <c r="AI114" s="125"/>
      <c r="AJ114" s="136"/>
      <c r="AK114" s="125"/>
      <c r="AL114" s="127"/>
      <c r="AM114" s="125"/>
      <c r="AN114" s="125"/>
      <c r="AO114" s="128"/>
      <c r="AP114" s="125"/>
      <c r="AQ114" s="125"/>
      <c r="AR114" s="128"/>
      <c r="AS114" s="128"/>
      <c r="AT114" s="125"/>
      <c r="AU114" s="125"/>
      <c r="AV114" s="128"/>
      <c r="AW114" s="56"/>
    </row>
    <row r="115" spans="1:49" s="3" customFormat="1" ht="12.75" hidden="1" customHeight="1" x14ac:dyDescent="0.25">
      <c r="A115" s="1013"/>
      <c r="B115" s="57" t="s">
        <v>831</v>
      </c>
      <c r="C115" s="224"/>
      <c r="D115" s="220"/>
      <c r="E115" s="68" t="s">
        <v>1599</v>
      </c>
      <c r="F115" s="69" t="s">
        <v>1441</v>
      </c>
      <c r="G115" s="70">
        <v>77.28</v>
      </c>
      <c r="H115" s="69">
        <v>1</v>
      </c>
      <c r="I115" s="71">
        <f t="shared" si="8"/>
        <v>77.28</v>
      </c>
      <c r="J115" s="59"/>
      <c r="K115" s="61"/>
      <c r="L115" s="61"/>
      <c r="M115" s="61"/>
      <c r="N115" s="61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1"/>
      <c r="AB115" s="1"/>
      <c r="AC115" s="245"/>
      <c r="AD115" s="56"/>
      <c r="AF115" s="151"/>
      <c r="AG115" s="56"/>
      <c r="AH115" s="125"/>
      <c r="AI115" s="125"/>
      <c r="AJ115" s="136"/>
      <c r="AK115" s="125"/>
      <c r="AL115" s="127"/>
      <c r="AM115" s="125"/>
      <c r="AN115" s="125"/>
      <c r="AO115" s="128"/>
      <c r="AP115" s="125"/>
      <c r="AQ115" s="125"/>
      <c r="AR115" s="128"/>
      <c r="AS115" s="128"/>
      <c r="AT115" s="125"/>
      <c r="AU115" s="125"/>
      <c r="AV115" s="128"/>
      <c r="AW115" s="56"/>
    </row>
    <row r="116" spans="1:49" s="3" customFormat="1" ht="12.75" hidden="1" customHeight="1" x14ac:dyDescent="0.25">
      <c r="A116" s="1013"/>
      <c r="B116" s="74" t="s">
        <v>1178</v>
      </c>
      <c r="C116" s="225">
        <v>1</v>
      </c>
      <c r="D116" s="220"/>
      <c r="E116" s="68" t="s">
        <v>1442</v>
      </c>
      <c r="F116" s="69" t="s">
        <v>1443</v>
      </c>
      <c r="G116" s="70">
        <v>419.5</v>
      </c>
      <c r="H116" s="69">
        <v>1E-3</v>
      </c>
      <c r="I116" s="71">
        <f t="shared" si="8"/>
        <v>0.41949999999999998</v>
      </c>
      <c r="J116" s="59"/>
      <c r="K116" s="61"/>
      <c r="L116" s="61"/>
      <c r="M116" s="61"/>
      <c r="N116" s="61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1"/>
      <c r="AB116" s="1"/>
      <c r="AC116" s="245"/>
      <c r="AD116" s="56"/>
      <c r="AF116" s="151"/>
      <c r="AG116" s="56"/>
      <c r="AH116" s="125"/>
      <c r="AI116" s="125"/>
      <c r="AJ116" s="146"/>
      <c r="AK116" s="125"/>
      <c r="AL116" s="127"/>
      <c r="AM116" s="125"/>
      <c r="AN116" s="125"/>
      <c r="AO116" s="128"/>
      <c r="AP116" s="125"/>
      <c r="AQ116" s="125"/>
      <c r="AR116" s="128"/>
      <c r="AS116" s="128"/>
      <c r="AT116" s="125"/>
      <c r="AU116" s="125"/>
      <c r="AV116" s="128"/>
      <c r="AW116" s="56"/>
    </row>
    <row r="117" spans="1:49" s="3" customFormat="1" ht="12.75" hidden="1" customHeight="1" x14ac:dyDescent="0.25">
      <c r="A117" s="1013"/>
      <c r="B117" s="57" t="s">
        <v>1179</v>
      </c>
      <c r="C117" s="225">
        <v>1.5</v>
      </c>
      <c r="D117" s="220"/>
      <c r="E117" s="68" t="s">
        <v>1444</v>
      </c>
      <c r="F117" s="69" t="s">
        <v>1443</v>
      </c>
      <c r="G117" s="70">
        <v>872</v>
      </c>
      <c r="H117" s="69">
        <v>2E-3</v>
      </c>
      <c r="I117" s="71">
        <f t="shared" si="8"/>
        <v>1.744</v>
      </c>
      <c r="J117" s="59"/>
      <c r="K117" s="61"/>
      <c r="L117" s="61"/>
      <c r="M117" s="61"/>
      <c r="N117" s="61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1"/>
      <c r="AB117" s="1"/>
      <c r="AC117" s="245"/>
      <c r="AD117" s="56"/>
      <c r="AF117" s="151"/>
      <c r="AG117" s="56"/>
      <c r="AH117" s="125"/>
      <c r="AI117" s="125"/>
      <c r="AJ117" s="146"/>
      <c r="AK117" s="125"/>
      <c r="AL117" s="127"/>
      <c r="AM117" s="125"/>
      <c r="AN117" s="125"/>
      <c r="AO117" s="128"/>
      <c r="AP117" s="125"/>
      <c r="AQ117" s="125"/>
      <c r="AR117" s="128"/>
      <c r="AS117" s="128"/>
      <c r="AT117" s="125"/>
      <c r="AU117" s="125"/>
      <c r="AV117" s="128"/>
      <c r="AW117" s="56"/>
    </row>
    <row r="118" spans="1:49" s="3" customFormat="1" ht="12.75" hidden="1" customHeight="1" x14ac:dyDescent="0.25">
      <c r="A118" s="1013"/>
      <c r="B118" s="79" t="s">
        <v>1181</v>
      </c>
      <c r="C118" s="222">
        <f>C113*C116+C114*C117</f>
        <v>72.348051582088885</v>
      </c>
      <c r="D118" s="220"/>
      <c r="E118" s="228"/>
      <c r="F118" s="166"/>
      <c r="G118" s="70"/>
      <c r="H118" s="69"/>
      <c r="I118" s="71"/>
      <c r="J118" s="59"/>
      <c r="K118" s="170"/>
      <c r="L118" s="76"/>
      <c r="M118" s="72"/>
      <c r="N118" s="61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1"/>
      <c r="AB118" s="1"/>
      <c r="AC118" s="245"/>
      <c r="AD118" s="56"/>
      <c r="AF118" s="151"/>
      <c r="AG118" s="56"/>
      <c r="AH118" s="125"/>
      <c r="AI118" s="125"/>
      <c r="AJ118" s="136"/>
      <c r="AK118" s="125"/>
      <c r="AL118" s="127"/>
      <c r="AM118" s="125"/>
      <c r="AN118" s="125"/>
      <c r="AO118" s="128"/>
      <c r="AP118" s="125"/>
      <c r="AQ118" s="125"/>
      <c r="AR118" s="128"/>
      <c r="AS118" s="128"/>
      <c r="AT118" s="125"/>
      <c r="AU118" s="125"/>
      <c r="AV118" s="128"/>
      <c r="AW118" s="56"/>
    </row>
    <row r="119" spans="1:49" s="3" customFormat="1" ht="13.5" hidden="1" customHeight="1" x14ac:dyDescent="0.25">
      <c r="A119" s="1014"/>
      <c r="B119" s="123"/>
      <c r="C119" s="225"/>
      <c r="D119" s="221"/>
      <c r="E119" s="228"/>
      <c r="F119" s="166"/>
      <c r="G119" s="70"/>
      <c r="H119" s="69"/>
      <c r="I119" s="71"/>
      <c r="J119" s="59"/>
      <c r="K119" s="170"/>
      <c r="L119" s="61"/>
      <c r="M119" s="72"/>
      <c r="N119" s="61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1"/>
      <c r="AB119" s="1"/>
      <c r="AC119" s="245"/>
      <c r="AD119" s="56"/>
      <c r="AF119" s="151"/>
      <c r="AG119" s="56"/>
      <c r="AH119" s="125"/>
      <c r="AI119" s="125"/>
      <c r="AJ119" s="146"/>
      <c r="AK119" s="125"/>
      <c r="AL119" s="127"/>
      <c r="AM119" s="125"/>
      <c r="AN119" s="125"/>
      <c r="AO119" s="128"/>
      <c r="AP119" s="125"/>
      <c r="AQ119" s="125"/>
      <c r="AR119" s="128"/>
      <c r="AS119" s="128"/>
      <c r="AT119" s="125"/>
      <c r="AU119" s="125"/>
      <c r="AV119" s="128"/>
      <c r="AW119" s="56"/>
    </row>
    <row r="120" spans="1:49" s="3" customFormat="1" ht="56.25" hidden="1" customHeight="1" x14ac:dyDescent="0.25">
      <c r="A120" s="1012" t="s">
        <v>1610</v>
      </c>
      <c r="B120" s="258" t="s">
        <v>719</v>
      </c>
      <c r="C120" s="222"/>
      <c r="D120" s="219"/>
      <c r="E120" s="226" t="s">
        <v>488</v>
      </c>
      <c r="F120" s="53" t="s">
        <v>837</v>
      </c>
      <c r="G120" s="51" t="s">
        <v>489</v>
      </c>
      <c r="H120" s="52" t="s">
        <v>1170</v>
      </c>
      <c r="I120" s="53" t="s">
        <v>838</v>
      </c>
      <c r="J120" s="47" t="s">
        <v>1171</v>
      </c>
      <c r="K120" s="47" t="s">
        <v>490</v>
      </c>
      <c r="L120" s="54" t="s">
        <v>489</v>
      </c>
      <c r="M120" s="47" t="s">
        <v>1172</v>
      </c>
      <c r="N120" s="53" t="s">
        <v>838</v>
      </c>
      <c r="O120" s="47" t="s">
        <v>1171</v>
      </c>
      <c r="P120" s="47" t="s">
        <v>826</v>
      </c>
      <c r="Q120" s="47" t="s">
        <v>1173</v>
      </c>
      <c r="R120" s="47" t="s">
        <v>1174</v>
      </c>
      <c r="S120" s="47" t="s">
        <v>839</v>
      </c>
      <c r="T120" s="47" t="s">
        <v>1171</v>
      </c>
      <c r="U120" s="47" t="s">
        <v>1392</v>
      </c>
      <c r="V120" s="47" t="s">
        <v>841</v>
      </c>
      <c r="W120" s="231" t="s">
        <v>1173</v>
      </c>
      <c r="X120" s="47" t="s">
        <v>1394</v>
      </c>
      <c r="Y120" s="47" t="s">
        <v>839</v>
      </c>
      <c r="Z120" s="55"/>
      <c r="AA120" s="1"/>
      <c r="AB120" s="1"/>
      <c r="AC120" s="245"/>
      <c r="AD120" s="56"/>
      <c r="AF120" s="81"/>
      <c r="AG120" s="56"/>
      <c r="AH120" s="125"/>
      <c r="AI120" s="125"/>
      <c r="AJ120" s="125"/>
      <c r="AK120" s="125"/>
      <c r="AL120" s="127"/>
      <c r="AM120" s="125"/>
      <c r="AN120" s="125"/>
      <c r="AO120" s="128"/>
      <c r="AP120" s="125"/>
      <c r="AQ120" s="139"/>
      <c r="AR120" s="139"/>
      <c r="AS120" s="139"/>
      <c r="AT120" s="125"/>
      <c r="AU120" s="125"/>
      <c r="AV120" s="128"/>
      <c r="AW120" s="56"/>
    </row>
    <row r="121" spans="1:49" s="3" customFormat="1" ht="12" hidden="1" customHeight="1" x14ac:dyDescent="0.25">
      <c r="A121" s="1013"/>
      <c r="B121" s="36" t="s">
        <v>1175</v>
      </c>
      <c r="C121" s="222">
        <f>C128</f>
        <v>94.768175390101931</v>
      </c>
      <c r="D121" s="219">
        <f>C121*$D$5</f>
        <v>19.143171428800592</v>
      </c>
      <c r="E121" s="227" t="s">
        <v>1176</v>
      </c>
      <c r="F121" s="165"/>
      <c r="G121" s="58"/>
      <c r="H121" s="58"/>
      <c r="I121" s="2">
        <f>SUM(I122:I129)</f>
        <v>83.8536</v>
      </c>
      <c r="J121" s="59" t="s">
        <v>1176</v>
      </c>
      <c r="K121" s="169"/>
      <c r="L121" s="60"/>
      <c r="M121" s="60"/>
      <c r="N121" s="61">
        <f>SUM(N122:N129)</f>
        <v>8.4000000000000005E-2</v>
      </c>
      <c r="O121" s="60" t="s">
        <v>1176</v>
      </c>
      <c r="P121" s="60"/>
      <c r="Q121" s="62"/>
      <c r="R121" s="63"/>
      <c r="S121" s="61">
        <f>SUM(S122:S129)</f>
        <v>9.7215000000000007</v>
      </c>
      <c r="T121" s="61"/>
      <c r="U121" s="61"/>
      <c r="V121" s="61"/>
      <c r="W121" s="61"/>
      <c r="X121" s="61"/>
      <c r="Y121" s="61">
        <f>SUM(Y122:Y129)</f>
        <v>9.1999999999999998E-3</v>
      </c>
      <c r="Z121" s="64">
        <f>(C121+D121+I121+N121+S121+Y121)*$Z$5</f>
        <v>269.89250206862425</v>
      </c>
      <c r="AA121" s="65">
        <f>C121+D121+I121+N121+S121+Y121+Z121</f>
        <v>477.47214888752677</v>
      </c>
      <c r="AB121" s="66">
        <v>0.25</v>
      </c>
      <c r="AC121" s="244">
        <f>AA121*(1+AB121)</f>
        <v>596.84018610940848</v>
      </c>
      <c r="AD121" s="67"/>
      <c r="AF121" s="81"/>
      <c r="AG121" s="56"/>
      <c r="AH121" s="125"/>
      <c r="AI121" s="139"/>
      <c r="AJ121" s="140"/>
      <c r="AK121" s="141"/>
      <c r="AL121" s="127"/>
      <c r="AM121" s="142"/>
      <c r="AN121" s="143"/>
      <c r="AO121" s="142"/>
      <c r="AP121" s="139"/>
      <c r="AQ121" s="139"/>
      <c r="AR121" s="139"/>
      <c r="AS121" s="139"/>
      <c r="AT121" s="139"/>
      <c r="AU121" s="142"/>
      <c r="AV121" s="142"/>
      <c r="AW121" s="144"/>
    </row>
    <row r="122" spans="1:49" s="3" customFormat="1" ht="12.75" hidden="1" customHeight="1" x14ac:dyDescent="0.25">
      <c r="A122" s="1013"/>
      <c r="B122" s="50" t="s">
        <v>830</v>
      </c>
      <c r="C122" s="222"/>
      <c r="D122" s="220"/>
      <c r="E122" s="68" t="s">
        <v>1437</v>
      </c>
      <c r="F122" s="69" t="s">
        <v>1438</v>
      </c>
      <c r="G122" s="70">
        <v>0.74</v>
      </c>
      <c r="H122" s="69">
        <v>0.01</v>
      </c>
      <c r="I122" s="71">
        <f t="shared" ref="I122:I127" si="9">G122*H122</f>
        <v>7.4000000000000003E-3</v>
      </c>
      <c r="J122" s="59" t="s">
        <v>1291</v>
      </c>
      <c r="K122" s="61">
        <v>2</v>
      </c>
      <c r="L122" s="61">
        <v>640</v>
      </c>
      <c r="M122" s="61">
        <v>2</v>
      </c>
      <c r="N122" s="61">
        <v>0.05</v>
      </c>
      <c r="O122" s="60" t="s">
        <v>1239</v>
      </c>
      <c r="P122" s="60">
        <v>61189.5</v>
      </c>
      <c r="Q122" s="60">
        <v>19.670000000000002</v>
      </c>
      <c r="R122" s="60">
        <v>6513.87</v>
      </c>
      <c r="S122" s="60">
        <v>9.7215000000000007</v>
      </c>
      <c r="T122" s="239" t="s">
        <v>1435</v>
      </c>
      <c r="U122" s="240">
        <v>6785401.3499999996</v>
      </c>
      <c r="V122" s="241">
        <v>1.32E-2</v>
      </c>
      <c r="W122" s="239">
        <v>1508.3</v>
      </c>
      <c r="X122" s="61">
        <v>59.38</v>
      </c>
      <c r="Y122" s="60">
        <v>9.1999999999999998E-3</v>
      </c>
      <c r="Z122" s="60"/>
      <c r="AA122" s="1"/>
      <c r="AB122" s="1"/>
      <c r="AC122" s="245"/>
      <c r="AD122" s="56"/>
      <c r="AF122" s="151"/>
      <c r="AG122" s="56"/>
      <c r="AH122" s="125"/>
      <c r="AI122" s="125"/>
      <c r="AJ122" s="136"/>
      <c r="AK122" s="125"/>
      <c r="AL122" s="127"/>
      <c r="AM122" s="125"/>
      <c r="AN122" s="125"/>
      <c r="AO122" s="128"/>
      <c r="AP122" s="125"/>
      <c r="AQ122" s="125"/>
      <c r="AR122" s="128"/>
      <c r="AS122" s="128"/>
      <c r="AT122" s="125"/>
      <c r="AU122" s="125"/>
      <c r="AV122" s="128"/>
      <c r="AW122" s="56"/>
    </row>
    <row r="123" spans="1:49" s="3" customFormat="1" hidden="1" x14ac:dyDescent="0.25">
      <c r="A123" s="1013"/>
      <c r="B123" s="74" t="s">
        <v>1178</v>
      </c>
      <c r="C123" s="223">
        <f>C113</f>
        <v>38.717865870069311</v>
      </c>
      <c r="D123" s="220"/>
      <c r="E123" s="68" t="s">
        <v>1439</v>
      </c>
      <c r="F123" s="69" t="s">
        <v>1438</v>
      </c>
      <c r="G123" s="70">
        <v>0.27</v>
      </c>
      <c r="H123" s="69">
        <v>0.01</v>
      </c>
      <c r="I123" s="242">
        <f t="shared" si="9"/>
        <v>2.7000000000000001E-3</v>
      </c>
      <c r="J123" s="59" t="s">
        <v>1445</v>
      </c>
      <c r="K123" s="61">
        <v>2</v>
      </c>
      <c r="L123" s="61">
        <v>84</v>
      </c>
      <c r="M123" s="61">
        <v>2</v>
      </c>
      <c r="N123" s="61">
        <v>8.9999999999999993E-3</v>
      </c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1"/>
      <c r="AB123" s="1"/>
      <c r="AC123" s="245"/>
      <c r="AD123" s="56"/>
      <c r="AF123" s="151"/>
      <c r="AG123" s="56"/>
      <c r="AH123" s="125"/>
      <c r="AI123" s="125"/>
      <c r="AJ123" s="136"/>
      <c r="AK123" s="125"/>
      <c r="AL123" s="127"/>
      <c r="AM123" s="145"/>
      <c r="AN123" s="125"/>
      <c r="AO123" s="128"/>
      <c r="AP123" s="125"/>
      <c r="AQ123" s="125"/>
      <c r="AR123" s="128"/>
      <c r="AS123" s="128"/>
      <c r="AT123" s="125"/>
      <c r="AU123" s="125"/>
      <c r="AV123" s="128"/>
      <c r="AW123" s="56"/>
    </row>
    <row r="124" spans="1:49" s="3" customFormat="1" ht="12.75" hidden="1" customHeight="1" x14ac:dyDescent="0.25">
      <c r="A124" s="1013"/>
      <c r="B124" s="57" t="s">
        <v>1179</v>
      </c>
      <c r="C124" s="222">
        <f>C114</f>
        <v>22.420123808013045</v>
      </c>
      <c r="D124" s="220"/>
      <c r="E124" s="68" t="s">
        <v>1598</v>
      </c>
      <c r="F124" s="69" t="s">
        <v>1441</v>
      </c>
      <c r="G124" s="70">
        <v>4.4000000000000004</v>
      </c>
      <c r="H124" s="70">
        <v>1</v>
      </c>
      <c r="I124" s="71">
        <f t="shared" si="9"/>
        <v>4.4000000000000004</v>
      </c>
      <c r="J124" s="59" t="s">
        <v>1513</v>
      </c>
      <c r="K124" s="61">
        <v>2</v>
      </c>
      <c r="L124" s="61">
        <v>25</v>
      </c>
      <c r="M124" s="61">
        <v>0.5</v>
      </c>
      <c r="N124" s="61">
        <v>2.5000000000000001E-2</v>
      </c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1"/>
      <c r="AB124" s="1"/>
      <c r="AC124" s="245"/>
      <c r="AD124" s="56"/>
      <c r="AF124" s="151"/>
      <c r="AG124" s="56"/>
      <c r="AH124" s="125"/>
      <c r="AI124" s="125"/>
      <c r="AJ124" s="136"/>
      <c r="AK124" s="125"/>
      <c r="AL124" s="127"/>
      <c r="AM124" s="125"/>
      <c r="AN124" s="125"/>
      <c r="AO124" s="128"/>
      <c r="AP124" s="125"/>
      <c r="AQ124" s="125"/>
      <c r="AR124" s="128"/>
      <c r="AS124" s="128"/>
      <c r="AT124" s="125"/>
      <c r="AU124" s="125"/>
      <c r="AV124" s="128"/>
      <c r="AW124" s="56"/>
    </row>
    <row r="125" spans="1:49" s="3" customFormat="1" ht="12.75" hidden="1" customHeight="1" x14ac:dyDescent="0.25">
      <c r="A125" s="1013"/>
      <c r="B125" s="57" t="s">
        <v>831</v>
      </c>
      <c r="C125" s="224"/>
      <c r="D125" s="220"/>
      <c r="E125" s="68" t="s">
        <v>1599</v>
      </c>
      <c r="F125" s="69" t="s">
        <v>1441</v>
      </c>
      <c r="G125" s="70">
        <v>77.28</v>
      </c>
      <c r="H125" s="69">
        <v>1</v>
      </c>
      <c r="I125" s="71">
        <f t="shared" si="9"/>
        <v>77.28</v>
      </c>
      <c r="J125" s="59"/>
      <c r="K125" s="61"/>
      <c r="L125" s="61"/>
      <c r="M125" s="61"/>
      <c r="N125" s="61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1"/>
      <c r="AB125" s="1"/>
      <c r="AC125" s="245"/>
      <c r="AD125" s="56"/>
      <c r="AF125" s="151"/>
      <c r="AG125" s="56"/>
      <c r="AH125" s="125"/>
      <c r="AI125" s="125"/>
      <c r="AJ125" s="136"/>
      <c r="AK125" s="125"/>
      <c r="AL125" s="127"/>
      <c r="AM125" s="125"/>
      <c r="AN125" s="125"/>
      <c r="AO125" s="128"/>
      <c r="AP125" s="125"/>
      <c r="AQ125" s="125"/>
      <c r="AR125" s="128"/>
      <c r="AS125" s="128"/>
      <c r="AT125" s="125"/>
      <c r="AU125" s="125"/>
      <c r="AV125" s="128"/>
      <c r="AW125" s="56"/>
    </row>
    <row r="126" spans="1:49" s="3" customFormat="1" ht="12.75" hidden="1" customHeight="1" x14ac:dyDescent="0.25">
      <c r="A126" s="1013"/>
      <c r="B126" s="74" t="s">
        <v>1178</v>
      </c>
      <c r="C126" s="225">
        <v>1</v>
      </c>
      <c r="D126" s="220"/>
      <c r="E126" s="68" t="s">
        <v>1442</v>
      </c>
      <c r="F126" s="69" t="s">
        <v>1443</v>
      </c>
      <c r="G126" s="70">
        <v>419.5</v>
      </c>
      <c r="H126" s="69">
        <v>1E-3</v>
      </c>
      <c r="I126" s="71">
        <f t="shared" si="9"/>
        <v>0.41949999999999998</v>
      </c>
      <c r="J126" s="59"/>
      <c r="K126" s="61"/>
      <c r="L126" s="61"/>
      <c r="M126" s="61"/>
      <c r="N126" s="61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1"/>
      <c r="AB126" s="1"/>
      <c r="AC126" s="245"/>
      <c r="AD126" s="56"/>
      <c r="AF126" s="151"/>
      <c r="AG126" s="56"/>
      <c r="AH126" s="125"/>
      <c r="AI126" s="125"/>
      <c r="AJ126" s="146"/>
      <c r="AK126" s="125"/>
      <c r="AL126" s="127"/>
      <c r="AM126" s="125"/>
      <c r="AN126" s="125"/>
      <c r="AO126" s="128"/>
      <c r="AP126" s="125"/>
      <c r="AQ126" s="125"/>
      <c r="AR126" s="128"/>
      <c r="AS126" s="128"/>
      <c r="AT126" s="125"/>
      <c r="AU126" s="125"/>
      <c r="AV126" s="128"/>
      <c r="AW126" s="56"/>
    </row>
    <row r="127" spans="1:49" s="3" customFormat="1" ht="12.75" hidden="1" customHeight="1" x14ac:dyDescent="0.25">
      <c r="A127" s="1013"/>
      <c r="B127" s="57" t="s">
        <v>1179</v>
      </c>
      <c r="C127" s="225">
        <v>2.5</v>
      </c>
      <c r="D127" s="220"/>
      <c r="E127" s="68" t="s">
        <v>1444</v>
      </c>
      <c r="F127" s="69" t="s">
        <v>1443</v>
      </c>
      <c r="G127" s="70">
        <v>872</v>
      </c>
      <c r="H127" s="69">
        <v>2E-3</v>
      </c>
      <c r="I127" s="71">
        <f t="shared" si="9"/>
        <v>1.744</v>
      </c>
      <c r="J127" s="59"/>
      <c r="K127" s="61"/>
      <c r="L127" s="61"/>
      <c r="M127" s="61"/>
      <c r="N127" s="61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1"/>
      <c r="AB127" s="1"/>
      <c r="AC127" s="245"/>
      <c r="AD127" s="56"/>
      <c r="AF127" s="151"/>
      <c r="AG127" s="56"/>
      <c r="AH127" s="125"/>
      <c r="AI127" s="125"/>
      <c r="AJ127" s="146"/>
      <c r="AK127" s="125"/>
      <c r="AL127" s="127"/>
      <c r="AM127" s="125"/>
      <c r="AN127" s="125"/>
      <c r="AO127" s="128"/>
      <c r="AP127" s="125"/>
      <c r="AQ127" s="125"/>
      <c r="AR127" s="128"/>
      <c r="AS127" s="128"/>
      <c r="AT127" s="125"/>
      <c r="AU127" s="125"/>
      <c r="AV127" s="128"/>
      <c r="AW127" s="56"/>
    </row>
    <row r="128" spans="1:49" s="3" customFormat="1" ht="12.75" hidden="1" customHeight="1" x14ac:dyDescent="0.25">
      <c r="A128" s="1013"/>
      <c r="B128" s="79" t="s">
        <v>1181</v>
      </c>
      <c r="C128" s="222">
        <f>C123*C126+C124*C127</f>
        <v>94.768175390101931</v>
      </c>
      <c r="D128" s="220"/>
      <c r="E128" s="228"/>
      <c r="F128" s="166"/>
      <c r="G128" s="70"/>
      <c r="H128" s="69"/>
      <c r="I128" s="71"/>
      <c r="J128" s="59"/>
      <c r="K128" s="170"/>
      <c r="L128" s="76"/>
      <c r="M128" s="72"/>
      <c r="N128" s="61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1"/>
      <c r="AB128" s="1"/>
      <c r="AC128" s="245"/>
      <c r="AD128" s="56"/>
      <c r="AF128" s="151"/>
      <c r="AG128" s="56"/>
      <c r="AH128" s="125"/>
      <c r="AI128" s="125"/>
      <c r="AJ128" s="136"/>
      <c r="AK128" s="125"/>
      <c r="AL128" s="127"/>
      <c r="AM128" s="125"/>
      <c r="AN128" s="125"/>
      <c r="AO128" s="128"/>
      <c r="AP128" s="125"/>
      <c r="AQ128" s="125"/>
      <c r="AR128" s="128"/>
      <c r="AS128" s="128"/>
      <c r="AT128" s="125"/>
      <c r="AU128" s="125"/>
      <c r="AV128" s="128"/>
      <c r="AW128" s="56"/>
    </row>
    <row r="129" spans="1:49" s="3" customFormat="1" ht="13.5" hidden="1" customHeight="1" x14ac:dyDescent="0.25">
      <c r="A129" s="1014"/>
      <c r="B129" s="123"/>
      <c r="C129" s="225"/>
      <c r="D129" s="221"/>
      <c r="E129" s="228"/>
      <c r="F129" s="166"/>
      <c r="G129" s="70"/>
      <c r="H129" s="69"/>
      <c r="I129" s="71"/>
      <c r="J129" s="59"/>
      <c r="K129" s="170"/>
      <c r="L129" s="61"/>
      <c r="M129" s="72"/>
      <c r="N129" s="61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1"/>
      <c r="AB129" s="1"/>
      <c r="AC129" s="245"/>
      <c r="AD129" s="56"/>
      <c r="AF129" s="151"/>
      <c r="AG129" s="56"/>
      <c r="AH129" s="125"/>
      <c r="AI129" s="125"/>
      <c r="AJ129" s="146"/>
      <c r="AK129" s="125"/>
      <c r="AL129" s="127"/>
      <c r="AM129" s="125"/>
      <c r="AN129" s="125"/>
      <c r="AO129" s="128"/>
      <c r="AP129" s="125"/>
      <c r="AQ129" s="125"/>
      <c r="AR129" s="128"/>
      <c r="AS129" s="128"/>
      <c r="AT129" s="125"/>
      <c r="AU129" s="125"/>
      <c r="AV129" s="128"/>
      <c r="AW129" s="56"/>
    </row>
    <row r="130" spans="1:49" s="3" customFormat="1" ht="56.25" hidden="1" customHeight="1" x14ac:dyDescent="0.25">
      <c r="A130" s="1012" t="s">
        <v>1611</v>
      </c>
      <c r="B130" s="258" t="s">
        <v>720</v>
      </c>
      <c r="C130" s="222"/>
      <c r="D130" s="219"/>
      <c r="E130" s="226" t="s">
        <v>488</v>
      </c>
      <c r="F130" s="53" t="s">
        <v>837</v>
      </c>
      <c r="G130" s="51" t="s">
        <v>489</v>
      </c>
      <c r="H130" s="52" t="s">
        <v>1170</v>
      </c>
      <c r="I130" s="53" t="s">
        <v>838</v>
      </c>
      <c r="J130" s="47" t="s">
        <v>1171</v>
      </c>
      <c r="K130" s="47" t="s">
        <v>490</v>
      </c>
      <c r="L130" s="54" t="s">
        <v>489</v>
      </c>
      <c r="M130" s="47" t="s">
        <v>1172</v>
      </c>
      <c r="N130" s="53" t="s">
        <v>838</v>
      </c>
      <c r="O130" s="47" t="s">
        <v>1171</v>
      </c>
      <c r="P130" s="47" t="s">
        <v>826</v>
      </c>
      <c r="Q130" s="47" t="s">
        <v>1173</v>
      </c>
      <c r="R130" s="47" t="s">
        <v>1174</v>
      </c>
      <c r="S130" s="47" t="s">
        <v>839</v>
      </c>
      <c r="T130" s="47" t="s">
        <v>1171</v>
      </c>
      <c r="U130" s="47" t="s">
        <v>1392</v>
      </c>
      <c r="V130" s="47" t="s">
        <v>841</v>
      </c>
      <c r="W130" s="231" t="s">
        <v>1173</v>
      </c>
      <c r="X130" s="47" t="s">
        <v>1394</v>
      </c>
      <c r="Y130" s="47" t="s">
        <v>839</v>
      </c>
      <c r="Z130" s="55"/>
      <c r="AA130" s="1"/>
      <c r="AB130" s="1"/>
      <c r="AC130" s="245"/>
      <c r="AD130" s="56"/>
      <c r="AF130" s="81"/>
      <c r="AG130" s="56"/>
      <c r="AH130" s="125"/>
      <c r="AI130" s="125"/>
      <c r="AJ130" s="125"/>
      <c r="AK130" s="125"/>
      <c r="AL130" s="127"/>
      <c r="AM130" s="125"/>
      <c r="AN130" s="125"/>
      <c r="AO130" s="128"/>
      <c r="AP130" s="125"/>
      <c r="AQ130" s="139"/>
      <c r="AR130" s="139"/>
      <c r="AS130" s="139"/>
      <c r="AT130" s="125"/>
      <c r="AU130" s="125"/>
      <c r="AV130" s="128"/>
      <c r="AW130" s="56"/>
    </row>
    <row r="131" spans="1:49" s="3" customFormat="1" ht="12" hidden="1" customHeight="1" x14ac:dyDescent="0.25">
      <c r="A131" s="1013"/>
      <c r="B131" s="36" t="s">
        <v>1175</v>
      </c>
      <c r="C131" s="222">
        <f>C138</f>
        <v>94.768175390101931</v>
      </c>
      <c r="D131" s="219">
        <f>C131*$D$5</f>
        <v>19.143171428800592</v>
      </c>
      <c r="E131" s="227" t="s">
        <v>1176</v>
      </c>
      <c r="F131" s="165"/>
      <c r="G131" s="58"/>
      <c r="H131" s="58"/>
      <c r="I131" s="2">
        <f>SUM(I132:I139)</f>
        <v>83.8536</v>
      </c>
      <c r="J131" s="59" t="s">
        <v>1176</v>
      </c>
      <c r="K131" s="169"/>
      <c r="L131" s="60"/>
      <c r="M131" s="60"/>
      <c r="N131" s="61">
        <f>SUM(N132:N139)</f>
        <v>8.4000000000000005E-2</v>
      </c>
      <c r="O131" s="60" t="s">
        <v>1176</v>
      </c>
      <c r="P131" s="60"/>
      <c r="Q131" s="62"/>
      <c r="R131" s="63"/>
      <c r="S131" s="61">
        <f>SUM(S132:S139)</f>
        <v>9.7215000000000007</v>
      </c>
      <c r="T131" s="61"/>
      <c r="U131" s="61"/>
      <c r="V131" s="61"/>
      <c r="W131" s="61"/>
      <c r="X131" s="61"/>
      <c r="Y131" s="61">
        <f>SUM(Y132:Y139)</f>
        <v>9.1999999999999998E-3</v>
      </c>
      <c r="Z131" s="64">
        <f>(C131+D131+I131+N131+S131+Y131)*$Z$5</f>
        <v>269.89250206862425</v>
      </c>
      <c r="AA131" s="65">
        <f>C131+D131+I131+N131+S131+Y131+Z131</f>
        <v>477.47214888752677</v>
      </c>
      <c r="AB131" s="66">
        <v>0.25</v>
      </c>
      <c r="AC131" s="244">
        <f>AA131*(1+AB131)</f>
        <v>596.84018610940848</v>
      </c>
      <c r="AD131" s="67"/>
      <c r="AF131" s="81"/>
      <c r="AG131" s="56"/>
      <c r="AH131" s="125"/>
      <c r="AI131" s="139"/>
      <c r="AJ131" s="140"/>
      <c r="AK131" s="141"/>
      <c r="AL131" s="127"/>
      <c r="AM131" s="142"/>
      <c r="AN131" s="143"/>
      <c r="AO131" s="142"/>
      <c r="AP131" s="139"/>
      <c r="AQ131" s="139"/>
      <c r="AR131" s="139"/>
      <c r="AS131" s="139"/>
      <c r="AT131" s="139"/>
      <c r="AU131" s="142"/>
      <c r="AV131" s="142"/>
      <c r="AW131" s="144"/>
    </row>
    <row r="132" spans="1:49" s="3" customFormat="1" ht="12.75" hidden="1" customHeight="1" x14ac:dyDescent="0.25">
      <c r="A132" s="1013"/>
      <c r="B132" s="50" t="s">
        <v>830</v>
      </c>
      <c r="C132" s="222"/>
      <c r="D132" s="220"/>
      <c r="E132" s="68" t="s">
        <v>1437</v>
      </c>
      <c r="F132" s="69" t="s">
        <v>1438</v>
      </c>
      <c r="G132" s="70">
        <v>0.74</v>
      </c>
      <c r="H132" s="69">
        <v>0.01</v>
      </c>
      <c r="I132" s="71">
        <f t="shared" ref="I132:I137" si="10">G132*H132</f>
        <v>7.4000000000000003E-3</v>
      </c>
      <c r="J132" s="59" t="s">
        <v>1291</v>
      </c>
      <c r="K132" s="61">
        <v>2</v>
      </c>
      <c r="L132" s="61">
        <v>640</v>
      </c>
      <c r="M132" s="61">
        <v>2</v>
      </c>
      <c r="N132" s="61">
        <v>0.05</v>
      </c>
      <c r="O132" s="60" t="s">
        <v>1239</v>
      </c>
      <c r="P132" s="60">
        <v>61189.5</v>
      </c>
      <c r="Q132" s="60">
        <v>19.670000000000002</v>
      </c>
      <c r="R132" s="60">
        <v>6513.87</v>
      </c>
      <c r="S132" s="60">
        <v>9.7215000000000007</v>
      </c>
      <c r="T132" s="239" t="s">
        <v>1435</v>
      </c>
      <c r="U132" s="240">
        <v>6785401.3499999996</v>
      </c>
      <c r="V132" s="241">
        <v>1.32E-2</v>
      </c>
      <c r="W132" s="239">
        <v>1508.3</v>
      </c>
      <c r="X132" s="61">
        <v>59.38</v>
      </c>
      <c r="Y132" s="60">
        <v>9.1999999999999998E-3</v>
      </c>
      <c r="Z132" s="60"/>
      <c r="AA132" s="1"/>
      <c r="AB132" s="1"/>
      <c r="AC132" s="245"/>
      <c r="AD132" s="56"/>
      <c r="AF132" s="151"/>
      <c r="AG132" s="56"/>
      <c r="AH132" s="125"/>
      <c r="AI132" s="125"/>
      <c r="AJ132" s="136"/>
      <c r="AK132" s="125"/>
      <c r="AL132" s="127"/>
      <c r="AM132" s="125"/>
      <c r="AN132" s="125"/>
      <c r="AO132" s="128"/>
      <c r="AP132" s="125"/>
      <c r="AQ132" s="125"/>
      <c r="AR132" s="128"/>
      <c r="AS132" s="128"/>
      <c r="AT132" s="125"/>
      <c r="AU132" s="125"/>
      <c r="AV132" s="128"/>
      <c r="AW132" s="56"/>
    </row>
    <row r="133" spans="1:49" s="3" customFormat="1" hidden="1" x14ac:dyDescent="0.25">
      <c r="A133" s="1013"/>
      <c r="B133" s="74" t="s">
        <v>1178</v>
      </c>
      <c r="C133" s="223">
        <f>C123</f>
        <v>38.717865870069311</v>
      </c>
      <c r="D133" s="220"/>
      <c r="E133" s="68" t="s">
        <v>1439</v>
      </c>
      <c r="F133" s="69" t="s">
        <v>1438</v>
      </c>
      <c r="G133" s="70">
        <v>0.27</v>
      </c>
      <c r="H133" s="69">
        <v>0.01</v>
      </c>
      <c r="I133" s="242">
        <f t="shared" si="10"/>
        <v>2.7000000000000001E-3</v>
      </c>
      <c r="J133" s="59" t="s">
        <v>1445</v>
      </c>
      <c r="K133" s="61">
        <v>2</v>
      </c>
      <c r="L133" s="61">
        <v>84</v>
      </c>
      <c r="M133" s="61">
        <v>2</v>
      </c>
      <c r="N133" s="61">
        <v>8.9999999999999993E-3</v>
      </c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1"/>
      <c r="AB133" s="1"/>
      <c r="AC133" s="245"/>
      <c r="AD133" s="56"/>
      <c r="AF133" s="151"/>
      <c r="AG133" s="56"/>
      <c r="AH133" s="125"/>
      <c r="AI133" s="125"/>
      <c r="AJ133" s="136"/>
      <c r="AK133" s="125"/>
      <c r="AL133" s="127"/>
      <c r="AM133" s="145"/>
      <c r="AN133" s="125"/>
      <c r="AO133" s="128"/>
      <c r="AP133" s="125"/>
      <c r="AQ133" s="125"/>
      <c r="AR133" s="128"/>
      <c r="AS133" s="128"/>
      <c r="AT133" s="125"/>
      <c r="AU133" s="125"/>
      <c r="AV133" s="128"/>
      <c r="AW133" s="56"/>
    </row>
    <row r="134" spans="1:49" s="3" customFormat="1" ht="12.75" hidden="1" customHeight="1" x14ac:dyDescent="0.25">
      <c r="A134" s="1013"/>
      <c r="B134" s="57" t="s">
        <v>1179</v>
      </c>
      <c r="C134" s="222">
        <f>C124</f>
        <v>22.420123808013045</v>
      </c>
      <c r="D134" s="220"/>
      <c r="E134" s="68" t="s">
        <v>1598</v>
      </c>
      <c r="F134" s="69" t="s">
        <v>1441</v>
      </c>
      <c r="G134" s="70">
        <v>4.4000000000000004</v>
      </c>
      <c r="H134" s="70">
        <v>1</v>
      </c>
      <c r="I134" s="71">
        <f t="shared" si="10"/>
        <v>4.4000000000000004</v>
      </c>
      <c r="J134" s="59" t="s">
        <v>1513</v>
      </c>
      <c r="K134" s="61">
        <v>2</v>
      </c>
      <c r="L134" s="61">
        <v>25</v>
      </c>
      <c r="M134" s="61">
        <v>0.5</v>
      </c>
      <c r="N134" s="61">
        <v>2.5000000000000001E-2</v>
      </c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1"/>
      <c r="AB134" s="1"/>
      <c r="AC134" s="245"/>
      <c r="AD134" s="56"/>
      <c r="AF134" s="151"/>
      <c r="AG134" s="56"/>
      <c r="AH134" s="125"/>
      <c r="AI134" s="125"/>
      <c r="AJ134" s="136"/>
      <c r="AK134" s="125"/>
      <c r="AL134" s="127"/>
      <c r="AM134" s="125"/>
      <c r="AN134" s="125"/>
      <c r="AO134" s="128"/>
      <c r="AP134" s="125"/>
      <c r="AQ134" s="125"/>
      <c r="AR134" s="128"/>
      <c r="AS134" s="128"/>
      <c r="AT134" s="125"/>
      <c r="AU134" s="125"/>
      <c r="AV134" s="128"/>
      <c r="AW134" s="56"/>
    </row>
    <row r="135" spans="1:49" s="3" customFormat="1" ht="12.75" hidden="1" customHeight="1" x14ac:dyDescent="0.25">
      <c r="A135" s="1013"/>
      <c r="B135" s="57" t="s">
        <v>831</v>
      </c>
      <c r="C135" s="224"/>
      <c r="D135" s="220"/>
      <c r="E135" s="68" t="s">
        <v>1599</v>
      </c>
      <c r="F135" s="69" t="s">
        <v>1441</v>
      </c>
      <c r="G135" s="70">
        <v>77.28</v>
      </c>
      <c r="H135" s="69">
        <v>1</v>
      </c>
      <c r="I135" s="71">
        <f t="shared" si="10"/>
        <v>77.28</v>
      </c>
      <c r="J135" s="59"/>
      <c r="K135" s="61"/>
      <c r="L135" s="61"/>
      <c r="M135" s="61"/>
      <c r="N135" s="61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1"/>
      <c r="AB135" s="1"/>
      <c r="AC135" s="245"/>
      <c r="AD135" s="56"/>
      <c r="AF135" s="151"/>
      <c r="AG135" s="56"/>
      <c r="AH135" s="125"/>
      <c r="AI135" s="125"/>
      <c r="AJ135" s="136"/>
      <c r="AK135" s="125"/>
      <c r="AL135" s="127"/>
      <c r="AM135" s="125"/>
      <c r="AN135" s="125"/>
      <c r="AO135" s="128"/>
      <c r="AP135" s="125"/>
      <c r="AQ135" s="125"/>
      <c r="AR135" s="128"/>
      <c r="AS135" s="128"/>
      <c r="AT135" s="125"/>
      <c r="AU135" s="125"/>
      <c r="AV135" s="128"/>
      <c r="AW135" s="56"/>
    </row>
    <row r="136" spans="1:49" s="3" customFormat="1" ht="12.75" hidden="1" customHeight="1" x14ac:dyDescent="0.25">
      <c r="A136" s="1013"/>
      <c r="B136" s="74" t="s">
        <v>1178</v>
      </c>
      <c r="C136" s="225">
        <v>1</v>
      </c>
      <c r="D136" s="220"/>
      <c r="E136" s="68" t="s">
        <v>1442</v>
      </c>
      <c r="F136" s="69" t="s">
        <v>1443</v>
      </c>
      <c r="G136" s="70">
        <v>419.5</v>
      </c>
      <c r="H136" s="69">
        <v>1E-3</v>
      </c>
      <c r="I136" s="71">
        <f t="shared" si="10"/>
        <v>0.41949999999999998</v>
      </c>
      <c r="J136" s="59"/>
      <c r="K136" s="61"/>
      <c r="L136" s="61"/>
      <c r="M136" s="61"/>
      <c r="N136" s="61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1"/>
      <c r="AB136" s="1"/>
      <c r="AC136" s="245"/>
      <c r="AD136" s="56"/>
      <c r="AF136" s="151"/>
      <c r="AG136" s="56"/>
      <c r="AH136" s="125"/>
      <c r="AI136" s="125"/>
      <c r="AJ136" s="146"/>
      <c r="AK136" s="125"/>
      <c r="AL136" s="127"/>
      <c r="AM136" s="125"/>
      <c r="AN136" s="125"/>
      <c r="AO136" s="128"/>
      <c r="AP136" s="125"/>
      <c r="AQ136" s="125"/>
      <c r="AR136" s="128"/>
      <c r="AS136" s="128"/>
      <c r="AT136" s="125"/>
      <c r="AU136" s="125"/>
      <c r="AV136" s="128"/>
      <c r="AW136" s="56"/>
    </row>
    <row r="137" spans="1:49" s="3" customFormat="1" ht="12.75" hidden="1" customHeight="1" x14ac:dyDescent="0.25">
      <c r="A137" s="1013"/>
      <c r="B137" s="57" t="s">
        <v>1179</v>
      </c>
      <c r="C137" s="225">
        <v>2.5</v>
      </c>
      <c r="D137" s="220"/>
      <c r="E137" s="68" t="s">
        <v>1444</v>
      </c>
      <c r="F137" s="69" t="s">
        <v>1443</v>
      </c>
      <c r="G137" s="70">
        <v>872</v>
      </c>
      <c r="H137" s="69">
        <v>2E-3</v>
      </c>
      <c r="I137" s="71">
        <f t="shared" si="10"/>
        <v>1.744</v>
      </c>
      <c r="J137" s="59"/>
      <c r="K137" s="61"/>
      <c r="L137" s="61"/>
      <c r="M137" s="61"/>
      <c r="N137" s="61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1"/>
      <c r="AB137" s="1"/>
      <c r="AC137" s="245"/>
      <c r="AD137" s="56"/>
      <c r="AF137" s="151"/>
      <c r="AG137" s="56"/>
      <c r="AH137" s="125"/>
      <c r="AI137" s="125"/>
      <c r="AJ137" s="146"/>
      <c r="AK137" s="125"/>
      <c r="AL137" s="127"/>
      <c r="AM137" s="125"/>
      <c r="AN137" s="125"/>
      <c r="AO137" s="128"/>
      <c r="AP137" s="125"/>
      <c r="AQ137" s="125"/>
      <c r="AR137" s="128"/>
      <c r="AS137" s="128"/>
      <c r="AT137" s="125"/>
      <c r="AU137" s="125"/>
      <c r="AV137" s="128"/>
      <c r="AW137" s="56"/>
    </row>
    <row r="138" spans="1:49" s="3" customFormat="1" ht="12.75" hidden="1" customHeight="1" x14ac:dyDescent="0.25">
      <c r="A138" s="1013"/>
      <c r="B138" s="79" t="s">
        <v>1181</v>
      </c>
      <c r="C138" s="222">
        <f>C133*C136+C134*C137</f>
        <v>94.768175390101931</v>
      </c>
      <c r="D138" s="220"/>
      <c r="E138" s="228"/>
      <c r="F138" s="166"/>
      <c r="G138" s="70"/>
      <c r="H138" s="69"/>
      <c r="I138" s="71"/>
      <c r="J138" s="59"/>
      <c r="K138" s="170"/>
      <c r="L138" s="76"/>
      <c r="M138" s="72"/>
      <c r="N138" s="61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1"/>
      <c r="AB138" s="1"/>
      <c r="AC138" s="245"/>
      <c r="AD138" s="56"/>
      <c r="AF138" s="151"/>
      <c r="AG138" s="56"/>
      <c r="AH138" s="125"/>
      <c r="AI138" s="125"/>
      <c r="AJ138" s="136"/>
      <c r="AK138" s="125"/>
      <c r="AL138" s="127"/>
      <c r="AM138" s="125"/>
      <c r="AN138" s="125"/>
      <c r="AO138" s="128"/>
      <c r="AP138" s="125"/>
      <c r="AQ138" s="125"/>
      <c r="AR138" s="128"/>
      <c r="AS138" s="128"/>
      <c r="AT138" s="125"/>
      <c r="AU138" s="125"/>
      <c r="AV138" s="128"/>
      <c r="AW138" s="56"/>
    </row>
    <row r="139" spans="1:49" s="3" customFormat="1" ht="13.5" hidden="1" customHeight="1" x14ac:dyDescent="0.25">
      <c r="A139" s="1014"/>
      <c r="B139" s="123"/>
      <c r="C139" s="225"/>
      <c r="D139" s="221"/>
      <c r="E139" s="228"/>
      <c r="F139" s="166"/>
      <c r="G139" s="70"/>
      <c r="H139" s="69"/>
      <c r="I139" s="71"/>
      <c r="J139" s="59"/>
      <c r="K139" s="170"/>
      <c r="L139" s="61"/>
      <c r="M139" s="72"/>
      <c r="N139" s="61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1"/>
      <c r="AB139" s="1"/>
      <c r="AC139" s="245"/>
      <c r="AD139" s="56"/>
      <c r="AF139" s="151"/>
      <c r="AG139" s="56"/>
      <c r="AH139" s="125"/>
      <c r="AI139" s="125"/>
      <c r="AJ139" s="146"/>
      <c r="AK139" s="125"/>
      <c r="AL139" s="127"/>
      <c r="AM139" s="125"/>
      <c r="AN139" s="125"/>
      <c r="AO139" s="128"/>
      <c r="AP139" s="125"/>
      <c r="AQ139" s="125"/>
      <c r="AR139" s="128"/>
      <c r="AS139" s="128"/>
      <c r="AT139" s="125"/>
      <c r="AU139" s="125"/>
      <c r="AV139" s="128"/>
      <c r="AW139" s="56"/>
    </row>
    <row r="140" spans="1:49" s="803" customFormat="1" ht="56.25" customHeight="1" x14ac:dyDescent="0.25">
      <c r="A140" s="1114" t="s">
        <v>1612</v>
      </c>
      <c r="B140" s="778" t="s">
        <v>721</v>
      </c>
      <c r="C140" s="799"/>
      <c r="D140" s="800"/>
      <c r="E140" s="801" t="s">
        <v>488</v>
      </c>
      <c r="F140" s="792" t="s">
        <v>837</v>
      </c>
      <c r="G140" s="778" t="s">
        <v>489</v>
      </c>
      <c r="H140" s="791" t="s">
        <v>1170</v>
      </c>
      <c r="I140" s="792" t="s">
        <v>838</v>
      </c>
      <c r="J140" s="793" t="s">
        <v>1171</v>
      </c>
      <c r="K140" s="793" t="s">
        <v>490</v>
      </c>
      <c r="L140" s="794" t="s">
        <v>489</v>
      </c>
      <c r="M140" s="793" t="s">
        <v>1172</v>
      </c>
      <c r="N140" s="792" t="s">
        <v>838</v>
      </c>
      <c r="O140" s="793" t="s">
        <v>1171</v>
      </c>
      <c r="P140" s="793" t="s">
        <v>826</v>
      </c>
      <c r="Q140" s="793" t="s">
        <v>1173</v>
      </c>
      <c r="R140" s="793" t="s">
        <v>1174</v>
      </c>
      <c r="S140" s="793" t="s">
        <v>839</v>
      </c>
      <c r="T140" s="793" t="s">
        <v>1171</v>
      </c>
      <c r="U140" s="793" t="s">
        <v>1392</v>
      </c>
      <c r="V140" s="793" t="s">
        <v>841</v>
      </c>
      <c r="W140" s="795" t="s">
        <v>1173</v>
      </c>
      <c r="X140" s="793" t="s">
        <v>1394</v>
      </c>
      <c r="Y140" s="793" t="s">
        <v>839</v>
      </c>
      <c r="Z140" s="796"/>
      <c r="AA140" s="755"/>
      <c r="AB140" s="755"/>
      <c r="AC140" s="773"/>
      <c r="AD140" s="802"/>
      <c r="AF140" s="804"/>
      <c r="AG140" s="802"/>
      <c r="AH140" s="805"/>
      <c r="AI140" s="805"/>
      <c r="AJ140" s="805"/>
      <c r="AK140" s="805"/>
      <c r="AL140" s="806"/>
      <c r="AM140" s="805"/>
      <c r="AN140" s="805"/>
      <c r="AO140" s="807"/>
      <c r="AP140" s="805"/>
      <c r="AQ140" s="808"/>
      <c r="AR140" s="808"/>
      <c r="AS140" s="808"/>
      <c r="AT140" s="805"/>
      <c r="AU140" s="805"/>
      <c r="AV140" s="807"/>
      <c r="AW140" s="802"/>
    </row>
    <row r="141" spans="1:49" s="803" customFormat="1" ht="12" customHeight="1" x14ac:dyDescent="0.25">
      <c r="A141" s="1115"/>
      <c r="B141" s="752" t="s">
        <v>1175</v>
      </c>
      <c r="C141" s="799">
        <f>C148</f>
        <v>83.558113486095408</v>
      </c>
      <c r="D141" s="800">
        <f>C141*$D$5</f>
        <v>16.878738924191275</v>
      </c>
      <c r="E141" s="809" t="s">
        <v>1176</v>
      </c>
      <c r="F141" s="810"/>
      <c r="G141" s="756"/>
      <c r="H141" s="756"/>
      <c r="I141" s="757">
        <f>SUM(I142:I149)</f>
        <v>83.8536</v>
      </c>
      <c r="J141" s="758" t="s">
        <v>1176</v>
      </c>
      <c r="K141" s="811"/>
      <c r="L141" s="759"/>
      <c r="M141" s="759"/>
      <c r="N141" s="760">
        <f>SUM(N142:N149)</f>
        <v>0.32902201043793955</v>
      </c>
      <c r="O141" s="759" t="s">
        <v>1176</v>
      </c>
      <c r="P141" s="759"/>
      <c r="Q141" s="812"/>
      <c r="R141" s="813"/>
      <c r="S141" s="760">
        <f>SUM(S142:S149)</f>
        <v>0.17977397070317422</v>
      </c>
      <c r="T141" s="760"/>
      <c r="U141" s="760"/>
      <c r="V141" s="760"/>
      <c r="W141" s="760"/>
      <c r="X141" s="760"/>
      <c r="Y141" s="760">
        <f>SUM(Y142:Y149)</f>
        <v>11.63319193706981</v>
      </c>
      <c r="Z141" s="762">
        <f>(C141+D141+I141+N141+S141+Y141)*$Z$5</f>
        <v>255.39904138075767</v>
      </c>
      <c r="AA141" s="763">
        <f>C141+D141+I141+N141+S141+Y141+Z141</f>
        <v>451.83148170925529</v>
      </c>
      <c r="AB141" s="764">
        <v>0.25</v>
      </c>
      <c r="AC141" s="765">
        <f>AA141*(1+AB141)</f>
        <v>564.78935213656905</v>
      </c>
      <c r="AD141" s="814"/>
      <c r="AF141" s="804"/>
      <c r="AG141" s="802"/>
      <c r="AH141" s="805"/>
      <c r="AI141" s="808"/>
      <c r="AJ141" s="815"/>
      <c r="AK141" s="816"/>
      <c r="AL141" s="806"/>
      <c r="AM141" s="817"/>
      <c r="AN141" s="818"/>
      <c r="AO141" s="817"/>
      <c r="AP141" s="808"/>
      <c r="AQ141" s="808"/>
      <c r="AR141" s="808"/>
      <c r="AS141" s="808"/>
      <c r="AT141" s="808"/>
      <c r="AU141" s="817"/>
      <c r="AV141" s="817"/>
      <c r="AW141" s="819"/>
    </row>
    <row r="142" spans="1:49" s="803" customFormat="1" ht="12.75" customHeight="1" x14ac:dyDescent="0.25">
      <c r="A142" s="1115"/>
      <c r="B142" s="766" t="s">
        <v>830</v>
      </c>
      <c r="C142" s="799"/>
      <c r="D142" s="820"/>
      <c r="E142" s="767" t="s">
        <v>1437</v>
      </c>
      <c r="F142" s="768" t="s">
        <v>1438</v>
      </c>
      <c r="G142" s="769">
        <v>0.74</v>
      </c>
      <c r="H142" s="768">
        <v>0.01</v>
      </c>
      <c r="I142" s="770">
        <f t="shared" ref="I142:I147" si="11">G142*H142</f>
        <v>7.4000000000000003E-3</v>
      </c>
      <c r="J142" s="758" t="s">
        <v>1291</v>
      </c>
      <c r="K142" s="771">
        <v>2</v>
      </c>
      <c r="L142" s="772">
        <v>750</v>
      </c>
      <c r="M142" s="771">
        <v>2</v>
      </c>
      <c r="N142" s="760">
        <f>L142/'Исп. коэффициенты'!E31*(C146+C147)</f>
        <v>0.28363966417063757</v>
      </c>
      <c r="O142" s="759" t="s">
        <v>2200</v>
      </c>
      <c r="P142" s="759">
        <v>7250</v>
      </c>
      <c r="Q142" s="759">
        <v>19.670000000000002</v>
      </c>
      <c r="R142" s="759">
        <f>P142*Q142%</f>
        <v>1426.075</v>
      </c>
      <c r="S142" s="759">
        <f>R142/'Исп. коэффициенты'!E31*C146</f>
        <v>0.17977397070317422</v>
      </c>
      <c r="T142" s="755" t="s">
        <v>1435</v>
      </c>
      <c r="U142" s="756">
        <v>6785401.3499999996</v>
      </c>
      <c r="V142" s="785">
        <f>'Исп. коэффициенты'!E124</f>
        <v>2978.5</v>
      </c>
      <c r="W142" s="761">
        <f>'Исп. коэффициенты'!D124</f>
        <v>1.3599999999999999E-2</v>
      </c>
      <c r="X142" s="760">
        <f>U142*W142</f>
        <v>92281.45835999999</v>
      </c>
      <c r="Y142" s="759">
        <f>X142/'Исп. коэффициенты'!E31*C146</f>
        <v>11.63319193706981</v>
      </c>
      <c r="Z142" s="759"/>
      <c r="AA142" s="755"/>
      <c r="AB142" s="755"/>
      <c r="AC142" s="773"/>
      <c r="AD142" s="802"/>
      <c r="AF142" s="821"/>
      <c r="AG142" s="802"/>
      <c r="AH142" s="805"/>
      <c r="AI142" s="805"/>
      <c r="AJ142" s="822"/>
      <c r="AK142" s="805"/>
      <c r="AL142" s="806"/>
      <c r="AM142" s="805"/>
      <c r="AN142" s="805"/>
      <c r="AO142" s="807"/>
      <c r="AP142" s="805"/>
      <c r="AQ142" s="805"/>
      <c r="AR142" s="807"/>
      <c r="AS142" s="807"/>
      <c r="AT142" s="805"/>
      <c r="AU142" s="805"/>
      <c r="AV142" s="807"/>
      <c r="AW142" s="802"/>
    </row>
    <row r="143" spans="1:49" s="803" customFormat="1" x14ac:dyDescent="0.25">
      <c r="A143" s="1115"/>
      <c r="B143" s="774" t="s">
        <v>1178</v>
      </c>
      <c r="C143" s="823">
        <f>C133</f>
        <v>38.717865870069311</v>
      </c>
      <c r="D143" s="820"/>
      <c r="E143" s="767" t="s">
        <v>1439</v>
      </c>
      <c r="F143" s="768" t="s">
        <v>1438</v>
      </c>
      <c r="G143" s="769">
        <v>0.27</v>
      </c>
      <c r="H143" s="768">
        <v>0.01</v>
      </c>
      <c r="I143" s="775">
        <f t="shared" si="11"/>
        <v>2.7000000000000001E-3</v>
      </c>
      <c r="J143" s="758" t="s">
        <v>1445</v>
      </c>
      <c r="K143" s="760">
        <v>2</v>
      </c>
      <c r="L143" s="776">
        <v>95</v>
      </c>
      <c r="M143" s="771">
        <v>2</v>
      </c>
      <c r="N143" s="760">
        <f>L143/'Исп. коэффициенты'!E31*(C146+C147)</f>
        <v>3.5927690794947426E-2</v>
      </c>
      <c r="O143" s="759"/>
      <c r="P143" s="759"/>
      <c r="Q143" s="759"/>
      <c r="R143" s="759"/>
      <c r="S143" s="759"/>
      <c r="T143" s="759"/>
      <c r="U143" s="759"/>
      <c r="V143" s="759"/>
      <c r="W143" s="759"/>
      <c r="X143" s="759"/>
      <c r="Y143" s="759"/>
      <c r="Z143" s="759"/>
      <c r="AA143" s="755"/>
      <c r="AB143" s="755"/>
      <c r="AC143" s="773"/>
      <c r="AD143" s="802"/>
      <c r="AF143" s="821"/>
      <c r="AG143" s="802"/>
      <c r="AH143" s="805"/>
      <c r="AI143" s="805"/>
      <c r="AJ143" s="822"/>
      <c r="AK143" s="805"/>
      <c r="AL143" s="806"/>
      <c r="AM143" s="824"/>
      <c r="AN143" s="805"/>
      <c r="AO143" s="807"/>
      <c r="AP143" s="805"/>
      <c r="AQ143" s="805"/>
      <c r="AR143" s="807"/>
      <c r="AS143" s="807"/>
      <c r="AT143" s="805"/>
      <c r="AU143" s="805"/>
      <c r="AV143" s="807"/>
      <c r="AW143" s="802"/>
    </row>
    <row r="144" spans="1:49" s="803" customFormat="1" ht="12.75" customHeight="1" x14ac:dyDescent="0.25">
      <c r="A144" s="1115"/>
      <c r="B144" s="754" t="s">
        <v>1179</v>
      </c>
      <c r="C144" s="799">
        <f>C134</f>
        <v>22.420123808013045</v>
      </c>
      <c r="D144" s="820"/>
      <c r="E144" s="767" t="s">
        <v>1598</v>
      </c>
      <c r="F144" s="768" t="s">
        <v>1441</v>
      </c>
      <c r="G144" s="769">
        <v>4.4000000000000004</v>
      </c>
      <c r="H144" s="769">
        <v>1</v>
      </c>
      <c r="I144" s="770">
        <f t="shared" si="11"/>
        <v>4.4000000000000004</v>
      </c>
      <c r="J144" s="758" t="s">
        <v>1513</v>
      </c>
      <c r="K144" s="760">
        <v>2</v>
      </c>
      <c r="L144" s="760">
        <v>25</v>
      </c>
      <c r="M144" s="771">
        <v>0.5</v>
      </c>
      <c r="N144" s="760">
        <f>L144/'Исп. коэффициенты'!E31*(C146+C147)</f>
        <v>9.4546554723545853E-3</v>
      </c>
      <c r="O144" s="759"/>
      <c r="P144" s="759"/>
      <c r="Q144" s="759"/>
      <c r="R144" s="759"/>
      <c r="S144" s="759"/>
      <c r="T144" s="759"/>
      <c r="U144" s="759"/>
      <c r="V144" s="759"/>
      <c r="W144" s="759"/>
      <c r="X144" s="759"/>
      <c r="Y144" s="759"/>
      <c r="Z144" s="759"/>
      <c r="AA144" s="755"/>
      <c r="AB144" s="755"/>
      <c r="AC144" s="773"/>
      <c r="AD144" s="802"/>
      <c r="AF144" s="821"/>
      <c r="AG144" s="802"/>
      <c r="AH144" s="805"/>
      <c r="AI144" s="805"/>
      <c r="AJ144" s="822"/>
      <c r="AK144" s="805"/>
      <c r="AL144" s="806"/>
      <c r="AM144" s="805"/>
      <c r="AN144" s="805"/>
      <c r="AO144" s="807"/>
      <c r="AP144" s="805"/>
      <c r="AQ144" s="805"/>
      <c r="AR144" s="807"/>
      <c r="AS144" s="807"/>
      <c r="AT144" s="805"/>
      <c r="AU144" s="805"/>
      <c r="AV144" s="807"/>
      <c r="AW144" s="802"/>
    </row>
    <row r="145" spans="1:49" s="803" customFormat="1" ht="12.75" customHeight="1" x14ac:dyDescent="0.25">
      <c r="A145" s="1115"/>
      <c r="B145" s="754" t="s">
        <v>831</v>
      </c>
      <c r="C145" s="825"/>
      <c r="D145" s="820"/>
      <c r="E145" s="767" t="s">
        <v>1599</v>
      </c>
      <c r="F145" s="768" t="s">
        <v>1441</v>
      </c>
      <c r="G145" s="769">
        <v>77.28</v>
      </c>
      <c r="H145" s="768">
        <v>1</v>
      </c>
      <c r="I145" s="770">
        <f t="shared" si="11"/>
        <v>77.28</v>
      </c>
      <c r="J145" s="758"/>
      <c r="K145" s="760"/>
      <c r="L145" s="760"/>
      <c r="M145" s="760"/>
      <c r="N145" s="760"/>
      <c r="O145" s="759"/>
      <c r="P145" s="759"/>
      <c r="Q145" s="759"/>
      <c r="R145" s="759"/>
      <c r="S145" s="759"/>
      <c r="T145" s="759"/>
      <c r="U145" s="759"/>
      <c r="V145" s="759"/>
      <c r="W145" s="759"/>
      <c r="X145" s="759"/>
      <c r="Y145" s="759"/>
      <c r="Z145" s="759"/>
      <c r="AA145" s="755"/>
      <c r="AB145" s="755"/>
      <c r="AC145" s="773"/>
      <c r="AD145" s="802"/>
      <c r="AF145" s="821"/>
      <c r="AG145" s="802"/>
      <c r="AH145" s="805"/>
      <c r="AI145" s="805"/>
      <c r="AJ145" s="822"/>
      <c r="AK145" s="805"/>
      <c r="AL145" s="806"/>
      <c r="AM145" s="805"/>
      <c r="AN145" s="805"/>
      <c r="AO145" s="807"/>
      <c r="AP145" s="805"/>
      <c r="AQ145" s="805"/>
      <c r="AR145" s="807"/>
      <c r="AS145" s="807"/>
      <c r="AT145" s="805"/>
      <c r="AU145" s="805"/>
      <c r="AV145" s="807"/>
      <c r="AW145" s="802"/>
    </row>
    <row r="146" spans="1:49" s="803" customFormat="1" ht="12.75" customHeight="1" x14ac:dyDescent="0.25">
      <c r="A146" s="1115"/>
      <c r="B146" s="774" t="s">
        <v>1178</v>
      </c>
      <c r="C146" s="826">
        <v>1</v>
      </c>
      <c r="D146" s="820"/>
      <c r="E146" s="767" t="s">
        <v>1442</v>
      </c>
      <c r="F146" s="768" t="s">
        <v>1443</v>
      </c>
      <c r="G146" s="769">
        <v>419.5</v>
      </c>
      <c r="H146" s="768">
        <v>1E-3</v>
      </c>
      <c r="I146" s="770">
        <f t="shared" si="11"/>
        <v>0.41949999999999998</v>
      </c>
      <c r="J146" s="758"/>
      <c r="K146" s="760"/>
      <c r="L146" s="760"/>
      <c r="M146" s="760"/>
      <c r="N146" s="760"/>
      <c r="O146" s="759"/>
      <c r="P146" s="759"/>
      <c r="Q146" s="759"/>
      <c r="R146" s="759"/>
      <c r="S146" s="759"/>
      <c r="T146" s="759"/>
      <c r="U146" s="759"/>
      <c r="V146" s="759"/>
      <c r="W146" s="759"/>
      <c r="X146" s="759"/>
      <c r="Y146" s="759"/>
      <c r="Z146" s="759"/>
      <c r="AA146" s="755"/>
      <c r="AB146" s="755"/>
      <c r="AC146" s="773"/>
      <c r="AD146" s="802"/>
      <c r="AF146" s="821"/>
      <c r="AG146" s="802"/>
      <c r="AH146" s="805"/>
      <c r="AI146" s="805"/>
      <c r="AJ146" s="827"/>
      <c r="AK146" s="805"/>
      <c r="AL146" s="806"/>
      <c r="AM146" s="805"/>
      <c r="AN146" s="805"/>
      <c r="AO146" s="807"/>
      <c r="AP146" s="805"/>
      <c r="AQ146" s="805"/>
      <c r="AR146" s="807"/>
      <c r="AS146" s="807"/>
      <c r="AT146" s="805"/>
      <c r="AU146" s="805"/>
      <c r="AV146" s="807"/>
      <c r="AW146" s="802"/>
    </row>
    <row r="147" spans="1:49" s="803" customFormat="1" ht="12.75" customHeight="1" x14ac:dyDescent="0.25">
      <c r="A147" s="1115"/>
      <c r="B147" s="754" t="s">
        <v>1179</v>
      </c>
      <c r="C147" s="826">
        <v>2</v>
      </c>
      <c r="D147" s="820"/>
      <c r="E147" s="767" t="s">
        <v>1444</v>
      </c>
      <c r="F147" s="768" t="s">
        <v>1443</v>
      </c>
      <c r="G147" s="769">
        <v>872</v>
      </c>
      <c r="H147" s="768">
        <v>2E-3</v>
      </c>
      <c r="I147" s="770">
        <f t="shared" si="11"/>
        <v>1.744</v>
      </c>
      <c r="J147" s="758"/>
      <c r="K147" s="760"/>
      <c r="L147" s="760"/>
      <c r="M147" s="760"/>
      <c r="N147" s="760"/>
      <c r="O147" s="759"/>
      <c r="P147" s="759"/>
      <c r="Q147" s="759"/>
      <c r="R147" s="759"/>
      <c r="S147" s="759"/>
      <c r="T147" s="759"/>
      <c r="U147" s="759"/>
      <c r="V147" s="759"/>
      <c r="W147" s="759"/>
      <c r="X147" s="759"/>
      <c r="Y147" s="759"/>
      <c r="Z147" s="759"/>
      <c r="AA147" s="755"/>
      <c r="AB147" s="755"/>
      <c r="AC147" s="773"/>
      <c r="AD147" s="802"/>
      <c r="AF147" s="821"/>
      <c r="AG147" s="802"/>
      <c r="AH147" s="805"/>
      <c r="AI147" s="805"/>
      <c r="AJ147" s="827"/>
      <c r="AK147" s="805"/>
      <c r="AL147" s="806"/>
      <c r="AM147" s="805"/>
      <c r="AN147" s="805"/>
      <c r="AO147" s="807"/>
      <c r="AP147" s="805"/>
      <c r="AQ147" s="805"/>
      <c r="AR147" s="807"/>
      <c r="AS147" s="807"/>
      <c r="AT147" s="805"/>
      <c r="AU147" s="805"/>
      <c r="AV147" s="807"/>
      <c r="AW147" s="802"/>
    </row>
    <row r="148" spans="1:49" s="803" customFormat="1" ht="12.75" customHeight="1" x14ac:dyDescent="0.25">
      <c r="A148" s="1115"/>
      <c r="B148" s="782" t="s">
        <v>1181</v>
      </c>
      <c r="C148" s="799">
        <f>C143*C146+C144*C147</f>
        <v>83.558113486095408</v>
      </c>
      <c r="D148" s="820"/>
      <c r="E148" s="780"/>
      <c r="F148" s="781"/>
      <c r="G148" s="769"/>
      <c r="H148" s="768"/>
      <c r="I148" s="770"/>
      <c r="J148" s="758"/>
      <c r="K148" s="828"/>
      <c r="L148" s="776"/>
      <c r="M148" s="771"/>
      <c r="N148" s="760"/>
      <c r="O148" s="759"/>
      <c r="P148" s="759"/>
      <c r="Q148" s="759"/>
      <c r="R148" s="759"/>
      <c r="S148" s="759"/>
      <c r="T148" s="759"/>
      <c r="U148" s="759"/>
      <c r="V148" s="759"/>
      <c r="W148" s="759"/>
      <c r="X148" s="759"/>
      <c r="Y148" s="759"/>
      <c r="Z148" s="759"/>
      <c r="AA148" s="755"/>
      <c r="AB148" s="755"/>
      <c r="AC148" s="773"/>
      <c r="AD148" s="802"/>
      <c r="AF148" s="821"/>
      <c r="AG148" s="802"/>
      <c r="AH148" s="805"/>
      <c r="AI148" s="805"/>
      <c r="AJ148" s="822"/>
      <c r="AK148" s="805"/>
      <c r="AL148" s="806"/>
      <c r="AM148" s="805"/>
      <c r="AN148" s="805"/>
      <c r="AO148" s="807"/>
      <c r="AP148" s="805"/>
      <c r="AQ148" s="805"/>
      <c r="AR148" s="807"/>
      <c r="AS148" s="807"/>
      <c r="AT148" s="805"/>
      <c r="AU148" s="805"/>
      <c r="AV148" s="807"/>
      <c r="AW148" s="802"/>
    </row>
    <row r="149" spans="1:49" s="803" customFormat="1" ht="13.5" customHeight="1" x14ac:dyDescent="0.25">
      <c r="A149" s="1116"/>
      <c r="B149" s="783"/>
      <c r="C149" s="826"/>
      <c r="D149" s="829"/>
      <c r="E149" s="780"/>
      <c r="F149" s="781"/>
      <c r="G149" s="769"/>
      <c r="H149" s="768"/>
      <c r="I149" s="770"/>
      <c r="J149" s="758"/>
      <c r="K149" s="828"/>
      <c r="L149" s="760"/>
      <c r="M149" s="771"/>
      <c r="N149" s="760"/>
      <c r="O149" s="759"/>
      <c r="P149" s="759"/>
      <c r="Q149" s="759"/>
      <c r="R149" s="759"/>
      <c r="S149" s="759"/>
      <c r="T149" s="759"/>
      <c r="U149" s="759"/>
      <c r="V149" s="759"/>
      <c r="W149" s="759"/>
      <c r="X149" s="759"/>
      <c r="Y149" s="759"/>
      <c r="Z149" s="759"/>
      <c r="AA149" s="755"/>
      <c r="AB149" s="755"/>
      <c r="AC149" s="773"/>
      <c r="AD149" s="802"/>
      <c r="AF149" s="821"/>
      <c r="AG149" s="802"/>
      <c r="AH149" s="805"/>
      <c r="AI149" s="805"/>
      <c r="AJ149" s="827"/>
      <c r="AK149" s="805"/>
      <c r="AL149" s="806"/>
      <c r="AM149" s="805"/>
      <c r="AN149" s="805"/>
      <c r="AO149" s="807"/>
      <c r="AP149" s="805"/>
      <c r="AQ149" s="805"/>
      <c r="AR149" s="807"/>
      <c r="AS149" s="807"/>
      <c r="AT149" s="805"/>
      <c r="AU149" s="805"/>
      <c r="AV149" s="807"/>
      <c r="AW149" s="802"/>
    </row>
    <row r="150" spans="1:49" s="803" customFormat="1" ht="56.25" customHeight="1" x14ac:dyDescent="0.25">
      <c r="A150" s="1114" t="s">
        <v>1613</v>
      </c>
      <c r="B150" s="778" t="s">
        <v>722</v>
      </c>
      <c r="C150" s="799"/>
      <c r="D150" s="800"/>
      <c r="E150" s="801" t="s">
        <v>488</v>
      </c>
      <c r="F150" s="792" t="s">
        <v>837</v>
      </c>
      <c r="G150" s="778" t="s">
        <v>489</v>
      </c>
      <c r="H150" s="791" t="s">
        <v>1170</v>
      </c>
      <c r="I150" s="792" t="s">
        <v>838</v>
      </c>
      <c r="J150" s="793" t="s">
        <v>1171</v>
      </c>
      <c r="K150" s="793" t="s">
        <v>490</v>
      </c>
      <c r="L150" s="794" t="s">
        <v>489</v>
      </c>
      <c r="M150" s="793" t="s">
        <v>1172</v>
      </c>
      <c r="N150" s="792" t="s">
        <v>838</v>
      </c>
      <c r="O150" s="793" t="s">
        <v>1171</v>
      </c>
      <c r="P150" s="793" t="s">
        <v>826</v>
      </c>
      <c r="Q150" s="793" t="s">
        <v>1173</v>
      </c>
      <c r="R150" s="793" t="s">
        <v>1174</v>
      </c>
      <c r="S150" s="793" t="s">
        <v>839</v>
      </c>
      <c r="T150" s="793" t="s">
        <v>1171</v>
      </c>
      <c r="U150" s="793" t="s">
        <v>1392</v>
      </c>
      <c r="V150" s="793" t="s">
        <v>841</v>
      </c>
      <c r="W150" s="795" t="s">
        <v>1173</v>
      </c>
      <c r="X150" s="793" t="s">
        <v>1394</v>
      </c>
      <c r="Y150" s="793" t="s">
        <v>839</v>
      </c>
      <c r="Z150" s="796"/>
      <c r="AA150" s="755"/>
      <c r="AB150" s="755"/>
      <c r="AC150" s="773"/>
      <c r="AD150" s="802"/>
      <c r="AF150" s="804"/>
      <c r="AG150" s="802"/>
      <c r="AH150" s="805"/>
      <c r="AI150" s="805"/>
      <c r="AJ150" s="805"/>
      <c r="AK150" s="805"/>
      <c r="AL150" s="806"/>
      <c r="AM150" s="805"/>
      <c r="AN150" s="805"/>
      <c r="AO150" s="807"/>
      <c r="AP150" s="805"/>
      <c r="AQ150" s="808"/>
      <c r="AR150" s="808"/>
      <c r="AS150" s="808"/>
      <c r="AT150" s="805"/>
      <c r="AU150" s="805"/>
      <c r="AV150" s="807"/>
      <c r="AW150" s="802"/>
    </row>
    <row r="151" spans="1:49" s="803" customFormat="1" ht="12" customHeight="1" x14ac:dyDescent="0.25">
      <c r="A151" s="1115"/>
      <c r="B151" s="752" t="s">
        <v>1175</v>
      </c>
      <c r="C151" s="799">
        <f>C158</f>
        <v>83.558113486095408</v>
      </c>
      <c r="D151" s="800">
        <f>C151*$D$5</f>
        <v>16.878738924191275</v>
      </c>
      <c r="E151" s="809" t="s">
        <v>1176</v>
      </c>
      <c r="F151" s="810"/>
      <c r="G151" s="756"/>
      <c r="H151" s="756"/>
      <c r="I151" s="757">
        <f>SUM(I152:I159)</f>
        <v>83.8536</v>
      </c>
      <c r="J151" s="758" t="s">
        <v>1176</v>
      </c>
      <c r="K151" s="811"/>
      <c r="L151" s="759"/>
      <c r="M151" s="759"/>
      <c r="N151" s="760">
        <f>SUM(N152:N159)</f>
        <v>0.32902201043793955</v>
      </c>
      <c r="O151" s="759" t="s">
        <v>1176</v>
      </c>
      <c r="P151" s="759"/>
      <c r="Q151" s="812"/>
      <c r="R151" s="813"/>
      <c r="S151" s="760">
        <f>SUM(S152:S159)</f>
        <v>0.17977397070317422</v>
      </c>
      <c r="T151" s="760"/>
      <c r="U151" s="760"/>
      <c r="V151" s="760"/>
      <c r="W151" s="760"/>
      <c r="X151" s="760"/>
      <c r="Y151" s="760">
        <f>SUM(Y152:Y159)</f>
        <v>11.63319193706981</v>
      </c>
      <c r="Z151" s="762">
        <f>(C151+D151+I151+N151+S151+Y151)*$Z$5</f>
        <v>255.39904138075767</v>
      </c>
      <c r="AA151" s="763">
        <f>C151+D151+I151+N151+S151+Y151+Z151</f>
        <v>451.83148170925529</v>
      </c>
      <c r="AB151" s="764">
        <v>0.25</v>
      </c>
      <c r="AC151" s="765">
        <f>AA151*(1+AB151)</f>
        <v>564.78935213656905</v>
      </c>
      <c r="AD151" s="814"/>
      <c r="AF151" s="804"/>
      <c r="AG151" s="802"/>
      <c r="AH151" s="805"/>
      <c r="AI151" s="808"/>
      <c r="AJ151" s="815"/>
      <c r="AK151" s="816"/>
      <c r="AL151" s="806"/>
      <c r="AM151" s="817"/>
      <c r="AN151" s="818"/>
      <c r="AO151" s="817"/>
      <c r="AP151" s="808"/>
      <c r="AQ151" s="808"/>
      <c r="AR151" s="808"/>
      <c r="AS151" s="808"/>
      <c r="AT151" s="808"/>
      <c r="AU151" s="817"/>
      <c r="AV151" s="817"/>
      <c r="AW151" s="819"/>
    </row>
    <row r="152" spans="1:49" s="803" customFormat="1" ht="12.75" customHeight="1" x14ac:dyDescent="0.25">
      <c r="A152" s="1115"/>
      <c r="B152" s="766" t="s">
        <v>830</v>
      </c>
      <c r="C152" s="799"/>
      <c r="D152" s="820"/>
      <c r="E152" s="767" t="s">
        <v>1437</v>
      </c>
      <c r="F152" s="768" t="s">
        <v>1438</v>
      </c>
      <c r="G152" s="769">
        <v>0.74</v>
      </c>
      <c r="H152" s="768">
        <v>0.01</v>
      </c>
      <c r="I152" s="770">
        <f t="shared" ref="I152:I157" si="12">G152*H152</f>
        <v>7.4000000000000003E-3</v>
      </c>
      <c r="J152" s="758" t="s">
        <v>1291</v>
      </c>
      <c r="K152" s="771">
        <v>2</v>
      </c>
      <c r="L152" s="772">
        <v>750</v>
      </c>
      <c r="M152" s="771">
        <v>2</v>
      </c>
      <c r="N152" s="760">
        <f>L152/'Исп. коэффициенты'!E31*(C156+C157)</f>
        <v>0.28363966417063757</v>
      </c>
      <c r="O152" s="759" t="s">
        <v>2200</v>
      </c>
      <c r="P152" s="759">
        <v>7250</v>
      </c>
      <c r="Q152" s="759">
        <v>19.670000000000002</v>
      </c>
      <c r="R152" s="759">
        <f>P152*Q152%</f>
        <v>1426.075</v>
      </c>
      <c r="S152" s="759">
        <f>R152/'Исп. коэффициенты'!E31*C156</f>
        <v>0.17977397070317422</v>
      </c>
      <c r="T152" s="755" t="s">
        <v>1435</v>
      </c>
      <c r="U152" s="756">
        <v>6785401.3499999996</v>
      </c>
      <c r="V152" s="785">
        <f>'Исп. коэффициенты'!E124</f>
        <v>2978.5</v>
      </c>
      <c r="W152" s="761">
        <f>'Исп. коэффициенты'!D124</f>
        <v>1.3599999999999999E-2</v>
      </c>
      <c r="X152" s="760">
        <f>U152*W152</f>
        <v>92281.45835999999</v>
      </c>
      <c r="Y152" s="759">
        <f>X152/'Исп. коэффициенты'!E31*C156</f>
        <v>11.63319193706981</v>
      </c>
      <c r="Z152" s="759"/>
      <c r="AA152" s="755"/>
      <c r="AB152" s="755"/>
      <c r="AC152" s="755"/>
      <c r="AD152" s="802"/>
      <c r="AF152" s="821"/>
      <c r="AG152" s="802"/>
      <c r="AH152" s="805"/>
      <c r="AI152" s="805"/>
      <c r="AJ152" s="822"/>
      <c r="AK152" s="805"/>
      <c r="AL152" s="806"/>
      <c r="AM152" s="805"/>
      <c r="AN152" s="805"/>
      <c r="AO152" s="807"/>
      <c r="AP152" s="805"/>
      <c r="AQ152" s="805"/>
      <c r="AR152" s="807"/>
      <c r="AS152" s="807"/>
      <c r="AT152" s="805"/>
      <c r="AU152" s="805"/>
      <c r="AV152" s="807"/>
      <c r="AW152" s="802"/>
    </row>
    <row r="153" spans="1:49" s="803" customFormat="1" x14ac:dyDescent="0.25">
      <c r="A153" s="1115"/>
      <c r="B153" s="774" t="s">
        <v>1178</v>
      </c>
      <c r="C153" s="823">
        <f>C143</f>
        <v>38.717865870069311</v>
      </c>
      <c r="D153" s="820"/>
      <c r="E153" s="767" t="s">
        <v>1439</v>
      </c>
      <c r="F153" s="768" t="s">
        <v>1438</v>
      </c>
      <c r="G153" s="769">
        <v>0.27</v>
      </c>
      <c r="H153" s="768">
        <v>0.01</v>
      </c>
      <c r="I153" s="775">
        <f t="shared" si="12"/>
        <v>2.7000000000000001E-3</v>
      </c>
      <c r="J153" s="758" t="s">
        <v>1445</v>
      </c>
      <c r="K153" s="760">
        <v>2</v>
      </c>
      <c r="L153" s="776">
        <v>95</v>
      </c>
      <c r="M153" s="771">
        <v>2</v>
      </c>
      <c r="N153" s="760">
        <f>L153/'Исп. коэффициенты'!E31*(C156+C157)</f>
        <v>3.5927690794947426E-2</v>
      </c>
      <c r="O153" s="759"/>
      <c r="P153" s="759"/>
      <c r="Q153" s="759"/>
      <c r="R153" s="759"/>
      <c r="S153" s="759"/>
      <c r="T153" s="759"/>
      <c r="U153" s="759"/>
      <c r="V153" s="759"/>
      <c r="W153" s="759"/>
      <c r="X153" s="759"/>
      <c r="Y153" s="759"/>
      <c r="Z153" s="759"/>
      <c r="AA153" s="755"/>
      <c r="AB153" s="755"/>
      <c r="AC153" s="755"/>
      <c r="AD153" s="802"/>
      <c r="AF153" s="821"/>
      <c r="AG153" s="802"/>
      <c r="AH153" s="805"/>
      <c r="AI153" s="805"/>
      <c r="AJ153" s="822"/>
      <c r="AK153" s="805"/>
      <c r="AL153" s="806"/>
      <c r="AM153" s="824"/>
      <c r="AN153" s="805"/>
      <c r="AO153" s="807"/>
      <c r="AP153" s="805"/>
      <c r="AQ153" s="805"/>
      <c r="AR153" s="807"/>
      <c r="AS153" s="807"/>
      <c r="AT153" s="805"/>
      <c r="AU153" s="805"/>
      <c r="AV153" s="807"/>
      <c r="AW153" s="802"/>
    </row>
    <row r="154" spans="1:49" s="803" customFormat="1" ht="12.75" customHeight="1" x14ac:dyDescent="0.25">
      <c r="A154" s="1115"/>
      <c r="B154" s="754" t="s">
        <v>1179</v>
      </c>
      <c r="C154" s="799">
        <f>C144</f>
        <v>22.420123808013045</v>
      </c>
      <c r="D154" s="820"/>
      <c r="E154" s="767" t="s">
        <v>1598</v>
      </c>
      <c r="F154" s="768" t="s">
        <v>1441</v>
      </c>
      <c r="G154" s="769">
        <v>4.4000000000000004</v>
      </c>
      <c r="H154" s="769">
        <v>1</v>
      </c>
      <c r="I154" s="770">
        <f t="shared" si="12"/>
        <v>4.4000000000000004</v>
      </c>
      <c r="J154" s="758" t="s">
        <v>1513</v>
      </c>
      <c r="K154" s="760">
        <v>2</v>
      </c>
      <c r="L154" s="760">
        <v>25</v>
      </c>
      <c r="M154" s="771">
        <v>0.5</v>
      </c>
      <c r="N154" s="760">
        <f>L154/'Исп. коэффициенты'!E31*(C156+C157)</f>
        <v>9.4546554723545853E-3</v>
      </c>
      <c r="O154" s="759"/>
      <c r="P154" s="759"/>
      <c r="Q154" s="759"/>
      <c r="R154" s="759"/>
      <c r="S154" s="759"/>
      <c r="T154" s="759"/>
      <c r="U154" s="759"/>
      <c r="V154" s="759"/>
      <c r="W154" s="759"/>
      <c r="X154" s="759"/>
      <c r="Y154" s="759"/>
      <c r="Z154" s="759"/>
      <c r="AA154" s="755"/>
      <c r="AB154" s="755"/>
      <c r="AC154" s="755"/>
      <c r="AD154" s="802"/>
      <c r="AF154" s="821"/>
      <c r="AG154" s="802"/>
      <c r="AH154" s="805"/>
      <c r="AI154" s="805"/>
      <c r="AJ154" s="822"/>
      <c r="AK154" s="805"/>
      <c r="AL154" s="806"/>
      <c r="AM154" s="805"/>
      <c r="AN154" s="805"/>
      <c r="AO154" s="807"/>
      <c r="AP154" s="805"/>
      <c r="AQ154" s="805"/>
      <c r="AR154" s="807"/>
      <c r="AS154" s="807"/>
      <c r="AT154" s="805"/>
      <c r="AU154" s="805"/>
      <c r="AV154" s="807"/>
      <c r="AW154" s="802"/>
    </row>
    <row r="155" spans="1:49" s="803" customFormat="1" ht="12.75" customHeight="1" x14ac:dyDescent="0.25">
      <c r="A155" s="1115"/>
      <c r="B155" s="754" t="s">
        <v>831</v>
      </c>
      <c r="C155" s="825"/>
      <c r="D155" s="820"/>
      <c r="E155" s="767" t="s">
        <v>1599</v>
      </c>
      <c r="F155" s="768" t="s">
        <v>1441</v>
      </c>
      <c r="G155" s="769">
        <v>77.28</v>
      </c>
      <c r="H155" s="768">
        <v>1</v>
      </c>
      <c r="I155" s="770">
        <f t="shared" si="12"/>
        <v>77.28</v>
      </c>
      <c r="J155" s="758"/>
      <c r="K155" s="760"/>
      <c r="L155" s="760"/>
      <c r="M155" s="760"/>
      <c r="N155" s="760"/>
      <c r="O155" s="759"/>
      <c r="P155" s="759"/>
      <c r="Q155" s="759"/>
      <c r="R155" s="759"/>
      <c r="S155" s="759"/>
      <c r="T155" s="759"/>
      <c r="U155" s="759"/>
      <c r="V155" s="759"/>
      <c r="W155" s="759"/>
      <c r="X155" s="759"/>
      <c r="Y155" s="759"/>
      <c r="Z155" s="759"/>
      <c r="AA155" s="755"/>
      <c r="AB155" s="755"/>
      <c r="AC155" s="755"/>
      <c r="AD155" s="802"/>
      <c r="AF155" s="821"/>
      <c r="AG155" s="802"/>
      <c r="AH155" s="805"/>
      <c r="AI155" s="805"/>
      <c r="AJ155" s="822"/>
      <c r="AK155" s="805"/>
      <c r="AL155" s="806"/>
      <c r="AM155" s="805"/>
      <c r="AN155" s="805"/>
      <c r="AO155" s="807"/>
      <c r="AP155" s="805"/>
      <c r="AQ155" s="805"/>
      <c r="AR155" s="807"/>
      <c r="AS155" s="807"/>
      <c r="AT155" s="805"/>
      <c r="AU155" s="805"/>
      <c r="AV155" s="807"/>
      <c r="AW155" s="802"/>
    </row>
    <row r="156" spans="1:49" s="803" customFormat="1" ht="12.75" customHeight="1" x14ac:dyDescent="0.25">
      <c r="A156" s="1115"/>
      <c r="B156" s="774" t="s">
        <v>1178</v>
      </c>
      <c r="C156" s="826">
        <v>1</v>
      </c>
      <c r="D156" s="820"/>
      <c r="E156" s="767" t="s">
        <v>1442</v>
      </c>
      <c r="F156" s="768" t="s">
        <v>1443</v>
      </c>
      <c r="G156" s="769">
        <v>419.5</v>
      </c>
      <c r="H156" s="768">
        <v>1E-3</v>
      </c>
      <c r="I156" s="770">
        <f t="shared" si="12"/>
        <v>0.41949999999999998</v>
      </c>
      <c r="J156" s="758"/>
      <c r="K156" s="760"/>
      <c r="L156" s="760"/>
      <c r="M156" s="760"/>
      <c r="N156" s="760"/>
      <c r="O156" s="759"/>
      <c r="P156" s="759"/>
      <c r="Q156" s="759"/>
      <c r="R156" s="759"/>
      <c r="S156" s="759"/>
      <c r="T156" s="759"/>
      <c r="U156" s="759"/>
      <c r="V156" s="759"/>
      <c r="W156" s="759"/>
      <c r="X156" s="759"/>
      <c r="Y156" s="759"/>
      <c r="Z156" s="759"/>
      <c r="AA156" s="755"/>
      <c r="AB156" s="755"/>
      <c r="AC156" s="755"/>
      <c r="AD156" s="802"/>
      <c r="AF156" s="821"/>
      <c r="AG156" s="802"/>
      <c r="AH156" s="805"/>
      <c r="AI156" s="805"/>
      <c r="AJ156" s="827"/>
      <c r="AK156" s="805"/>
      <c r="AL156" s="806"/>
      <c r="AM156" s="805"/>
      <c r="AN156" s="805"/>
      <c r="AO156" s="807"/>
      <c r="AP156" s="805"/>
      <c r="AQ156" s="805"/>
      <c r="AR156" s="807"/>
      <c r="AS156" s="807"/>
      <c r="AT156" s="805"/>
      <c r="AU156" s="805"/>
      <c r="AV156" s="807"/>
      <c r="AW156" s="802"/>
    </row>
    <row r="157" spans="1:49" s="803" customFormat="1" ht="12.75" customHeight="1" x14ac:dyDescent="0.25">
      <c r="A157" s="1115"/>
      <c r="B157" s="754" t="s">
        <v>1179</v>
      </c>
      <c r="C157" s="826">
        <v>2</v>
      </c>
      <c r="D157" s="820"/>
      <c r="E157" s="767" t="s">
        <v>1444</v>
      </c>
      <c r="F157" s="768" t="s">
        <v>1443</v>
      </c>
      <c r="G157" s="769">
        <v>872</v>
      </c>
      <c r="H157" s="768">
        <v>2E-3</v>
      </c>
      <c r="I157" s="770">
        <f t="shared" si="12"/>
        <v>1.744</v>
      </c>
      <c r="J157" s="758"/>
      <c r="K157" s="760"/>
      <c r="L157" s="760"/>
      <c r="M157" s="760"/>
      <c r="N157" s="760"/>
      <c r="O157" s="759"/>
      <c r="P157" s="759"/>
      <c r="Q157" s="759"/>
      <c r="R157" s="759"/>
      <c r="S157" s="759"/>
      <c r="T157" s="759"/>
      <c r="U157" s="759"/>
      <c r="V157" s="759"/>
      <c r="W157" s="759"/>
      <c r="X157" s="759"/>
      <c r="Y157" s="759"/>
      <c r="Z157" s="759"/>
      <c r="AA157" s="755"/>
      <c r="AB157" s="755"/>
      <c r="AC157" s="755"/>
      <c r="AD157" s="802"/>
      <c r="AF157" s="821"/>
      <c r="AG157" s="802"/>
      <c r="AH157" s="805"/>
      <c r="AI157" s="805"/>
      <c r="AJ157" s="827"/>
      <c r="AK157" s="805"/>
      <c r="AL157" s="806"/>
      <c r="AM157" s="805"/>
      <c r="AN157" s="805"/>
      <c r="AO157" s="807"/>
      <c r="AP157" s="805"/>
      <c r="AQ157" s="805"/>
      <c r="AR157" s="807"/>
      <c r="AS157" s="807"/>
      <c r="AT157" s="805"/>
      <c r="AU157" s="805"/>
      <c r="AV157" s="807"/>
      <c r="AW157" s="802"/>
    </row>
    <row r="158" spans="1:49" s="803" customFormat="1" ht="12.75" customHeight="1" x14ac:dyDescent="0.25">
      <c r="A158" s="1115"/>
      <c r="B158" s="782" t="s">
        <v>1181</v>
      </c>
      <c r="C158" s="799">
        <f>C153*C156+C154*C157</f>
        <v>83.558113486095408</v>
      </c>
      <c r="D158" s="820"/>
      <c r="E158" s="780"/>
      <c r="F158" s="781"/>
      <c r="G158" s="769"/>
      <c r="H158" s="768"/>
      <c r="I158" s="770"/>
      <c r="J158" s="758"/>
      <c r="K158" s="828"/>
      <c r="L158" s="776"/>
      <c r="M158" s="771"/>
      <c r="N158" s="760"/>
      <c r="O158" s="759"/>
      <c r="P158" s="759"/>
      <c r="Q158" s="759"/>
      <c r="R158" s="759"/>
      <c r="S158" s="759"/>
      <c r="T158" s="759"/>
      <c r="U158" s="759"/>
      <c r="V158" s="759"/>
      <c r="W158" s="759"/>
      <c r="X158" s="759"/>
      <c r="Y158" s="759"/>
      <c r="Z158" s="759"/>
      <c r="AA158" s="755"/>
      <c r="AB158" s="755"/>
      <c r="AC158" s="755"/>
      <c r="AD158" s="802"/>
      <c r="AF158" s="821"/>
      <c r="AG158" s="802"/>
      <c r="AH158" s="805"/>
      <c r="AI158" s="805"/>
      <c r="AJ158" s="822"/>
      <c r="AK158" s="805"/>
      <c r="AL158" s="806"/>
      <c r="AM158" s="805"/>
      <c r="AN158" s="805"/>
      <c r="AO158" s="807"/>
      <c r="AP158" s="805"/>
      <c r="AQ158" s="805"/>
      <c r="AR158" s="807"/>
      <c r="AS158" s="807"/>
      <c r="AT158" s="805"/>
      <c r="AU158" s="805"/>
      <c r="AV158" s="807"/>
      <c r="AW158" s="802"/>
    </row>
    <row r="159" spans="1:49" s="803" customFormat="1" ht="13.5" customHeight="1" x14ac:dyDescent="0.25">
      <c r="A159" s="1116"/>
      <c r="B159" s="783"/>
      <c r="C159" s="826"/>
      <c r="D159" s="829"/>
      <c r="E159" s="780"/>
      <c r="F159" s="781"/>
      <c r="G159" s="769"/>
      <c r="H159" s="768"/>
      <c r="I159" s="770"/>
      <c r="J159" s="758"/>
      <c r="K159" s="828"/>
      <c r="L159" s="760"/>
      <c r="M159" s="771"/>
      <c r="N159" s="760"/>
      <c r="O159" s="759"/>
      <c r="P159" s="759"/>
      <c r="Q159" s="759"/>
      <c r="R159" s="759"/>
      <c r="S159" s="759"/>
      <c r="T159" s="759"/>
      <c r="U159" s="759"/>
      <c r="V159" s="759"/>
      <c r="W159" s="759"/>
      <c r="X159" s="759"/>
      <c r="Y159" s="759"/>
      <c r="Z159" s="759"/>
      <c r="AA159" s="755"/>
      <c r="AB159" s="755"/>
      <c r="AC159" s="755"/>
      <c r="AD159" s="802"/>
      <c r="AF159" s="821"/>
      <c r="AG159" s="802"/>
      <c r="AH159" s="805"/>
      <c r="AI159" s="805"/>
      <c r="AJ159" s="827"/>
      <c r="AK159" s="805"/>
      <c r="AL159" s="806"/>
      <c r="AM159" s="805"/>
      <c r="AN159" s="805"/>
      <c r="AO159" s="807"/>
      <c r="AP159" s="805"/>
      <c r="AQ159" s="805"/>
      <c r="AR159" s="807"/>
      <c r="AS159" s="807"/>
      <c r="AT159" s="805"/>
      <c r="AU159" s="805"/>
      <c r="AV159" s="807"/>
      <c r="AW159" s="802"/>
    </row>
    <row r="160" spans="1:49" s="3" customFormat="1" ht="56.25" hidden="1" customHeight="1" x14ac:dyDescent="0.25">
      <c r="A160" s="1012" t="s">
        <v>1614</v>
      </c>
      <c r="B160" s="258" t="s">
        <v>723</v>
      </c>
      <c r="C160" s="222"/>
      <c r="D160" s="219"/>
      <c r="E160" s="226" t="s">
        <v>488</v>
      </c>
      <c r="F160" s="53" t="s">
        <v>837</v>
      </c>
      <c r="G160" s="51" t="s">
        <v>489</v>
      </c>
      <c r="H160" s="52" t="s">
        <v>1170</v>
      </c>
      <c r="I160" s="53" t="s">
        <v>838</v>
      </c>
      <c r="J160" s="47" t="s">
        <v>1171</v>
      </c>
      <c r="K160" s="47" t="s">
        <v>490</v>
      </c>
      <c r="L160" s="54" t="s">
        <v>489</v>
      </c>
      <c r="M160" s="47" t="s">
        <v>1172</v>
      </c>
      <c r="N160" s="53" t="s">
        <v>838</v>
      </c>
      <c r="O160" s="47" t="s">
        <v>1171</v>
      </c>
      <c r="P160" s="47" t="s">
        <v>826</v>
      </c>
      <c r="Q160" s="47" t="s">
        <v>1173</v>
      </c>
      <c r="R160" s="47" t="s">
        <v>1174</v>
      </c>
      <c r="S160" s="47" t="s">
        <v>839</v>
      </c>
      <c r="T160" s="47" t="s">
        <v>1171</v>
      </c>
      <c r="U160" s="47" t="s">
        <v>1392</v>
      </c>
      <c r="V160" s="47" t="s">
        <v>841</v>
      </c>
      <c r="W160" s="231" t="s">
        <v>1173</v>
      </c>
      <c r="X160" s="47" t="s">
        <v>1394</v>
      </c>
      <c r="Y160" s="47" t="s">
        <v>839</v>
      </c>
      <c r="Z160" s="55"/>
      <c r="AA160" s="1"/>
      <c r="AB160" s="1"/>
      <c r="AC160" s="1"/>
      <c r="AD160" s="56"/>
      <c r="AF160" s="81"/>
      <c r="AG160" s="56"/>
      <c r="AH160" s="125"/>
      <c r="AI160" s="125"/>
      <c r="AJ160" s="125"/>
      <c r="AK160" s="125"/>
      <c r="AL160" s="127"/>
      <c r="AM160" s="125"/>
      <c r="AN160" s="125"/>
      <c r="AO160" s="128"/>
      <c r="AP160" s="125"/>
      <c r="AQ160" s="139"/>
      <c r="AR160" s="139"/>
      <c r="AS160" s="139"/>
      <c r="AT160" s="125"/>
      <c r="AU160" s="125"/>
      <c r="AV160" s="128"/>
      <c r="AW160" s="56"/>
    </row>
    <row r="161" spans="1:49" s="3" customFormat="1" ht="12" hidden="1" customHeight="1" x14ac:dyDescent="0.25">
      <c r="A161" s="1013"/>
      <c r="B161" s="36" t="s">
        <v>1175</v>
      </c>
      <c r="C161" s="222">
        <f>C168</f>
        <v>102.91704642113005</v>
      </c>
      <c r="D161" s="219">
        <f>C161*$D$5</f>
        <v>20.789243377068271</v>
      </c>
      <c r="E161" s="227" t="s">
        <v>1176</v>
      </c>
      <c r="F161" s="165"/>
      <c r="G161" s="58"/>
      <c r="H161" s="58"/>
      <c r="I161" s="2">
        <f>SUM(I162:I169)</f>
        <v>83.8536</v>
      </c>
      <c r="J161" s="59" t="s">
        <v>1176</v>
      </c>
      <c r="K161" s="169"/>
      <c r="L161" s="60"/>
      <c r="M161" s="60"/>
      <c r="N161" s="61">
        <f>SUM(N162:N169)</f>
        <v>8.4000000000000005E-2</v>
      </c>
      <c r="O161" s="60" t="s">
        <v>1176</v>
      </c>
      <c r="P161" s="60"/>
      <c r="Q161" s="62"/>
      <c r="R161" s="63"/>
      <c r="S161" s="61">
        <f>SUM(S162:S169)</f>
        <v>9.7215000000000007</v>
      </c>
      <c r="T161" s="61"/>
      <c r="U161" s="61"/>
      <c r="V161" s="61"/>
      <c r="W161" s="61"/>
      <c r="X161" s="61"/>
      <c r="Y161" s="61">
        <f>SUM(Y162:Y169)</f>
        <v>9.1999999999999998E-3</v>
      </c>
      <c r="Z161" s="64">
        <f>(C161+D161+I161+N161+S161+Y161)*$Z$5</f>
        <v>282.62776638193128</v>
      </c>
      <c r="AA161" s="65">
        <f>C161+D161+I161+N161+S161+Y161+Z161</f>
        <v>500.0023561801296</v>
      </c>
      <c r="AB161" s="66">
        <v>0.25</v>
      </c>
      <c r="AC161" s="244">
        <f>AA161*(1+AB161)</f>
        <v>625.00294522516197</v>
      </c>
      <c r="AD161" s="67"/>
      <c r="AF161" s="81"/>
      <c r="AG161" s="56"/>
      <c r="AH161" s="125"/>
      <c r="AI161" s="139"/>
      <c r="AJ161" s="140"/>
      <c r="AK161" s="141"/>
      <c r="AL161" s="127"/>
      <c r="AM161" s="142"/>
      <c r="AN161" s="143"/>
      <c r="AO161" s="142"/>
      <c r="AP161" s="139"/>
      <c r="AQ161" s="139"/>
      <c r="AR161" s="139"/>
      <c r="AS161" s="139"/>
      <c r="AT161" s="139"/>
      <c r="AU161" s="142"/>
      <c r="AV161" s="142"/>
      <c r="AW161" s="144"/>
    </row>
    <row r="162" spans="1:49" s="3" customFormat="1" ht="12.75" hidden="1" customHeight="1" x14ac:dyDescent="0.25">
      <c r="A162" s="1013"/>
      <c r="B162" s="50" t="s">
        <v>830</v>
      </c>
      <c r="C162" s="222"/>
      <c r="D162" s="220"/>
      <c r="E162" s="68" t="s">
        <v>1437</v>
      </c>
      <c r="F162" s="69" t="s">
        <v>1438</v>
      </c>
      <c r="G162" s="70">
        <v>0.74</v>
      </c>
      <c r="H162" s="69">
        <v>0.01</v>
      </c>
      <c r="I162" s="71">
        <f t="shared" ref="I162:I167" si="13">G162*H162</f>
        <v>7.4000000000000003E-3</v>
      </c>
      <c r="J162" s="59" t="s">
        <v>1291</v>
      </c>
      <c r="K162" s="61">
        <v>2</v>
      </c>
      <c r="L162" s="61">
        <v>640</v>
      </c>
      <c r="M162" s="61">
        <v>2</v>
      </c>
      <c r="N162" s="61">
        <v>0.05</v>
      </c>
      <c r="O162" s="60" t="s">
        <v>1239</v>
      </c>
      <c r="P162" s="60">
        <v>61189.5</v>
      </c>
      <c r="Q162" s="60">
        <v>19.670000000000002</v>
      </c>
      <c r="R162" s="60">
        <v>6513.87</v>
      </c>
      <c r="S162" s="60">
        <v>9.7215000000000007</v>
      </c>
      <c r="T162" s="239" t="s">
        <v>1435</v>
      </c>
      <c r="U162" s="240">
        <v>6785401.3499999996</v>
      </c>
      <c r="V162" s="241">
        <v>1.32E-2</v>
      </c>
      <c r="W162" s="239">
        <v>1508.3</v>
      </c>
      <c r="X162" s="61">
        <v>59.38</v>
      </c>
      <c r="Y162" s="60">
        <v>9.1999999999999998E-3</v>
      </c>
      <c r="Z162" s="60"/>
      <c r="AA162" s="1"/>
      <c r="AB162" s="1"/>
      <c r="AC162" s="245"/>
      <c r="AD162" s="56"/>
      <c r="AF162" s="151"/>
      <c r="AG162" s="56"/>
      <c r="AH162" s="125"/>
      <c r="AI162" s="125"/>
      <c r="AJ162" s="136"/>
      <c r="AK162" s="125"/>
      <c r="AL162" s="127"/>
      <c r="AM162" s="125"/>
      <c r="AN162" s="125"/>
      <c r="AO162" s="128"/>
      <c r="AP162" s="125"/>
      <c r="AQ162" s="125"/>
      <c r="AR162" s="128"/>
      <c r="AS162" s="128"/>
      <c r="AT162" s="125"/>
      <c r="AU162" s="125"/>
      <c r="AV162" s="128"/>
      <c r="AW162" s="56"/>
    </row>
    <row r="163" spans="1:49" s="3" customFormat="1" hidden="1" x14ac:dyDescent="0.25">
      <c r="A163" s="1013"/>
      <c r="B163" s="74" t="s">
        <v>1178</v>
      </c>
      <c r="C163" s="223">
        <f>C153</f>
        <v>38.717865870069311</v>
      </c>
      <c r="D163" s="220"/>
      <c r="E163" s="68" t="s">
        <v>1439</v>
      </c>
      <c r="F163" s="69" t="s">
        <v>1438</v>
      </c>
      <c r="G163" s="70">
        <v>0.27</v>
      </c>
      <c r="H163" s="69">
        <v>0.01</v>
      </c>
      <c r="I163" s="242">
        <f t="shared" si="13"/>
        <v>2.7000000000000001E-3</v>
      </c>
      <c r="J163" s="59" t="s">
        <v>1445</v>
      </c>
      <c r="K163" s="61">
        <v>2</v>
      </c>
      <c r="L163" s="61">
        <v>84</v>
      </c>
      <c r="M163" s="61">
        <v>2</v>
      </c>
      <c r="N163" s="61">
        <v>8.9999999999999993E-3</v>
      </c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1"/>
      <c r="AB163" s="1"/>
      <c r="AC163" s="245"/>
      <c r="AD163" s="56"/>
      <c r="AF163" s="151"/>
      <c r="AG163" s="56"/>
      <c r="AH163" s="125"/>
      <c r="AI163" s="125"/>
      <c r="AJ163" s="136"/>
      <c r="AK163" s="125"/>
      <c r="AL163" s="127"/>
      <c r="AM163" s="145"/>
      <c r="AN163" s="125"/>
      <c r="AO163" s="128"/>
      <c r="AP163" s="125"/>
      <c r="AQ163" s="125"/>
      <c r="AR163" s="128"/>
      <c r="AS163" s="128"/>
      <c r="AT163" s="125"/>
      <c r="AU163" s="125"/>
      <c r="AV163" s="128"/>
      <c r="AW163" s="56"/>
    </row>
    <row r="164" spans="1:49" s="3" customFormat="1" ht="12.75" hidden="1" customHeight="1" x14ac:dyDescent="0.25">
      <c r="A164" s="1013"/>
      <c r="B164" s="57" t="s">
        <v>1179</v>
      </c>
      <c r="C164" s="222">
        <f>C154</f>
        <v>22.420123808013045</v>
      </c>
      <c r="D164" s="220"/>
      <c r="E164" s="68" t="s">
        <v>1598</v>
      </c>
      <c r="F164" s="69" t="s">
        <v>1441</v>
      </c>
      <c r="G164" s="70">
        <v>4.4000000000000004</v>
      </c>
      <c r="H164" s="70">
        <v>1</v>
      </c>
      <c r="I164" s="71">
        <f t="shared" si="13"/>
        <v>4.4000000000000004</v>
      </c>
      <c r="J164" s="59" t="s">
        <v>1513</v>
      </c>
      <c r="K164" s="61">
        <v>2</v>
      </c>
      <c r="L164" s="61">
        <v>25</v>
      </c>
      <c r="M164" s="61">
        <v>0.5</v>
      </c>
      <c r="N164" s="61">
        <v>2.5000000000000001E-2</v>
      </c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1"/>
      <c r="AB164" s="1"/>
      <c r="AC164" s="245"/>
      <c r="AD164" s="56"/>
      <c r="AF164" s="151"/>
      <c r="AG164" s="56"/>
      <c r="AH164" s="125"/>
      <c r="AI164" s="125"/>
      <c r="AJ164" s="136"/>
      <c r="AK164" s="125"/>
      <c r="AL164" s="127"/>
      <c r="AM164" s="125"/>
      <c r="AN164" s="125"/>
      <c r="AO164" s="128"/>
      <c r="AP164" s="125"/>
      <c r="AQ164" s="125"/>
      <c r="AR164" s="128"/>
      <c r="AS164" s="128"/>
      <c r="AT164" s="125"/>
      <c r="AU164" s="125"/>
      <c r="AV164" s="128"/>
      <c r="AW164" s="56"/>
    </row>
    <row r="165" spans="1:49" s="3" customFormat="1" ht="12.75" hidden="1" customHeight="1" x14ac:dyDescent="0.25">
      <c r="A165" s="1013"/>
      <c r="B165" s="57" t="s">
        <v>831</v>
      </c>
      <c r="C165" s="224"/>
      <c r="D165" s="220"/>
      <c r="E165" s="68" t="s">
        <v>1599</v>
      </c>
      <c r="F165" s="69" t="s">
        <v>1441</v>
      </c>
      <c r="G165" s="70">
        <v>77.28</v>
      </c>
      <c r="H165" s="69">
        <v>1</v>
      </c>
      <c r="I165" s="71">
        <f t="shared" si="13"/>
        <v>77.28</v>
      </c>
      <c r="J165" s="59"/>
      <c r="K165" s="61"/>
      <c r="L165" s="61"/>
      <c r="M165" s="61"/>
      <c r="N165" s="61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1"/>
      <c r="AB165" s="1"/>
      <c r="AC165" s="245"/>
      <c r="AD165" s="56"/>
      <c r="AF165" s="151"/>
      <c r="AG165" s="56"/>
      <c r="AH165" s="125"/>
      <c r="AI165" s="125"/>
      <c r="AJ165" s="136"/>
      <c r="AK165" s="125"/>
      <c r="AL165" s="127"/>
      <c r="AM165" s="125"/>
      <c r="AN165" s="125"/>
      <c r="AO165" s="128"/>
      <c r="AP165" s="125"/>
      <c r="AQ165" s="125"/>
      <c r="AR165" s="128"/>
      <c r="AS165" s="128"/>
      <c r="AT165" s="125"/>
      <c r="AU165" s="125"/>
      <c r="AV165" s="128"/>
      <c r="AW165" s="56"/>
    </row>
    <row r="166" spans="1:49" s="3" customFormat="1" ht="12.75" hidden="1" customHeight="1" x14ac:dyDescent="0.25">
      <c r="A166" s="1013"/>
      <c r="B166" s="74" t="s">
        <v>1178</v>
      </c>
      <c r="C166" s="225">
        <v>1.5</v>
      </c>
      <c r="D166" s="220"/>
      <c r="E166" s="68" t="s">
        <v>1442</v>
      </c>
      <c r="F166" s="69" t="s">
        <v>1443</v>
      </c>
      <c r="G166" s="70">
        <v>419.5</v>
      </c>
      <c r="H166" s="69">
        <v>1E-3</v>
      </c>
      <c r="I166" s="71">
        <f t="shared" si="13"/>
        <v>0.41949999999999998</v>
      </c>
      <c r="J166" s="59"/>
      <c r="K166" s="61"/>
      <c r="L166" s="61"/>
      <c r="M166" s="61"/>
      <c r="N166" s="61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1"/>
      <c r="AB166" s="1"/>
      <c r="AC166" s="245"/>
      <c r="AD166" s="56"/>
      <c r="AF166" s="151"/>
      <c r="AG166" s="56"/>
      <c r="AH166" s="125"/>
      <c r="AI166" s="125"/>
      <c r="AJ166" s="146"/>
      <c r="AK166" s="125"/>
      <c r="AL166" s="127"/>
      <c r="AM166" s="125"/>
      <c r="AN166" s="125"/>
      <c r="AO166" s="128"/>
      <c r="AP166" s="125"/>
      <c r="AQ166" s="125"/>
      <c r="AR166" s="128"/>
      <c r="AS166" s="128"/>
      <c r="AT166" s="125"/>
      <c r="AU166" s="125"/>
      <c r="AV166" s="128"/>
      <c r="AW166" s="56"/>
    </row>
    <row r="167" spans="1:49" s="3" customFormat="1" ht="12.75" hidden="1" customHeight="1" x14ac:dyDescent="0.25">
      <c r="A167" s="1013"/>
      <c r="B167" s="57" t="s">
        <v>1179</v>
      </c>
      <c r="C167" s="225">
        <v>2</v>
      </c>
      <c r="D167" s="220"/>
      <c r="E167" s="68" t="s">
        <v>1444</v>
      </c>
      <c r="F167" s="69" t="s">
        <v>1443</v>
      </c>
      <c r="G167" s="70">
        <v>872</v>
      </c>
      <c r="H167" s="69">
        <v>2E-3</v>
      </c>
      <c r="I167" s="71">
        <f t="shared" si="13"/>
        <v>1.744</v>
      </c>
      <c r="J167" s="59"/>
      <c r="K167" s="61"/>
      <c r="L167" s="61"/>
      <c r="M167" s="61"/>
      <c r="N167" s="61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1"/>
      <c r="AB167" s="1"/>
      <c r="AC167" s="245"/>
      <c r="AD167" s="56"/>
      <c r="AF167" s="151"/>
      <c r="AG167" s="56"/>
      <c r="AH167" s="125"/>
      <c r="AI167" s="125"/>
      <c r="AJ167" s="146"/>
      <c r="AK167" s="125"/>
      <c r="AL167" s="127"/>
      <c r="AM167" s="125"/>
      <c r="AN167" s="125"/>
      <c r="AO167" s="128"/>
      <c r="AP167" s="125"/>
      <c r="AQ167" s="125"/>
      <c r="AR167" s="128"/>
      <c r="AS167" s="128"/>
      <c r="AT167" s="125"/>
      <c r="AU167" s="125"/>
      <c r="AV167" s="128"/>
      <c r="AW167" s="56"/>
    </row>
    <row r="168" spans="1:49" s="3" customFormat="1" ht="12.75" hidden="1" customHeight="1" x14ac:dyDescent="0.25">
      <c r="A168" s="1013"/>
      <c r="B168" s="79" t="s">
        <v>1181</v>
      </c>
      <c r="C168" s="222">
        <f>C163*C166+C164*C167</f>
        <v>102.91704642113005</v>
      </c>
      <c r="D168" s="220"/>
      <c r="E168" s="228"/>
      <c r="F168" s="166"/>
      <c r="G168" s="70"/>
      <c r="H168" s="69"/>
      <c r="I168" s="71"/>
      <c r="J168" s="59"/>
      <c r="K168" s="170"/>
      <c r="L168" s="76"/>
      <c r="M168" s="72"/>
      <c r="N168" s="61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1"/>
      <c r="AB168" s="1"/>
      <c r="AC168" s="245"/>
      <c r="AD168" s="56"/>
      <c r="AF168" s="151"/>
      <c r="AG168" s="56"/>
      <c r="AH168" s="125"/>
      <c r="AI168" s="125"/>
      <c r="AJ168" s="136"/>
      <c r="AK168" s="125"/>
      <c r="AL168" s="127"/>
      <c r="AM168" s="125"/>
      <c r="AN168" s="125"/>
      <c r="AO168" s="128"/>
      <c r="AP168" s="125"/>
      <c r="AQ168" s="125"/>
      <c r="AR168" s="128"/>
      <c r="AS168" s="128"/>
      <c r="AT168" s="125"/>
      <c r="AU168" s="125"/>
      <c r="AV168" s="128"/>
      <c r="AW168" s="56"/>
    </row>
    <row r="169" spans="1:49" s="3" customFormat="1" ht="13.5" hidden="1" customHeight="1" x14ac:dyDescent="0.25">
      <c r="A169" s="1014"/>
      <c r="B169" s="123"/>
      <c r="C169" s="225"/>
      <c r="D169" s="221"/>
      <c r="E169" s="228"/>
      <c r="F169" s="166"/>
      <c r="G169" s="70"/>
      <c r="H169" s="69"/>
      <c r="I169" s="71"/>
      <c r="J169" s="59"/>
      <c r="K169" s="170"/>
      <c r="L169" s="61"/>
      <c r="M169" s="72"/>
      <c r="N169" s="61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1"/>
      <c r="AB169" s="1"/>
      <c r="AC169" s="245"/>
      <c r="AD169" s="56"/>
      <c r="AF169" s="151"/>
      <c r="AG169" s="56"/>
      <c r="AH169" s="125"/>
      <c r="AI169" s="125"/>
      <c r="AJ169" s="146"/>
      <c r="AK169" s="125"/>
      <c r="AL169" s="127"/>
      <c r="AM169" s="125"/>
      <c r="AN169" s="125"/>
      <c r="AO169" s="128"/>
      <c r="AP169" s="125"/>
      <c r="AQ169" s="125"/>
      <c r="AR169" s="128"/>
      <c r="AS169" s="128"/>
      <c r="AT169" s="125"/>
      <c r="AU169" s="125"/>
      <c r="AV169" s="128"/>
      <c r="AW169" s="56"/>
    </row>
    <row r="170" spans="1:49" s="3" customFormat="1" ht="56.25" hidden="1" customHeight="1" x14ac:dyDescent="0.25">
      <c r="A170" s="1012" t="s">
        <v>1615</v>
      </c>
      <c r="B170" s="258" t="s">
        <v>724</v>
      </c>
      <c r="C170" s="222"/>
      <c r="D170" s="219"/>
      <c r="E170" s="226" t="s">
        <v>488</v>
      </c>
      <c r="F170" s="53" t="s">
        <v>837</v>
      </c>
      <c r="G170" s="51" t="s">
        <v>489</v>
      </c>
      <c r="H170" s="52" t="s">
        <v>1170</v>
      </c>
      <c r="I170" s="53" t="s">
        <v>838</v>
      </c>
      <c r="J170" s="47" t="s">
        <v>1171</v>
      </c>
      <c r="K170" s="47" t="s">
        <v>490</v>
      </c>
      <c r="L170" s="54" t="s">
        <v>489</v>
      </c>
      <c r="M170" s="47" t="s">
        <v>1172</v>
      </c>
      <c r="N170" s="53" t="s">
        <v>838</v>
      </c>
      <c r="O170" s="47" t="s">
        <v>1171</v>
      </c>
      <c r="P170" s="47" t="s">
        <v>826</v>
      </c>
      <c r="Q170" s="47" t="s">
        <v>1173</v>
      </c>
      <c r="R170" s="47" t="s">
        <v>1174</v>
      </c>
      <c r="S170" s="47" t="s">
        <v>839</v>
      </c>
      <c r="T170" s="47" t="s">
        <v>1171</v>
      </c>
      <c r="U170" s="47" t="s">
        <v>1392</v>
      </c>
      <c r="V170" s="47" t="s">
        <v>841</v>
      </c>
      <c r="W170" s="231" t="s">
        <v>1173</v>
      </c>
      <c r="X170" s="47" t="s">
        <v>1394</v>
      </c>
      <c r="Y170" s="47" t="s">
        <v>839</v>
      </c>
      <c r="Z170" s="55"/>
      <c r="AA170" s="1"/>
      <c r="AB170" s="1"/>
      <c r="AC170" s="245"/>
      <c r="AD170" s="56"/>
      <c r="AF170" s="81"/>
      <c r="AG170" s="56"/>
      <c r="AH170" s="125"/>
      <c r="AI170" s="125"/>
      <c r="AJ170" s="125"/>
      <c r="AK170" s="125"/>
      <c r="AL170" s="127"/>
      <c r="AM170" s="125"/>
      <c r="AN170" s="125"/>
      <c r="AO170" s="128"/>
      <c r="AP170" s="125"/>
      <c r="AQ170" s="139"/>
      <c r="AR170" s="139"/>
      <c r="AS170" s="139"/>
      <c r="AT170" s="125"/>
      <c r="AU170" s="125"/>
      <c r="AV170" s="128"/>
      <c r="AW170" s="56"/>
    </row>
    <row r="171" spans="1:49" s="3" customFormat="1" ht="12" hidden="1" customHeight="1" x14ac:dyDescent="0.25">
      <c r="A171" s="1013"/>
      <c r="B171" s="36" t="s">
        <v>1175</v>
      </c>
      <c r="C171" s="222">
        <f>C178</f>
        <v>114.12710832513658</v>
      </c>
      <c r="D171" s="219">
        <f>C171*$D$5</f>
        <v>23.053675881677588</v>
      </c>
      <c r="E171" s="227" t="s">
        <v>1176</v>
      </c>
      <c r="F171" s="165"/>
      <c r="G171" s="58"/>
      <c r="H171" s="58"/>
      <c r="I171" s="2">
        <f>SUM(I172:I179)</f>
        <v>83.8536</v>
      </c>
      <c r="J171" s="59" t="s">
        <v>1176</v>
      </c>
      <c r="K171" s="169"/>
      <c r="L171" s="60"/>
      <c r="M171" s="60"/>
      <c r="N171" s="61">
        <f>SUM(N172:N179)</f>
        <v>8.4000000000000005E-2</v>
      </c>
      <c r="O171" s="60" t="s">
        <v>1176</v>
      </c>
      <c r="P171" s="60"/>
      <c r="Q171" s="62"/>
      <c r="R171" s="63"/>
      <c r="S171" s="61">
        <f>SUM(S172:S179)</f>
        <v>9.7215000000000007</v>
      </c>
      <c r="T171" s="61"/>
      <c r="U171" s="61"/>
      <c r="V171" s="61"/>
      <c r="W171" s="61"/>
      <c r="X171" s="61"/>
      <c r="Y171" s="61">
        <f>SUM(Y172:Y179)</f>
        <v>9.1999999999999998E-3</v>
      </c>
      <c r="Z171" s="64">
        <f>(C171+D171+I171+N171)*$Z$5</f>
        <v>287.4954017963675</v>
      </c>
      <c r="AA171" s="65">
        <f>C171+D171+I171+N171+S171+Y171+Z171</f>
        <v>518.3444860031816</v>
      </c>
      <c r="AB171" s="66">
        <v>0.25</v>
      </c>
      <c r="AC171" s="244">
        <f>AA171*(1+AB171)</f>
        <v>647.93060750397694</v>
      </c>
      <c r="AD171" s="67"/>
      <c r="AF171" s="81"/>
      <c r="AG171" s="56"/>
      <c r="AH171" s="125"/>
      <c r="AI171" s="139"/>
      <c r="AJ171" s="140"/>
      <c r="AK171" s="141"/>
      <c r="AL171" s="127"/>
      <c r="AM171" s="142"/>
      <c r="AN171" s="143"/>
      <c r="AO171" s="142"/>
      <c r="AP171" s="139"/>
      <c r="AQ171" s="139"/>
      <c r="AR171" s="139"/>
      <c r="AS171" s="139"/>
      <c r="AT171" s="139"/>
      <c r="AU171" s="142"/>
      <c r="AV171" s="142"/>
      <c r="AW171" s="144"/>
    </row>
    <row r="172" spans="1:49" s="3" customFormat="1" ht="12.75" hidden="1" customHeight="1" x14ac:dyDescent="0.25">
      <c r="A172" s="1013"/>
      <c r="B172" s="50" t="s">
        <v>830</v>
      </c>
      <c r="C172" s="222"/>
      <c r="D172" s="220"/>
      <c r="E172" s="68" t="s">
        <v>1437</v>
      </c>
      <c r="F172" s="69" t="s">
        <v>1438</v>
      </c>
      <c r="G172" s="70">
        <v>0.74</v>
      </c>
      <c r="H172" s="69">
        <v>0.01</v>
      </c>
      <c r="I172" s="71">
        <f t="shared" ref="I172:I177" si="14">G172*H172</f>
        <v>7.4000000000000003E-3</v>
      </c>
      <c r="J172" s="59" t="s">
        <v>1291</v>
      </c>
      <c r="K172" s="61">
        <v>2</v>
      </c>
      <c r="L172" s="61">
        <v>640</v>
      </c>
      <c r="M172" s="61">
        <v>2</v>
      </c>
      <c r="N172" s="61">
        <v>0.05</v>
      </c>
      <c r="O172" s="60" t="s">
        <v>1239</v>
      </c>
      <c r="P172" s="60">
        <v>61189.5</v>
      </c>
      <c r="Q172" s="60">
        <v>19.670000000000002</v>
      </c>
      <c r="R172" s="60">
        <v>6513.87</v>
      </c>
      <c r="S172" s="60">
        <v>9.7215000000000007</v>
      </c>
      <c r="T172" s="239" t="s">
        <v>1435</v>
      </c>
      <c r="U172" s="240">
        <v>6785401.3499999996</v>
      </c>
      <c r="V172" s="241">
        <v>1.32E-2</v>
      </c>
      <c r="W172" s="239">
        <v>1508.3</v>
      </c>
      <c r="X172" s="61">
        <v>59.38</v>
      </c>
      <c r="Y172" s="60">
        <v>9.1999999999999998E-3</v>
      </c>
      <c r="Z172" s="60"/>
      <c r="AA172" s="1"/>
      <c r="AB172" s="1"/>
      <c r="AC172" s="245"/>
      <c r="AD172" s="56"/>
      <c r="AF172" s="151"/>
      <c r="AG172" s="56"/>
      <c r="AH172" s="125"/>
      <c r="AI172" s="125"/>
      <c r="AJ172" s="136"/>
      <c r="AK172" s="125"/>
      <c r="AL172" s="127"/>
      <c r="AM172" s="125"/>
      <c r="AN172" s="125"/>
      <c r="AO172" s="128"/>
      <c r="AP172" s="125"/>
      <c r="AQ172" s="125"/>
      <c r="AR172" s="128"/>
      <c r="AS172" s="128"/>
      <c r="AT172" s="125"/>
      <c r="AU172" s="125"/>
      <c r="AV172" s="128"/>
      <c r="AW172" s="56"/>
    </row>
    <row r="173" spans="1:49" s="3" customFormat="1" hidden="1" x14ac:dyDescent="0.25">
      <c r="A173" s="1013"/>
      <c r="B173" s="74" t="s">
        <v>1178</v>
      </c>
      <c r="C173" s="223">
        <f>C163</f>
        <v>38.717865870069311</v>
      </c>
      <c r="D173" s="220"/>
      <c r="E173" s="68" t="s">
        <v>1439</v>
      </c>
      <c r="F173" s="69" t="s">
        <v>1438</v>
      </c>
      <c r="G173" s="70">
        <v>0.27</v>
      </c>
      <c r="H173" s="69">
        <v>0.01</v>
      </c>
      <c r="I173" s="242">
        <f t="shared" si="14"/>
        <v>2.7000000000000001E-3</v>
      </c>
      <c r="J173" s="59" t="s">
        <v>1445</v>
      </c>
      <c r="K173" s="61">
        <v>2</v>
      </c>
      <c r="L173" s="61">
        <v>84</v>
      </c>
      <c r="M173" s="61">
        <v>2</v>
      </c>
      <c r="N173" s="61">
        <v>8.9999999999999993E-3</v>
      </c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1"/>
      <c r="AB173" s="1"/>
      <c r="AC173" s="245"/>
      <c r="AD173" s="56"/>
      <c r="AF173" s="151"/>
      <c r="AG173" s="56"/>
      <c r="AH173" s="125"/>
      <c r="AI173" s="125"/>
      <c r="AJ173" s="136"/>
      <c r="AK173" s="125"/>
      <c r="AL173" s="127"/>
      <c r="AM173" s="145"/>
      <c r="AN173" s="125"/>
      <c r="AO173" s="128"/>
      <c r="AP173" s="125"/>
      <c r="AQ173" s="125"/>
      <c r="AR173" s="128"/>
      <c r="AS173" s="128"/>
      <c r="AT173" s="125"/>
      <c r="AU173" s="125"/>
      <c r="AV173" s="128"/>
      <c r="AW173" s="56"/>
    </row>
    <row r="174" spans="1:49" s="3" customFormat="1" ht="12.75" hidden="1" customHeight="1" x14ac:dyDescent="0.25">
      <c r="A174" s="1013"/>
      <c r="B174" s="57" t="s">
        <v>1179</v>
      </c>
      <c r="C174" s="222">
        <f>C164</f>
        <v>22.420123808013045</v>
      </c>
      <c r="D174" s="220"/>
      <c r="E174" s="68" t="s">
        <v>1598</v>
      </c>
      <c r="F174" s="69" t="s">
        <v>1441</v>
      </c>
      <c r="G174" s="70">
        <v>4.4000000000000004</v>
      </c>
      <c r="H174" s="70">
        <v>1</v>
      </c>
      <c r="I174" s="71">
        <f t="shared" si="14"/>
        <v>4.4000000000000004</v>
      </c>
      <c r="J174" s="59" t="s">
        <v>1513</v>
      </c>
      <c r="K174" s="61">
        <v>2</v>
      </c>
      <c r="L174" s="61">
        <v>25</v>
      </c>
      <c r="M174" s="61">
        <v>0.5</v>
      </c>
      <c r="N174" s="61">
        <v>2.5000000000000001E-2</v>
      </c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1"/>
      <c r="AB174" s="1"/>
      <c r="AC174" s="245"/>
      <c r="AD174" s="56"/>
      <c r="AF174" s="151"/>
      <c r="AG174" s="56"/>
      <c r="AH174" s="125"/>
      <c r="AI174" s="125"/>
      <c r="AJ174" s="136"/>
      <c r="AK174" s="125"/>
      <c r="AL174" s="127"/>
      <c r="AM174" s="125"/>
      <c r="AN174" s="125"/>
      <c r="AO174" s="128"/>
      <c r="AP174" s="125"/>
      <c r="AQ174" s="125"/>
      <c r="AR174" s="128"/>
      <c r="AS174" s="128"/>
      <c r="AT174" s="125"/>
      <c r="AU174" s="125"/>
      <c r="AV174" s="128"/>
      <c r="AW174" s="56"/>
    </row>
    <row r="175" spans="1:49" s="3" customFormat="1" ht="12.75" hidden="1" customHeight="1" x14ac:dyDescent="0.25">
      <c r="A175" s="1013"/>
      <c r="B175" s="57" t="s">
        <v>831</v>
      </c>
      <c r="C175" s="224"/>
      <c r="D175" s="220"/>
      <c r="E175" s="68" t="s">
        <v>1599</v>
      </c>
      <c r="F175" s="69" t="s">
        <v>1441</v>
      </c>
      <c r="G175" s="70">
        <v>77.28</v>
      </c>
      <c r="H175" s="69">
        <v>1</v>
      </c>
      <c r="I175" s="71">
        <f t="shared" si="14"/>
        <v>77.28</v>
      </c>
      <c r="J175" s="59"/>
      <c r="K175" s="61"/>
      <c r="L175" s="61"/>
      <c r="M175" s="61"/>
      <c r="N175" s="61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1"/>
      <c r="AB175" s="1"/>
      <c r="AC175" s="245"/>
      <c r="AD175" s="56"/>
      <c r="AF175" s="151"/>
      <c r="AG175" s="56"/>
      <c r="AH175" s="125"/>
      <c r="AI175" s="125"/>
      <c r="AJ175" s="136"/>
      <c r="AK175" s="125"/>
      <c r="AL175" s="127"/>
      <c r="AM175" s="125"/>
      <c r="AN175" s="125"/>
      <c r="AO175" s="128"/>
      <c r="AP175" s="125"/>
      <c r="AQ175" s="125"/>
      <c r="AR175" s="128"/>
      <c r="AS175" s="128"/>
      <c r="AT175" s="125"/>
      <c r="AU175" s="125"/>
      <c r="AV175" s="128"/>
      <c r="AW175" s="56"/>
    </row>
    <row r="176" spans="1:49" s="3" customFormat="1" ht="12.75" hidden="1" customHeight="1" x14ac:dyDescent="0.25">
      <c r="A176" s="1013"/>
      <c r="B176" s="74" t="s">
        <v>1178</v>
      </c>
      <c r="C176" s="225">
        <v>1.5</v>
      </c>
      <c r="D176" s="220"/>
      <c r="E176" s="68" t="s">
        <v>1442</v>
      </c>
      <c r="F176" s="69" t="s">
        <v>1443</v>
      </c>
      <c r="G176" s="70">
        <v>419.5</v>
      </c>
      <c r="H176" s="69">
        <v>1E-3</v>
      </c>
      <c r="I176" s="71">
        <f t="shared" si="14"/>
        <v>0.41949999999999998</v>
      </c>
      <c r="J176" s="59"/>
      <c r="K176" s="61"/>
      <c r="L176" s="61"/>
      <c r="M176" s="61"/>
      <c r="N176" s="61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1"/>
      <c r="AB176" s="1"/>
      <c r="AC176" s="245"/>
      <c r="AD176" s="56"/>
      <c r="AF176" s="151"/>
      <c r="AG176" s="56"/>
      <c r="AH176" s="125"/>
      <c r="AI176" s="125"/>
      <c r="AJ176" s="146"/>
      <c r="AK176" s="125"/>
      <c r="AL176" s="127"/>
      <c r="AM176" s="125"/>
      <c r="AN176" s="125"/>
      <c r="AO176" s="128"/>
      <c r="AP176" s="125"/>
      <c r="AQ176" s="125"/>
      <c r="AR176" s="128"/>
      <c r="AS176" s="128"/>
      <c r="AT176" s="125"/>
      <c r="AU176" s="125"/>
      <c r="AV176" s="128"/>
      <c r="AW176" s="56"/>
    </row>
    <row r="177" spans="1:49" s="3" customFormat="1" ht="12.75" hidden="1" customHeight="1" x14ac:dyDescent="0.25">
      <c r="A177" s="1013"/>
      <c r="B177" s="57" t="s">
        <v>1179</v>
      </c>
      <c r="C177" s="225">
        <v>2.5</v>
      </c>
      <c r="D177" s="220"/>
      <c r="E177" s="68" t="s">
        <v>1444</v>
      </c>
      <c r="F177" s="69" t="s">
        <v>1443</v>
      </c>
      <c r="G177" s="70">
        <v>872</v>
      </c>
      <c r="H177" s="69">
        <v>2E-3</v>
      </c>
      <c r="I177" s="71">
        <f t="shared" si="14"/>
        <v>1.744</v>
      </c>
      <c r="J177" s="59"/>
      <c r="K177" s="61"/>
      <c r="L177" s="61"/>
      <c r="M177" s="61"/>
      <c r="N177" s="61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1"/>
      <c r="AB177" s="1"/>
      <c r="AC177" s="245"/>
      <c r="AD177" s="56"/>
      <c r="AF177" s="151"/>
      <c r="AG177" s="56"/>
      <c r="AH177" s="125"/>
      <c r="AI177" s="125"/>
      <c r="AJ177" s="146"/>
      <c r="AK177" s="125"/>
      <c r="AL177" s="127"/>
      <c r="AM177" s="125"/>
      <c r="AN177" s="125"/>
      <c r="AO177" s="128"/>
      <c r="AP177" s="125"/>
      <c r="AQ177" s="125"/>
      <c r="AR177" s="128"/>
      <c r="AS177" s="128"/>
      <c r="AT177" s="125"/>
      <c r="AU177" s="125"/>
      <c r="AV177" s="128"/>
      <c r="AW177" s="56"/>
    </row>
    <row r="178" spans="1:49" s="3" customFormat="1" ht="12.75" hidden="1" customHeight="1" x14ac:dyDescent="0.25">
      <c r="A178" s="1013"/>
      <c r="B178" s="79" t="s">
        <v>1181</v>
      </c>
      <c r="C178" s="222">
        <f>C173*C176+C174*C177</f>
        <v>114.12710832513658</v>
      </c>
      <c r="D178" s="220"/>
      <c r="E178" s="228"/>
      <c r="F178" s="166"/>
      <c r="G178" s="70"/>
      <c r="H178" s="69"/>
      <c r="I178" s="71"/>
      <c r="J178" s="59"/>
      <c r="K178" s="170"/>
      <c r="L178" s="76"/>
      <c r="M178" s="72"/>
      <c r="N178" s="61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1"/>
      <c r="AB178" s="1"/>
      <c r="AC178" s="245"/>
      <c r="AD178" s="56"/>
      <c r="AF178" s="151"/>
      <c r="AG178" s="56"/>
      <c r="AH178" s="125"/>
      <c r="AI178" s="125"/>
      <c r="AJ178" s="136"/>
      <c r="AK178" s="125"/>
      <c r="AL178" s="127"/>
      <c r="AM178" s="125"/>
      <c r="AN178" s="125"/>
      <c r="AO178" s="128"/>
      <c r="AP178" s="125"/>
      <c r="AQ178" s="125"/>
      <c r="AR178" s="128"/>
      <c r="AS178" s="128"/>
      <c r="AT178" s="125"/>
      <c r="AU178" s="125"/>
      <c r="AV178" s="128"/>
      <c r="AW178" s="56"/>
    </row>
    <row r="179" spans="1:49" s="3" customFormat="1" ht="13.5" hidden="1" customHeight="1" x14ac:dyDescent="0.25">
      <c r="A179" s="1014"/>
      <c r="B179" s="123"/>
      <c r="C179" s="225"/>
      <c r="D179" s="221"/>
      <c r="E179" s="228"/>
      <c r="F179" s="166"/>
      <c r="G179" s="70"/>
      <c r="H179" s="69"/>
      <c r="I179" s="71"/>
      <c r="J179" s="59"/>
      <c r="K179" s="170"/>
      <c r="L179" s="61"/>
      <c r="M179" s="72"/>
      <c r="N179" s="61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1"/>
      <c r="AB179" s="1"/>
      <c r="AC179" s="245"/>
      <c r="AD179" s="56"/>
      <c r="AF179" s="151"/>
      <c r="AG179" s="56"/>
      <c r="AH179" s="125"/>
      <c r="AI179" s="125"/>
      <c r="AJ179" s="146"/>
      <c r="AK179" s="125"/>
      <c r="AL179" s="127"/>
      <c r="AM179" s="125"/>
      <c r="AN179" s="125"/>
      <c r="AO179" s="128"/>
      <c r="AP179" s="125"/>
      <c r="AQ179" s="125"/>
      <c r="AR179" s="128"/>
      <c r="AS179" s="128"/>
      <c r="AT179" s="125"/>
      <c r="AU179" s="125"/>
      <c r="AV179" s="128"/>
      <c r="AW179" s="56"/>
    </row>
    <row r="180" spans="1:49" s="803" customFormat="1" ht="56.25" customHeight="1" x14ac:dyDescent="0.25">
      <c r="A180" s="1114" t="s">
        <v>1616</v>
      </c>
      <c r="B180" s="778" t="s">
        <v>725</v>
      </c>
      <c r="C180" s="799"/>
      <c r="D180" s="800"/>
      <c r="E180" s="801" t="s">
        <v>488</v>
      </c>
      <c r="F180" s="792" t="s">
        <v>837</v>
      </c>
      <c r="G180" s="778" t="s">
        <v>489</v>
      </c>
      <c r="H180" s="791" t="s">
        <v>1170</v>
      </c>
      <c r="I180" s="792" t="s">
        <v>838</v>
      </c>
      <c r="J180" s="793" t="s">
        <v>1171</v>
      </c>
      <c r="K180" s="793" t="s">
        <v>490</v>
      </c>
      <c r="L180" s="794" t="s">
        <v>489</v>
      </c>
      <c r="M180" s="793" t="s">
        <v>1172</v>
      </c>
      <c r="N180" s="792" t="s">
        <v>838</v>
      </c>
      <c r="O180" s="793" t="s">
        <v>1171</v>
      </c>
      <c r="P180" s="793" t="s">
        <v>826</v>
      </c>
      <c r="Q180" s="793" t="s">
        <v>1173</v>
      </c>
      <c r="R180" s="793" t="s">
        <v>1174</v>
      </c>
      <c r="S180" s="793" t="s">
        <v>839</v>
      </c>
      <c r="T180" s="793" t="s">
        <v>1171</v>
      </c>
      <c r="U180" s="793" t="s">
        <v>1392</v>
      </c>
      <c r="V180" s="793" t="s">
        <v>841</v>
      </c>
      <c r="W180" s="795" t="s">
        <v>1173</v>
      </c>
      <c r="X180" s="793" t="s">
        <v>1394</v>
      </c>
      <c r="Y180" s="793" t="s">
        <v>839</v>
      </c>
      <c r="Z180" s="796"/>
      <c r="AA180" s="755"/>
      <c r="AB180" s="755"/>
      <c r="AC180" s="773"/>
      <c r="AD180" s="802"/>
      <c r="AF180" s="804"/>
      <c r="AG180" s="802"/>
      <c r="AH180" s="805"/>
      <c r="AI180" s="805"/>
      <c r="AJ180" s="805"/>
      <c r="AK180" s="805"/>
      <c r="AL180" s="806"/>
      <c r="AM180" s="805"/>
      <c r="AN180" s="805"/>
      <c r="AO180" s="807"/>
      <c r="AP180" s="805"/>
      <c r="AQ180" s="808"/>
      <c r="AR180" s="808"/>
      <c r="AS180" s="808"/>
      <c r="AT180" s="805"/>
      <c r="AU180" s="805"/>
      <c r="AV180" s="807"/>
      <c r="AW180" s="802"/>
    </row>
    <row r="181" spans="1:49" s="803" customFormat="1" ht="12" customHeight="1" x14ac:dyDescent="0.25">
      <c r="A181" s="1115"/>
      <c r="B181" s="752" t="s">
        <v>1175</v>
      </c>
      <c r="C181" s="799">
        <f>C188</f>
        <v>133.48604126017125</v>
      </c>
      <c r="D181" s="800">
        <f>C181*$D$5</f>
        <v>26.964180334554595</v>
      </c>
      <c r="E181" s="809" t="s">
        <v>1176</v>
      </c>
      <c r="F181" s="810"/>
      <c r="G181" s="756"/>
      <c r="H181" s="756"/>
      <c r="I181" s="757">
        <f>SUM(I182:I189)</f>
        <v>83.8536</v>
      </c>
      <c r="J181" s="758" t="s">
        <v>1176</v>
      </c>
      <c r="K181" s="811"/>
      <c r="L181" s="759"/>
      <c r="M181" s="759"/>
      <c r="N181" s="760">
        <f>SUM(N182:N189)</f>
        <v>0.49353301565690938</v>
      </c>
      <c r="O181" s="759" t="s">
        <v>1176</v>
      </c>
      <c r="P181" s="759"/>
      <c r="Q181" s="812"/>
      <c r="R181" s="813"/>
      <c r="S181" s="760">
        <f>SUM(S182:S189)</f>
        <v>0.35954794140634844</v>
      </c>
      <c r="T181" s="760"/>
      <c r="U181" s="760"/>
      <c r="V181" s="760"/>
      <c r="W181" s="760"/>
      <c r="X181" s="760"/>
      <c r="Y181" s="760">
        <f>SUM(Y182:Y189)</f>
        <v>23.266383874139621</v>
      </c>
      <c r="Z181" s="762">
        <f>(C181+D181+I181+N181+S181+Y181)*$Z$5</f>
        <v>349.00065347052077</v>
      </c>
      <c r="AA181" s="763">
        <f>C181+D181+I181+N181+S181+Y181+Z181</f>
        <v>617.4239398964495</v>
      </c>
      <c r="AB181" s="764">
        <v>0.25</v>
      </c>
      <c r="AC181" s="765">
        <f>AA181*(1+AB181)</f>
        <v>771.7799248705619</v>
      </c>
      <c r="AD181" s="814"/>
      <c r="AF181" s="804"/>
      <c r="AG181" s="802"/>
      <c r="AH181" s="805"/>
      <c r="AI181" s="808"/>
      <c r="AJ181" s="815"/>
      <c r="AK181" s="816"/>
      <c r="AL181" s="806"/>
      <c r="AM181" s="817"/>
      <c r="AN181" s="818"/>
      <c r="AO181" s="817"/>
      <c r="AP181" s="808"/>
      <c r="AQ181" s="808"/>
      <c r="AR181" s="808"/>
      <c r="AS181" s="808"/>
      <c r="AT181" s="808"/>
      <c r="AU181" s="817"/>
      <c r="AV181" s="817"/>
      <c r="AW181" s="819"/>
    </row>
    <row r="182" spans="1:49" s="803" customFormat="1" ht="12.75" customHeight="1" x14ac:dyDescent="0.25">
      <c r="A182" s="1115"/>
      <c r="B182" s="766" t="s">
        <v>830</v>
      </c>
      <c r="C182" s="799"/>
      <c r="D182" s="820"/>
      <c r="E182" s="767" t="s">
        <v>1437</v>
      </c>
      <c r="F182" s="768" t="s">
        <v>1438</v>
      </c>
      <c r="G182" s="769">
        <v>0.74</v>
      </c>
      <c r="H182" s="768">
        <v>0.01</v>
      </c>
      <c r="I182" s="770">
        <f t="shared" ref="I182:I187" si="15">G182*H182</f>
        <v>7.4000000000000003E-3</v>
      </c>
      <c r="J182" s="758" t="s">
        <v>1291</v>
      </c>
      <c r="K182" s="771">
        <v>2</v>
      </c>
      <c r="L182" s="772">
        <v>750</v>
      </c>
      <c r="M182" s="771">
        <v>2</v>
      </c>
      <c r="N182" s="760">
        <f>L182/'Исп. коэффициенты'!E31*(C186+C187)</f>
        <v>0.42545949625595636</v>
      </c>
      <c r="O182" s="759" t="s">
        <v>2200</v>
      </c>
      <c r="P182" s="759">
        <v>7250</v>
      </c>
      <c r="Q182" s="759">
        <v>19.670000000000002</v>
      </c>
      <c r="R182" s="759">
        <f>P182*Q182%</f>
        <v>1426.075</v>
      </c>
      <c r="S182" s="759">
        <f>R182/'Исп. коэффициенты'!E31*C186</f>
        <v>0.35954794140634844</v>
      </c>
      <c r="T182" s="755" t="s">
        <v>1435</v>
      </c>
      <c r="U182" s="756">
        <v>6785401.3499999996</v>
      </c>
      <c r="V182" s="785">
        <f>'Исп. коэффициенты'!E124</f>
        <v>2978.5</v>
      </c>
      <c r="W182" s="761">
        <f>'Исп. коэффициенты'!D124</f>
        <v>1.3599999999999999E-2</v>
      </c>
      <c r="X182" s="760">
        <f>U182*W182</f>
        <v>92281.45835999999</v>
      </c>
      <c r="Y182" s="759">
        <f>X182/'Исп. коэффициенты'!E31*C186</f>
        <v>23.266383874139621</v>
      </c>
      <c r="Z182" s="759"/>
      <c r="AA182" s="755"/>
      <c r="AB182" s="755"/>
      <c r="AC182" s="773"/>
      <c r="AD182" s="802"/>
      <c r="AF182" s="821"/>
      <c r="AG182" s="802"/>
      <c r="AH182" s="805"/>
      <c r="AI182" s="805"/>
      <c r="AJ182" s="822"/>
      <c r="AK182" s="805"/>
      <c r="AL182" s="806"/>
      <c r="AM182" s="805"/>
      <c r="AN182" s="805"/>
      <c r="AO182" s="807"/>
      <c r="AP182" s="805"/>
      <c r="AQ182" s="805"/>
      <c r="AR182" s="807"/>
      <c r="AS182" s="807"/>
      <c r="AT182" s="805"/>
      <c r="AU182" s="805"/>
      <c r="AV182" s="807"/>
      <c r="AW182" s="802"/>
    </row>
    <row r="183" spans="1:49" s="803" customFormat="1" x14ac:dyDescent="0.25">
      <c r="A183" s="1115"/>
      <c r="B183" s="774" t="s">
        <v>1178</v>
      </c>
      <c r="C183" s="823">
        <f>C173</f>
        <v>38.717865870069311</v>
      </c>
      <c r="D183" s="820"/>
      <c r="E183" s="767" t="s">
        <v>1439</v>
      </c>
      <c r="F183" s="768" t="s">
        <v>1438</v>
      </c>
      <c r="G183" s="769">
        <v>0.27</v>
      </c>
      <c r="H183" s="768">
        <v>0.01</v>
      </c>
      <c r="I183" s="775">
        <f t="shared" si="15"/>
        <v>2.7000000000000001E-3</v>
      </c>
      <c r="J183" s="758" t="s">
        <v>1445</v>
      </c>
      <c r="K183" s="760">
        <v>2</v>
      </c>
      <c r="L183" s="776">
        <v>95</v>
      </c>
      <c r="M183" s="771">
        <v>2</v>
      </c>
      <c r="N183" s="760">
        <f>L183/'Исп. коэффициенты'!E31*(C186+C187)</f>
        <v>5.3891536192421138E-2</v>
      </c>
      <c r="O183" s="759"/>
      <c r="P183" s="759"/>
      <c r="Q183" s="759"/>
      <c r="R183" s="759"/>
      <c r="S183" s="759"/>
      <c r="T183" s="759"/>
      <c r="U183" s="759"/>
      <c r="V183" s="759"/>
      <c r="W183" s="759"/>
      <c r="X183" s="759"/>
      <c r="Y183" s="759"/>
      <c r="Z183" s="759"/>
      <c r="AA183" s="755"/>
      <c r="AB183" s="755"/>
      <c r="AC183" s="773"/>
      <c r="AD183" s="802"/>
      <c r="AF183" s="821"/>
      <c r="AG183" s="802"/>
      <c r="AH183" s="805"/>
      <c r="AI183" s="805"/>
      <c r="AJ183" s="822"/>
      <c r="AK183" s="805"/>
      <c r="AL183" s="806"/>
      <c r="AM183" s="824"/>
      <c r="AN183" s="805"/>
      <c r="AO183" s="807"/>
      <c r="AP183" s="805"/>
      <c r="AQ183" s="805"/>
      <c r="AR183" s="807"/>
      <c r="AS183" s="807"/>
      <c r="AT183" s="805"/>
      <c r="AU183" s="805"/>
      <c r="AV183" s="807"/>
      <c r="AW183" s="802"/>
    </row>
    <row r="184" spans="1:49" s="803" customFormat="1" ht="12.75" customHeight="1" x14ac:dyDescent="0.25">
      <c r="A184" s="1115"/>
      <c r="B184" s="754" t="s">
        <v>1179</v>
      </c>
      <c r="C184" s="799">
        <f>C174</f>
        <v>22.420123808013045</v>
      </c>
      <c r="D184" s="820"/>
      <c r="E184" s="767" t="s">
        <v>1598</v>
      </c>
      <c r="F184" s="768" t="s">
        <v>1441</v>
      </c>
      <c r="G184" s="769">
        <v>4.4000000000000004</v>
      </c>
      <c r="H184" s="769">
        <v>1</v>
      </c>
      <c r="I184" s="770">
        <f t="shared" si="15"/>
        <v>4.4000000000000004</v>
      </c>
      <c r="J184" s="758" t="s">
        <v>1513</v>
      </c>
      <c r="K184" s="760">
        <v>2</v>
      </c>
      <c r="L184" s="760">
        <v>25</v>
      </c>
      <c r="M184" s="771">
        <v>0.5</v>
      </c>
      <c r="N184" s="760">
        <f>L184/'Исп. коэффициенты'!E31*(C186+C187)</f>
        <v>1.418198320853188E-2</v>
      </c>
      <c r="O184" s="759"/>
      <c r="P184" s="759"/>
      <c r="Q184" s="759"/>
      <c r="R184" s="759"/>
      <c r="S184" s="759"/>
      <c r="T184" s="759"/>
      <c r="U184" s="759"/>
      <c r="V184" s="759"/>
      <c r="W184" s="759"/>
      <c r="X184" s="759"/>
      <c r="Y184" s="759"/>
      <c r="Z184" s="759"/>
      <c r="AA184" s="755"/>
      <c r="AB184" s="755"/>
      <c r="AC184" s="773"/>
      <c r="AD184" s="802"/>
      <c r="AF184" s="821"/>
      <c r="AG184" s="802"/>
      <c r="AH184" s="805"/>
      <c r="AI184" s="805"/>
      <c r="AJ184" s="822"/>
      <c r="AK184" s="805"/>
      <c r="AL184" s="806"/>
      <c r="AM184" s="805"/>
      <c r="AN184" s="805"/>
      <c r="AO184" s="807"/>
      <c r="AP184" s="805"/>
      <c r="AQ184" s="805"/>
      <c r="AR184" s="807"/>
      <c r="AS184" s="807"/>
      <c r="AT184" s="805"/>
      <c r="AU184" s="805"/>
      <c r="AV184" s="807"/>
      <c r="AW184" s="802"/>
    </row>
    <row r="185" spans="1:49" s="803" customFormat="1" ht="12.75" customHeight="1" x14ac:dyDescent="0.25">
      <c r="A185" s="1115"/>
      <c r="B185" s="754" t="s">
        <v>831</v>
      </c>
      <c r="C185" s="825"/>
      <c r="D185" s="820"/>
      <c r="E185" s="767" t="s">
        <v>1599</v>
      </c>
      <c r="F185" s="768" t="s">
        <v>1441</v>
      </c>
      <c r="G185" s="769">
        <v>77.28</v>
      </c>
      <c r="H185" s="768">
        <v>1</v>
      </c>
      <c r="I185" s="770">
        <f t="shared" si="15"/>
        <v>77.28</v>
      </c>
      <c r="J185" s="758"/>
      <c r="K185" s="760"/>
      <c r="L185" s="760"/>
      <c r="M185" s="760"/>
      <c r="N185" s="760"/>
      <c r="O185" s="759"/>
      <c r="P185" s="759"/>
      <c r="Q185" s="759"/>
      <c r="R185" s="759"/>
      <c r="S185" s="759"/>
      <c r="T185" s="759"/>
      <c r="U185" s="759"/>
      <c r="V185" s="759"/>
      <c r="W185" s="759"/>
      <c r="X185" s="759"/>
      <c r="Y185" s="759"/>
      <c r="Z185" s="759"/>
      <c r="AA185" s="755"/>
      <c r="AB185" s="755"/>
      <c r="AC185" s="773"/>
      <c r="AD185" s="802"/>
      <c r="AF185" s="821"/>
      <c r="AG185" s="802"/>
      <c r="AH185" s="805"/>
      <c r="AI185" s="805"/>
      <c r="AJ185" s="822"/>
      <c r="AK185" s="805"/>
      <c r="AL185" s="806"/>
      <c r="AM185" s="805"/>
      <c r="AN185" s="805"/>
      <c r="AO185" s="807"/>
      <c r="AP185" s="805"/>
      <c r="AQ185" s="805"/>
      <c r="AR185" s="807"/>
      <c r="AS185" s="807"/>
      <c r="AT185" s="805"/>
      <c r="AU185" s="805"/>
      <c r="AV185" s="807"/>
      <c r="AW185" s="802"/>
    </row>
    <row r="186" spans="1:49" s="803" customFormat="1" ht="12.75" customHeight="1" x14ac:dyDescent="0.25">
      <c r="A186" s="1115"/>
      <c r="B186" s="774" t="s">
        <v>1178</v>
      </c>
      <c r="C186" s="826">
        <v>2</v>
      </c>
      <c r="D186" s="820"/>
      <c r="E186" s="767" t="s">
        <v>1442</v>
      </c>
      <c r="F186" s="768" t="s">
        <v>1443</v>
      </c>
      <c r="G186" s="769">
        <v>419.5</v>
      </c>
      <c r="H186" s="768">
        <v>1E-3</v>
      </c>
      <c r="I186" s="770">
        <f t="shared" si="15"/>
        <v>0.41949999999999998</v>
      </c>
      <c r="J186" s="758"/>
      <c r="K186" s="760"/>
      <c r="L186" s="760"/>
      <c r="M186" s="760"/>
      <c r="N186" s="760"/>
      <c r="O186" s="759"/>
      <c r="P186" s="759"/>
      <c r="Q186" s="759"/>
      <c r="R186" s="759"/>
      <c r="S186" s="759"/>
      <c r="T186" s="759"/>
      <c r="U186" s="759"/>
      <c r="V186" s="759"/>
      <c r="W186" s="759"/>
      <c r="X186" s="759"/>
      <c r="Y186" s="759"/>
      <c r="Z186" s="759"/>
      <c r="AA186" s="755"/>
      <c r="AB186" s="755"/>
      <c r="AC186" s="773"/>
      <c r="AD186" s="802"/>
      <c r="AF186" s="821"/>
      <c r="AG186" s="802"/>
      <c r="AH186" s="805"/>
      <c r="AI186" s="805"/>
      <c r="AJ186" s="827"/>
      <c r="AK186" s="805"/>
      <c r="AL186" s="806"/>
      <c r="AM186" s="805"/>
      <c r="AN186" s="805"/>
      <c r="AO186" s="807"/>
      <c r="AP186" s="805"/>
      <c r="AQ186" s="805"/>
      <c r="AR186" s="807"/>
      <c r="AS186" s="807"/>
      <c r="AT186" s="805"/>
      <c r="AU186" s="805"/>
      <c r="AV186" s="807"/>
      <c r="AW186" s="802"/>
    </row>
    <row r="187" spans="1:49" s="803" customFormat="1" ht="12.75" customHeight="1" x14ac:dyDescent="0.25">
      <c r="A187" s="1115"/>
      <c r="B187" s="754" t="s">
        <v>1179</v>
      </c>
      <c r="C187" s="826">
        <v>2.5</v>
      </c>
      <c r="D187" s="820"/>
      <c r="E187" s="767" t="s">
        <v>1444</v>
      </c>
      <c r="F187" s="768" t="s">
        <v>1443</v>
      </c>
      <c r="G187" s="769">
        <v>872</v>
      </c>
      <c r="H187" s="768">
        <v>2E-3</v>
      </c>
      <c r="I187" s="770">
        <f t="shared" si="15"/>
        <v>1.744</v>
      </c>
      <c r="J187" s="758"/>
      <c r="K187" s="760"/>
      <c r="L187" s="760"/>
      <c r="M187" s="760"/>
      <c r="N187" s="760"/>
      <c r="O187" s="759"/>
      <c r="P187" s="759"/>
      <c r="Q187" s="759"/>
      <c r="R187" s="759"/>
      <c r="S187" s="759"/>
      <c r="T187" s="759"/>
      <c r="U187" s="759"/>
      <c r="V187" s="759"/>
      <c r="W187" s="759"/>
      <c r="X187" s="759"/>
      <c r="Y187" s="759"/>
      <c r="Z187" s="759"/>
      <c r="AA187" s="755"/>
      <c r="AB187" s="755"/>
      <c r="AC187" s="773"/>
      <c r="AD187" s="802"/>
      <c r="AF187" s="821"/>
      <c r="AG187" s="802"/>
      <c r="AH187" s="805"/>
      <c r="AI187" s="805"/>
      <c r="AJ187" s="827"/>
      <c r="AK187" s="805"/>
      <c r="AL187" s="806"/>
      <c r="AM187" s="805"/>
      <c r="AN187" s="805"/>
      <c r="AO187" s="807"/>
      <c r="AP187" s="805"/>
      <c r="AQ187" s="805"/>
      <c r="AR187" s="807"/>
      <c r="AS187" s="807"/>
      <c r="AT187" s="805"/>
      <c r="AU187" s="805"/>
      <c r="AV187" s="807"/>
      <c r="AW187" s="802"/>
    </row>
    <row r="188" spans="1:49" s="803" customFormat="1" ht="12.75" customHeight="1" x14ac:dyDescent="0.25">
      <c r="A188" s="1115"/>
      <c r="B188" s="782" t="s">
        <v>1181</v>
      </c>
      <c r="C188" s="799">
        <f>C183*C186+C184*C187</f>
        <v>133.48604126017125</v>
      </c>
      <c r="D188" s="820"/>
      <c r="E188" s="780"/>
      <c r="F188" s="781"/>
      <c r="G188" s="769"/>
      <c r="H188" s="768"/>
      <c r="I188" s="770"/>
      <c r="J188" s="758"/>
      <c r="K188" s="828"/>
      <c r="L188" s="776"/>
      <c r="M188" s="771"/>
      <c r="N188" s="760"/>
      <c r="O188" s="759"/>
      <c r="P188" s="759"/>
      <c r="Q188" s="759"/>
      <c r="R188" s="759"/>
      <c r="S188" s="759"/>
      <c r="T188" s="759"/>
      <c r="U188" s="759"/>
      <c r="V188" s="759"/>
      <c r="W188" s="759"/>
      <c r="X188" s="759"/>
      <c r="Y188" s="759"/>
      <c r="Z188" s="759"/>
      <c r="AA188" s="755"/>
      <c r="AB188" s="755"/>
      <c r="AC188" s="773"/>
      <c r="AD188" s="802"/>
      <c r="AF188" s="821"/>
      <c r="AG188" s="802"/>
      <c r="AH188" s="805"/>
      <c r="AI188" s="805"/>
      <c r="AJ188" s="822"/>
      <c r="AK188" s="805"/>
      <c r="AL188" s="806"/>
      <c r="AM188" s="805"/>
      <c r="AN188" s="805"/>
      <c r="AO188" s="807"/>
      <c r="AP188" s="805"/>
      <c r="AQ188" s="805"/>
      <c r="AR188" s="807"/>
      <c r="AS188" s="807"/>
      <c r="AT188" s="805"/>
      <c r="AU188" s="805"/>
      <c r="AV188" s="807"/>
      <c r="AW188" s="802"/>
    </row>
    <row r="189" spans="1:49" s="803" customFormat="1" ht="13.5" customHeight="1" x14ac:dyDescent="0.25">
      <c r="A189" s="1116"/>
      <c r="B189" s="783"/>
      <c r="C189" s="826"/>
      <c r="D189" s="829"/>
      <c r="E189" s="780"/>
      <c r="F189" s="781"/>
      <c r="G189" s="769"/>
      <c r="H189" s="768"/>
      <c r="I189" s="770"/>
      <c r="J189" s="758"/>
      <c r="K189" s="828"/>
      <c r="L189" s="760"/>
      <c r="M189" s="771"/>
      <c r="N189" s="760"/>
      <c r="O189" s="759"/>
      <c r="P189" s="759"/>
      <c r="Q189" s="759"/>
      <c r="R189" s="759"/>
      <c r="S189" s="759"/>
      <c r="T189" s="759"/>
      <c r="U189" s="759"/>
      <c r="V189" s="759"/>
      <c r="W189" s="759"/>
      <c r="X189" s="759"/>
      <c r="Y189" s="759"/>
      <c r="Z189" s="759"/>
      <c r="AA189" s="755"/>
      <c r="AB189" s="755"/>
      <c r="AC189" s="773"/>
      <c r="AD189" s="802"/>
      <c r="AF189" s="821"/>
      <c r="AG189" s="802"/>
      <c r="AH189" s="805"/>
      <c r="AI189" s="805"/>
      <c r="AJ189" s="827"/>
      <c r="AK189" s="805"/>
      <c r="AL189" s="806"/>
      <c r="AM189" s="805"/>
      <c r="AN189" s="805"/>
      <c r="AO189" s="807"/>
      <c r="AP189" s="805"/>
      <c r="AQ189" s="805"/>
      <c r="AR189" s="807"/>
      <c r="AS189" s="807"/>
      <c r="AT189" s="805"/>
      <c r="AU189" s="805"/>
      <c r="AV189" s="807"/>
      <c r="AW189" s="802"/>
    </row>
    <row r="190" spans="1:49" s="3" customFormat="1" ht="56.25" hidden="1" customHeight="1" x14ac:dyDescent="0.25">
      <c r="A190" s="1012" t="s">
        <v>1617</v>
      </c>
      <c r="B190" s="258" t="s">
        <v>726</v>
      </c>
      <c r="C190" s="222"/>
      <c r="D190" s="219"/>
      <c r="E190" s="226" t="s">
        <v>488</v>
      </c>
      <c r="F190" s="53" t="s">
        <v>837</v>
      </c>
      <c r="G190" s="51" t="s">
        <v>489</v>
      </c>
      <c r="H190" s="52" t="s">
        <v>1170</v>
      </c>
      <c r="I190" s="53" t="s">
        <v>838</v>
      </c>
      <c r="J190" s="47" t="s">
        <v>1171</v>
      </c>
      <c r="K190" s="47" t="s">
        <v>490</v>
      </c>
      <c r="L190" s="54" t="s">
        <v>489</v>
      </c>
      <c r="M190" s="47" t="s">
        <v>1172</v>
      </c>
      <c r="N190" s="53" t="s">
        <v>838</v>
      </c>
      <c r="O190" s="47" t="s">
        <v>1171</v>
      </c>
      <c r="P190" s="47" t="s">
        <v>826</v>
      </c>
      <c r="Q190" s="47" t="s">
        <v>1173</v>
      </c>
      <c r="R190" s="47" t="s">
        <v>1174</v>
      </c>
      <c r="S190" s="47" t="s">
        <v>839</v>
      </c>
      <c r="T190" s="47" t="s">
        <v>1171</v>
      </c>
      <c r="U190" s="47" t="s">
        <v>1392</v>
      </c>
      <c r="V190" s="47" t="s">
        <v>841</v>
      </c>
      <c r="W190" s="231" t="s">
        <v>1173</v>
      </c>
      <c r="X190" s="47" t="s">
        <v>1394</v>
      </c>
      <c r="Y190" s="47" t="s">
        <v>839</v>
      </c>
      <c r="Z190" s="55"/>
      <c r="AA190" s="1"/>
      <c r="AB190" s="1"/>
      <c r="AC190" s="245"/>
      <c r="AD190" s="56"/>
      <c r="AF190" s="81"/>
      <c r="AG190" s="56"/>
      <c r="AH190" s="125"/>
      <c r="AI190" s="125"/>
      <c r="AJ190" s="125"/>
      <c r="AK190" s="125"/>
      <c r="AL190" s="127"/>
      <c r="AM190" s="125"/>
      <c r="AN190" s="125"/>
      <c r="AO190" s="128"/>
      <c r="AP190" s="125"/>
      <c r="AQ190" s="139"/>
      <c r="AR190" s="139"/>
      <c r="AS190" s="139"/>
      <c r="AT190" s="125"/>
      <c r="AU190" s="125"/>
      <c r="AV190" s="128"/>
      <c r="AW190" s="56"/>
    </row>
    <row r="191" spans="1:49" s="3" customFormat="1" ht="12" hidden="1" customHeight="1" x14ac:dyDescent="0.25">
      <c r="A191" s="1013"/>
      <c r="B191" s="36" t="s">
        <v>1175</v>
      </c>
      <c r="C191" s="222">
        <f>C198</f>
        <v>72.348051582088885</v>
      </c>
      <c r="D191" s="219">
        <f>C191*$D$5</f>
        <v>14.614306419581956</v>
      </c>
      <c r="E191" s="227" t="s">
        <v>1176</v>
      </c>
      <c r="F191" s="165"/>
      <c r="G191" s="58"/>
      <c r="H191" s="58"/>
      <c r="I191" s="2">
        <f>SUM(I192:I199)</f>
        <v>83.8536</v>
      </c>
      <c r="J191" s="59" t="s">
        <v>1176</v>
      </c>
      <c r="K191" s="169"/>
      <c r="L191" s="60"/>
      <c r="M191" s="60"/>
      <c r="N191" s="61">
        <f>SUM(N192:N199)</f>
        <v>8.4000000000000005E-2</v>
      </c>
      <c r="O191" s="60" t="s">
        <v>1176</v>
      </c>
      <c r="P191" s="60"/>
      <c r="Q191" s="62"/>
      <c r="R191" s="63"/>
      <c r="S191" s="61">
        <f>SUM(S192:S199)</f>
        <v>9.7215000000000007</v>
      </c>
      <c r="T191" s="61"/>
      <c r="U191" s="61"/>
      <c r="V191" s="61"/>
      <c r="W191" s="61"/>
      <c r="X191" s="61"/>
      <c r="Y191" s="61">
        <f>SUM(Y192:Y199)</f>
        <v>9.1999999999999998E-3</v>
      </c>
      <c r="Z191" s="64">
        <f>(C191+D191+I191+N191+S191+Y191)*$Z$5</f>
        <v>234.85375847519541</v>
      </c>
      <c r="AA191" s="65">
        <f>C191+D191+I191+N191+S191+Y191+Z191</f>
        <v>415.48441647686622</v>
      </c>
      <c r="AB191" s="66">
        <v>0.25</v>
      </c>
      <c r="AC191" s="244">
        <f>AA191*(1+AB191)</f>
        <v>519.35552059608278</v>
      </c>
      <c r="AD191" s="67"/>
      <c r="AF191" s="81"/>
      <c r="AG191" s="56"/>
      <c r="AH191" s="125"/>
      <c r="AI191" s="139"/>
      <c r="AJ191" s="140"/>
      <c r="AK191" s="141"/>
      <c r="AL191" s="127"/>
      <c r="AM191" s="142"/>
      <c r="AN191" s="143"/>
      <c r="AO191" s="142"/>
      <c r="AP191" s="139"/>
      <c r="AQ191" s="139"/>
      <c r="AR191" s="139"/>
      <c r="AS191" s="139"/>
      <c r="AT191" s="139"/>
      <c r="AU191" s="142"/>
      <c r="AV191" s="142"/>
      <c r="AW191" s="144"/>
    </row>
    <row r="192" spans="1:49" s="3" customFormat="1" ht="12.75" hidden="1" customHeight="1" x14ac:dyDescent="0.25">
      <c r="A192" s="1013"/>
      <c r="B192" s="50" t="s">
        <v>830</v>
      </c>
      <c r="C192" s="222"/>
      <c r="D192" s="220"/>
      <c r="E192" s="68" t="s">
        <v>1437</v>
      </c>
      <c r="F192" s="69" t="s">
        <v>1438</v>
      </c>
      <c r="G192" s="70">
        <v>0.74</v>
      </c>
      <c r="H192" s="69">
        <v>0.01</v>
      </c>
      <c r="I192" s="71">
        <f t="shared" ref="I192:I197" si="16">G192*H192</f>
        <v>7.4000000000000003E-3</v>
      </c>
      <c r="J192" s="59" t="s">
        <v>1291</v>
      </c>
      <c r="K192" s="61">
        <v>2</v>
      </c>
      <c r="L192" s="61">
        <v>640</v>
      </c>
      <c r="M192" s="61">
        <v>2</v>
      </c>
      <c r="N192" s="61">
        <v>0.05</v>
      </c>
      <c r="O192" s="60" t="s">
        <v>1239</v>
      </c>
      <c r="P192" s="60">
        <v>61189.5</v>
      </c>
      <c r="Q192" s="60">
        <v>19.670000000000002</v>
      </c>
      <c r="R192" s="60">
        <v>6513.87</v>
      </c>
      <c r="S192" s="60">
        <v>9.7215000000000007</v>
      </c>
      <c r="T192" s="239" t="s">
        <v>1435</v>
      </c>
      <c r="U192" s="240">
        <v>6785401.3499999996</v>
      </c>
      <c r="V192" s="241">
        <v>1.32E-2</v>
      </c>
      <c r="W192" s="239">
        <v>1508.3</v>
      </c>
      <c r="X192" s="61">
        <v>59.38</v>
      </c>
      <c r="Y192" s="60">
        <v>9.1999999999999998E-3</v>
      </c>
      <c r="Z192" s="60"/>
      <c r="AA192" s="1"/>
      <c r="AB192" s="1"/>
      <c r="AC192" s="245"/>
      <c r="AD192" s="56"/>
      <c r="AF192" s="151"/>
      <c r="AG192" s="56"/>
      <c r="AH192" s="125"/>
      <c r="AI192" s="125"/>
      <c r="AJ192" s="136"/>
      <c r="AK192" s="125"/>
      <c r="AL192" s="127"/>
      <c r="AM192" s="125"/>
      <c r="AN192" s="125"/>
      <c r="AO192" s="128"/>
      <c r="AP192" s="125"/>
      <c r="AQ192" s="125"/>
      <c r="AR192" s="128"/>
      <c r="AS192" s="128"/>
      <c r="AT192" s="125"/>
      <c r="AU192" s="125"/>
      <c r="AV192" s="128"/>
      <c r="AW192" s="56"/>
    </row>
    <row r="193" spans="1:49" s="3" customFormat="1" hidden="1" x14ac:dyDescent="0.25">
      <c r="A193" s="1013"/>
      <c r="B193" s="74" t="s">
        <v>1178</v>
      </c>
      <c r="C193" s="223">
        <f>C183</f>
        <v>38.717865870069311</v>
      </c>
      <c r="D193" s="220"/>
      <c r="E193" s="68" t="s">
        <v>1439</v>
      </c>
      <c r="F193" s="69" t="s">
        <v>1438</v>
      </c>
      <c r="G193" s="70">
        <v>0.27</v>
      </c>
      <c r="H193" s="69">
        <v>0.01</v>
      </c>
      <c r="I193" s="242">
        <f t="shared" si="16"/>
        <v>2.7000000000000001E-3</v>
      </c>
      <c r="J193" s="59" t="s">
        <v>1445</v>
      </c>
      <c r="K193" s="61">
        <v>2</v>
      </c>
      <c r="L193" s="61">
        <v>84</v>
      </c>
      <c r="M193" s="61">
        <v>2</v>
      </c>
      <c r="N193" s="61">
        <v>8.9999999999999993E-3</v>
      </c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1"/>
      <c r="AB193" s="1"/>
      <c r="AC193" s="245"/>
      <c r="AD193" s="56"/>
      <c r="AF193" s="151"/>
      <c r="AG193" s="56"/>
      <c r="AH193" s="125"/>
      <c r="AI193" s="125"/>
      <c r="AJ193" s="136"/>
      <c r="AK193" s="125"/>
      <c r="AL193" s="127"/>
      <c r="AM193" s="145"/>
      <c r="AN193" s="125"/>
      <c r="AO193" s="128"/>
      <c r="AP193" s="125"/>
      <c r="AQ193" s="125"/>
      <c r="AR193" s="128"/>
      <c r="AS193" s="128"/>
      <c r="AT193" s="125"/>
      <c r="AU193" s="125"/>
      <c r="AV193" s="128"/>
      <c r="AW193" s="56"/>
    </row>
    <row r="194" spans="1:49" s="3" customFormat="1" ht="12.75" hidden="1" customHeight="1" x14ac:dyDescent="0.25">
      <c r="A194" s="1013"/>
      <c r="B194" s="57" t="s">
        <v>1179</v>
      </c>
      <c r="C194" s="222">
        <f>C184</f>
        <v>22.420123808013045</v>
      </c>
      <c r="D194" s="220"/>
      <c r="E194" s="68" t="s">
        <v>1598</v>
      </c>
      <c r="F194" s="69" t="s">
        <v>1441</v>
      </c>
      <c r="G194" s="70">
        <v>4.4000000000000004</v>
      </c>
      <c r="H194" s="70">
        <v>1</v>
      </c>
      <c r="I194" s="71">
        <f t="shared" si="16"/>
        <v>4.4000000000000004</v>
      </c>
      <c r="J194" s="59" t="s">
        <v>1513</v>
      </c>
      <c r="K194" s="61">
        <v>2</v>
      </c>
      <c r="L194" s="61">
        <v>25</v>
      </c>
      <c r="M194" s="61">
        <v>0.5</v>
      </c>
      <c r="N194" s="61">
        <v>2.5000000000000001E-2</v>
      </c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1"/>
      <c r="AB194" s="1"/>
      <c r="AC194" s="245"/>
      <c r="AD194" s="56"/>
      <c r="AF194" s="151"/>
      <c r="AG194" s="56"/>
      <c r="AH194" s="125"/>
      <c r="AI194" s="125"/>
      <c r="AJ194" s="136"/>
      <c r="AK194" s="125"/>
      <c r="AL194" s="127"/>
      <c r="AM194" s="125"/>
      <c r="AN194" s="125"/>
      <c r="AO194" s="128"/>
      <c r="AP194" s="125"/>
      <c r="AQ194" s="125"/>
      <c r="AR194" s="128"/>
      <c r="AS194" s="128"/>
      <c r="AT194" s="125"/>
      <c r="AU194" s="125"/>
      <c r="AV194" s="128"/>
      <c r="AW194" s="56"/>
    </row>
    <row r="195" spans="1:49" s="3" customFormat="1" ht="12.75" hidden="1" customHeight="1" x14ac:dyDescent="0.25">
      <c r="A195" s="1013"/>
      <c r="B195" s="57" t="s">
        <v>831</v>
      </c>
      <c r="C195" s="224"/>
      <c r="D195" s="220"/>
      <c r="E195" s="68" t="s">
        <v>1599</v>
      </c>
      <c r="F195" s="69" t="s">
        <v>1441</v>
      </c>
      <c r="G195" s="70">
        <v>77.28</v>
      </c>
      <c r="H195" s="69">
        <v>1</v>
      </c>
      <c r="I195" s="71">
        <f t="shared" si="16"/>
        <v>77.28</v>
      </c>
      <c r="J195" s="59"/>
      <c r="K195" s="61"/>
      <c r="L195" s="61"/>
      <c r="M195" s="61"/>
      <c r="N195" s="61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1"/>
      <c r="AB195" s="1"/>
      <c r="AC195" s="245"/>
      <c r="AD195" s="56"/>
      <c r="AF195" s="151"/>
      <c r="AG195" s="56"/>
      <c r="AH195" s="125"/>
      <c r="AI195" s="125"/>
      <c r="AJ195" s="136"/>
      <c r="AK195" s="125"/>
      <c r="AL195" s="127"/>
      <c r="AM195" s="125"/>
      <c r="AN195" s="125"/>
      <c r="AO195" s="128"/>
      <c r="AP195" s="125"/>
      <c r="AQ195" s="125"/>
      <c r="AR195" s="128"/>
      <c r="AS195" s="128"/>
      <c r="AT195" s="125"/>
      <c r="AU195" s="125"/>
      <c r="AV195" s="128"/>
      <c r="AW195" s="56"/>
    </row>
    <row r="196" spans="1:49" s="3" customFormat="1" ht="12.75" hidden="1" customHeight="1" x14ac:dyDescent="0.25">
      <c r="A196" s="1013"/>
      <c r="B196" s="74" t="s">
        <v>1178</v>
      </c>
      <c r="C196" s="225">
        <v>1</v>
      </c>
      <c r="D196" s="220"/>
      <c r="E196" s="68" t="s">
        <v>1442</v>
      </c>
      <c r="F196" s="69" t="s">
        <v>1443</v>
      </c>
      <c r="G196" s="70">
        <v>419.5</v>
      </c>
      <c r="H196" s="69">
        <v>1E-3</v>
      </c>
      <c r="I196" s="71">
        <f t="shared" si="16"/>
        <v>0.41949999999999998</v>
      </c>
      <c r="J196" s="59"/>
      <c r="K196" s="61"/>
      <c r="L196" s="61"/>
      <c r="M196" s="61"/>
      <c r="N196" s="61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1"/>
      <c r="AB196" s="1"/>
      <c r="AC196" s="245"/>
      <c r="AD196" s="56"/>
      <c r="AF196" s="151"/>
      <c r="AG196" s="56"/>
      <c r="AH196" s="125"/>
      <c r="AI196" s="125"/>
      <c r="AJ196" s="146"/>
      <c r="AK196" s="125"/>
      <c r="AL196" s="127"/>
      <c r="AM196" s="125"/>
      <c r="AN196" s="125"/>
      <c r="AO196" s="128"/>
      <c r="AP196" s="125"/>
      <c r="AQ196" s="125"/>
      <c r="AR196" s="128"/>
      <c r="AS196" s="128"/>
      <c r="AT196" s="125"/>
      <c r="AU196" s="125"/>
      <c r="AV196" s="128"/>
      <c r="AW196" s="56"/>
    </row>
    <row r="197" spans="1:49" s="3" customFormat="1" ht="12.75" hidden="1" customHeight="1" x14ac:dyDescent="0.25">
      <c r="A197" s="1013"/>
      <c r="B197" s="57" t="s">
        <v>1179</v>
      </c>
      <c r="C197" s="225">
        <v>1.5</v>
      </c>
      <c r="D197" s="220"/>
      <c r="E197" s="68" t="s">
        <v>1444</v>
      </c>
      <c r="F197" s="69" t="s">
        <v>1443</v>
      </c>
      <c r="G197" s="70">
        <v>872</v>
      </c>
      <c r="H197" s="69">
        <v>2E-3</v>
      </c>
      <c r="I197" s="71">
        <f t="shared" si="16"/>
        <v>1.744</v>
      </c>
      <c r="J197" s="59"/>
      <c r="K197" s="61"/>
      <c r="L197" s="61"/>
      <c r="M197" s="61"/>
      <c r="N197" s="61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1"/>
      <c r="AB197" s="1"/>
      <c r="AC197" s="245"/>
      <c r="AD197" s="56"/>
      <c r="AF197" s="151"/>
      <c r="AG197" s="56"/>
      <c r="AH197" s="125"/>
      <c r="AI197" s="125"/>
      <c r="AJ197" s="146"/>
      <c r="AK197" s="125"/>
      <c r="AL197" s="127"/>
      <c r="AM197" s="125"/>
      <c r="AN197" s="125"/>
      <c r="AO197" s="128"/>
      <c r="AP197" s="125"/>
      <c r="AQ197" s="125"/>
      <c r="AR197" s="128"/>
      <c r="AS197" s="128"/>
      <c r="AT197" s="125"/>
      <c r="AU197" s="125"/>
      <c r="AV197" s="128"/>
      <c r="AW197" s="56"/>
    </row>
    <row r="198" spans="1:49" s="3" customFormat="1" ht="12.75" hidden="1" customHeight="1" x14ac:dyDescent="0.25">
      <c r="A198" s="1013"/>
      <c r="B198" s="79" t="s">
        <v>1181</v>
      </c>
      <c r="C198" s="222">
        <f>C193*C196+C194*C197</f>
        <v>72.348051582088885</v>
      </c>
      <c r="D198" s="220"/>
      <c r="E198" s="228"/>
      <c r="F198" s="166"/>
      <c r="G198" s="70"/>
      <c r="H198" s="69"/>
      <c r="I198" s="71"/>
      <c r="J198" s="59"/>
      <c r="K198" s="170"/>
      <c r="L198" s="76"/>
      <c r="M198" s="72"/>
      <c r="N198" s="61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1"/>
      <c r="AB198" s="1"/>
      <c r="AC198" s="245"/>
      <c r="AD198" s="56"/>
      <c r="AF198" s="151"/>
      <c r="AG198" s="56"/>
      <c r="AH198" s="125"/>
      <c r="AI198" s="125"/>
      <c r="AJ198" s="136"/>
      <c r="AK198" s="125"/>
      <c r="AL198" s="127"/>
      <c r="AM198" s="125"/>
      <c r="AN198" s="125"/>
      <c r="AO198" s="128"/>
      <c r="AP198" s="125"/>
      <c r="AQ198" s="125"/>
      <c r="AR198" s="128"/>
      <c r="AS198" s="128"/>
      <c r="AT198" s="125"/>
      <c r="AU198" s="125"/>
      <c r="AV198" s="128"/>
      <c r="AW198" s="56"/>
    </row>
    <row r="199" spans="1:49" s="3" customFormat="1" ht="13.5" hidden="1" customHeight="1" x14ac:dyDescent="0.25">
      <c r="A199" s="1014"/>
      <c r="B199" s="123"/>
      <c r="C199" s="225"/>
      <c r="D199" s="221"/>
      <c r="E199" s="228"/>
      <c r="F199" s="166"/>
      <c r="G199" s="70"/>
      <c r="H199" s="69"/>
      <c r="I199" s="71"/>
      <c r="J199" s="59"/>
      <c r="K199" s="170"/>
      <c r="L199" s="61"/>
      <c r="M199" s="72"/>
      <c r="N199" s="61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1"/>
      <c r="AB199" s="1"/>
      <c r="AC199" s="245"/>
      <c r="AD199" s="56"/>
      <c r="AF199" s="151"/>
      <c r="AG199" s="56"/>
      <c r="AH199" s="125"/>
      <c r="AI199" s="125"/>
      <c r="AJ199" s="146"/>
      <c r="AK199" s="125"/>
      <c r="AL199" s="127"/>
      <c r="AM199" s="125"/>
      <c r="AN199" s="125"/>
      <c r="AO199" s="128"/>
      <c r="AP199" s="125"/>
      <c r="AQ199" s="125"/>
      <c r="AR199" s="128"/>
      <c r="AS199" s="128"/>
      <c r="AT199" s="125"/>
      <c r="AU199" s="125"/>
      <c r="AV199" s="128"/>
      <c r="AW199" s="56"/>
    </row>
    <row r="200" spans="1:49" s="3" customFormat="1" ht="56.25" hidden="1" customHeight="1" x14ac:dyDescent="0.25">
      <c r="A200" s="1012" t="s">
        <v>1618</v>
      </c>
      <c r="B200" s="258" t="s">
        <v>727</v>
      </c>
      <c r="C200" s="222"/>
      <c r="D200" s="219"/>
      <c r="E200" s="226" t="s">
        <v>488</v>
      </c>
      <c r="F200" s="53" t="s">
        <v>837</v>
      </c>
      <c r="G200" s="51" t="s">
        <v>489</v>
      </c>
      <c r="H200" s="52" t="s">
        <v>1170</v>
      </c>
      <c r="I200" s="53" t="s">
        <v>838</v>
      </c>
      <c r="J200" s="47" t="s">
        <v>1171</v>
      </c>
      <c r="K200" s="47" t="s">
        <v>490</v>
      </c>
      <c r="L200" s="54" t="s">
        <v>489</v>
      </c>
      <c r="M200" s="47" t="s">
        <v>1172</v>
      </c>
      <c r="N200" s="53" t="s">
        <v>838</v>
      </c>
      <c r="O200" s="47" t="s">
        <v>1171</v>
      </c>
      <c r="P200" s="47" t="s">
        <v>826</v>
      </c>
      <c r="Q200" s="47" t="s">
        <v>1173</v>
      </c>
      <c r="R200" s="47" t="s">
        <v>1174</v>
      </c>
      <c r="S200" s="47" t="s">
        <v>839</v>
      </c>
      <c r="T200" s="47" t="s">
        <v>1171</v>
      </c>
      <c r="U200" s="47" t="s">
        <v>1392</v>
      </c>
      <c r="V200" s="47" t="s">
        <v>841</v>
      </c>
      <c r="W200" s="231" t="s">
        <v>1173</v>
      </c>
      <c r="X200" s="47" t="s">
        <v>1394</v>
      </c>
      <c r="Y200" s="47" t="s">
        <v>839</v>
      </c>
      <c r="Z200" s="55"/>
      <c r="AA200" s="1"/>
      <c r="AB200" s="1"/>
      <c r="AC200" s="245"/>
      <c r="AD200" s="56"/>
      <c r="AF200" s="81"/>
      <c r="AG200" s="56"/>
      <c r="AH200" s="125"/>
      <c r="AI200" s="125"/>
      <c r="AJ200" s="125"/>
      <c r="AK200" s="125"/>
      <c r="AL200" s="127"/>
      <c r="AM200" s="125"/>
      <c r="AN200" s="125"/>
      <c r="AO200" s="128"/>
      <c r="AP200" s="125"/>
      <c r="AQ200" s="139"/>
      <c r="AR200" s="139"/>
      <c r="AS200" s="139"/>
      <c r="AT200" s="125"/>
      <c r="AU200" s="125"/>
      <c r="AV200" s="128"/>
      <c r="AW200" s="56"/>
    </row>
    <row r="201" spans="1:49" s="3" customFormat="1" ht="12" hidden="1" customHeight="1" x14ac:dyDescent="0.25">
      <c r="A201" s="1013"/>
      <c r="B201" s="36" t="s">
        <v>1175</v>
      </c>
      <c r="C201" s="222">
        <f>C208</f>
        <v>72.348051582088885</v>
      </c>
      <c r="D201" s="219">
        <f>C201*$D$5</f>
        <v>14.614306419581956</v>
      </c>
      <c r="E201" s="227" t="s">
        <v>1176</v>
      </c>
      <c r="F201" s="165"/>
      <c r="G201" s="58"/>
      <c r="H201" s="58"/>
      <c r="I201" s="2">
        <f>SUM(I202:I209)</f>
        <v>83.8536</v>
      </c>
      <c r="J201" s="59" t="s">
        <v>1176</v>
      </c>
      <c r="K201" s="169"/>
      <c r="L201" s="60"/>
      <c r="M201" s="60"/>
      <c r="N201" s="61">
        <f>SUM(N202:N209)</f>
        <v>8.4000000000000005E-2</v>
      </c>
      <c r="O201" s="60" t="s">
        <v>1176</v>
      </c>
      <c r="P201" s="60"/>
      <c r="Q201" s="62"/>
      <c r="R201" s="63"/>
      <c r="S201" s="61">
        <f>SUM(S202:S209)</f>
        <v>9.7215000000000007</v>
      </c>
      <c r="T201" s="61"/>
      <c r="U201" s="61"/>
      <c r="V201" s="61"/>
      <c r="W201" s="61"/>
      <c r="X201" s="61"/>
      <c r="Y201" s="61">
        <f>SUM(Y202:Y209)</f>
        <v>9.1999999999999998E-3</v>
      </c>
      <c r="Z201" s="64">
        <f>(C201+D201+I201+N201+S201+Y201)*$Z$5</f>
        <v>234.85375847519541</v>
      </c>
      <c r="AA201" s="65">
        <f>C201+D201+I201+N201+S201+Y201+Z201</f>
        <v>415.48441647686622</v>
      </c>
      <c r="AB201" s="66">
        <v>0.25</v>
      </c>
      <c r="AC201" s="244">
        <f>AA201*(1+AB201)</f>
        <v>519.35552059608278</v>
      </c>
      <c r="AD201" s="67"/>
      <c r="AF201" s="81"/>
      <c r="AG201" s="56"/>
      <c r="AH201" s="125"/>
      <c r="AI201" s="139"/>
      <c r="AJ201" s="140"/>
      <c r="AK201" s="141"/>
      <c r="AL201" s="127"/>
      <c r="AM201" s="142"/>
      <c r="AN201" s="143"/>
      <c r="AO201" s="142"/>
      <c r="AP201" s="139"/>
      <c r="AQ201" s="139"/>
      <c r="AR201" s="139"/>
      <c r="AS201" s="139"/>
      <c r="AT201" s="139"/>
      <c r="AU201" s="142"/>
      <c r="AV201" s="142"/>
      <c r="AW201" s="144"/>
    </row>
    <row r="202" spans="1:49" s="3" customFormat="1" ht="12.75" hidden="1" customHeight="1" x14ac:dyDescent="0.25">
      <c r="A202" s="1013"/>
      <c r="B202" s="50" t="s">
        <v>830</v>
      </c>
      <c r="C202" s="222"/>
      <c r="D202" s="220"/>
      <c r="E202" s="68" t="s">
        <v>1437</v>
      </c>
      <c r="F202" s="69" t="s">
        <v>1438</v>
      </c>
      <c r="G202" s="70">
        <v>0.74</v>
      </c>
      <c r="H202" s="69">
        <v>0.01</v>
      </c>
      <c r="I202" s="71">
        <f t="shared" ref="I202:I207" si="17">G202*H202</f>
        <v>7.4000000000000003E-3</v>
      </c>
      <c r="J202" s="59" t="s">
        <v>1291</v>
      </c>
      <c r="K202" s="61">
        <v>2</v>
      </c>
      <c r="L202" s="61">
        <v>640</v>
      </c>
      <c r="M202" s="61">
        <v>2</v>
      </c>
      <c r="N202" s="61">
        <v>0.05</v>
      </c>
      <c r="O202" s="60" t="s">
        <v>1239</v>
      </c>
      <c r="P202" s="60">
        <v>61189.5</v>
      </c>
      <c r="Q202" s="60">
        <v>19.670000000000002</v>
      </c>
      <c r="R202" s="60">
        <v>6513.87</v>
      </c>
      <c r="S202" s="60">
        <v>9.7215000000000007</v>
      </c>
      <c r="T202" s="239" t="s">
        <v>1435</v>
      </c>
      <c r="U202" s="240">
        <v>6785401.3499999996</v>
      </c>
      <c r="V202" s="241">
        <v>1.32E-2</v>
      </c>
      <c r="W202" s="239">
        <v>1508.3</v>
      </c>
      <c r="X202" s="61">
        <v>59.38</v>
      </c>
      <c r="Y202" s="60">
        <v>9.1999999999999998E-3</v>
      </c>
      <c r="Z202" s="60"/>
      <c r="AA202" s="1"/>
      <c r="AB202" s="1"/>
      <c r="AC202" s="245"/>
      <c r="AD202" s="56"/>
      <c r="AF202" s="151"/>
      <c r="AG202" s="56"/>
      <c r="AH202" s="125"/>
      <c r="AI202" s="125"/>
      <c r="AJ202" s="136"/>
      <c r="AK202" s="125"/>
      <c r="AL202" s="127"/>
      <c r="AM202" s="125"/>
      <c r="AN202" s="125"/>
      <c r="AO202" s="128"/>
      <c r="AP202" s="125"/>
      <c r="AQ202" s="125"/>
      <c r="AR202" s="128"/>
      <c r="AS202" s="128"/>
      <c r="AT202" s="125"/>
      <c r="AU202" s="125"/>
      <c r="AV202" s="128"/>
      <c r="AW202" s="56"/>
    </row>
    <row r="203" spans="1:49" s="3" customFormat="1" hidden="1" x14ac:dyDescent="0.25">
      <c r="A203" s="1013"/>
      <c r="B203" s="74" t="s">
        <v>1178</v>
      </c>
      <c r="C203" s="223">
        <f>C193</f>
        <v>38.717865870069311</v>
      </c>
      <c r="D203" s="220"/>
      <c r="E203" s="68" t="s">
        <v>1439</v>
      </c>
      <c r="F203" s="69" t="s">
        <v>1438</v>
      </c>
      <c r="G203" s="70">
        <v>0.27</v>
      </c>
      <c r="H203" s="69">
        <v>0.01</v>
      </c>
      <c r="I203" s="242">
        <f t="shared" si="17"/>
        <v>2.7000000000000001E-3</v>
      </c>
      <c r="J203" s="59" t="s">
        <v>1445</v>
      </c>
      <c r="K203" s="61">
        <v>2</v>
      </c>
      <c r="L203" s="61">
        <v>84</v>
      </c>
      <c r="M203" s="61">
        <v>2</v>
      </c>
      <c r="N203" s="61">
        <v>8.9999999999999993E-3</v>
      </c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1"/>
      <c r="AB203" s="1"/>
      <c r="AC203" s="245"/>
      <c r="AD203" s="56"/>
      <c r="AF203" s="151"/>
      <c r="AG203" s="56"/>
      <c r="AH203" s="125"/>
      <c r="AI203" s="125"/>
      <c r="AJ203" s="136"/>
      <c r="AK203" s="125"/>
      <c r="AL203" s="127"/>
      <c r="AM203" s="145"/>
      <c r="AN203" s="125"/>
      <c r="AO203" s="128"/>
      <c r="AP203" s="125"/>
      <c r="AQ203" s="125"/>
      <c r="AR203" s="128"/>
      <c r="AS203" s="128"/>
      <c r="AT203" s="125"/>
      <c r="AU203" s="125"/>
      <c r="AV203" s="128"/>
      <c r="AW203" s="56"/>
    </row>
    <row r="204" spans="1:49" s="3" customFormat="1" ht="12.75" hidden="1" customHeight="1" x14ac:dyDescent="0.25">
      <c r="A204" s="1013"/>
      <c r="B204" s="57" t="s">
        <v>1179</v>
      </c>
      <c r="C204" s="222">
        <f>C194</f>
        <v>22.420123808013045</v>
      </c>
      <c r="D204" s="220"/>
      <c r="E204" s="68" t="s">
        <v>1598</v>
      </c>
      <c r="F204" s="69" t="s">
        <v>1441</v>
      </c>
      <c r="G204" s="70">
        <v>4.4000000000000004</v>
      </c>
      <c r="H204" s="70">
        <v>1</v>
      </c>
      <c r="I204" s="71">
        <f t="shared" si="17"/>
        <v>4.4000000000000004</v>
      </c>
      <c r="J204" s="59" t="s">
        <v>1513</v>
      </c>
      <c r="K204" s="61">
        <v>2</v>
      </c>
      <c r="L204" s="61">
        <v>25</v>
      </c>
      <c r="M204" s="61">
        <v>0.5</v>
      </c>
      <c r="N204" s="61">
        <v>2.5000000000000001E-2</v>
      </c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1"/>
      <c r="AB204" s="1"/>
      <c r="AC204" s="245"/>
      <c r="AD204" s="56"/>
      <c r="AF204" s="151"/>
      <c r="AG204" s="56"/>
      <c r="AH204" s="125"/>
      <c r="AI204" s="125"/>
      <c r="AJ204" s="136"/>
      <c r="AK204" s="125"/>
      <c r="AL204" s="127"/>
      <c r="AM204" s="125"/>
      <c r="AN204" s="125"/>
      <c r="AO204" s="128"/>
      <c r="AP204" s="125"/>
      <c r="AQ204" s="125"/>
      <c r="AR204" s="128"/>
      <c r="AS204" s="128"/>
      <c r="AT204" s="125"/>
      <c r="AU204" s="125"/>
      <c r="AV204" s="128"/>
      <c r="AW204" s="56"/>
    </row>
    <row r="205" spans="1:49" s="3" customFormat="1" ht="12.75" hidden="1" customHeight="1" x14ac:dyDescent="0.25">
      <c r="A205" s="1013"/>
      <c r="B205" s="57" t="s">
        <v>831</v>
      </c>
      <c r="C205" s="224"/>
      <c r="D205" s="220"/>
      <c r="E205" s="68" t="s">
        <v>1599</v>
      </c>
      <c r="F205" s="69" t="s">
        <v>1441</v>
      </c>
      <c r="G205" s="70">
        <v>77.28</v>
      </c>
      <c r="H205" s="69">
        <v>1</v>
      </c>
      <c r="I205" s="71">
        <f t="shared" si="17"/>
        <v>77.28</v>
      </c>
      <c r="J205" s="59"/>
      <c r="K205" s="61"/>
      <c r="L205" s="61"/>
      <c r="M205" s="61"/>
      <c r="N205" s="61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1"/>
      <c r="AB205" s="1"/>
      <c r="AC205" s="245"/>
      <c r="AD205" s="56"/>
      <c r="AF205" s="151"/>
      <c r="AG205" s="56"/>
      <c r="AH205" s="125"/>
      <c r="AI205" s="125"/>
      <c r="AJ205" s="136"/>
      <c r="AK205" s="125"/>
      <c r="AL205" s="127"/>
      <c r="AM205" s="125"/>
      <c r="AN205" s="125"/>
      <c r="AO205" s="128"/>
      <c r="AP205" s="125"/>
      <c r="AQ205" s="125"/>
      <c r="AR205" s="128"/>
      <c r="AS205" s="128"/>
      <c r="AT205" s="125"/>
      <c r="AU205" s="125"/>
      <c r="AV205" s="128"/>
      <c r="AW205" s="56"/>
    </row>
    <row r="206" spans="1:49" s="3" customFormat="1" ht="12.75" hidden="1" customHeight="1" x14ac:dyDescent="0.25">
      <c r="A206" s="1013"/>
      <c r="B206" s="74" t="s">
        <v>1178</v>
      </c>
      <c r="C206" s="225">
        <v>1</v>
      </c>
      <c r="D206" s="220"/>
      <c r="E206" s="68" t="s">
        <v>1442</v>
      </c>
      <c r="F206" s="69" t="s">
        <v>1443</v>
      </c>
      <c r="G206" s="70">
        <v>419.5</v>
      </c>
      <c r="H206" s="69">
        <v>1E-3</v>
      </c>
      <c r="I206" s="71">
        <f t="shared" si="17"/>
        <v>0.41949999999999998</v>
      </c>
      <c r="J206" s="59"/>
      <c r="K206" s="61"/>
      <c r="L206" s="61"/>
      <c r="M206" s="61"/>
      <c r="N206" s="61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1"/>
      <c r="AB206" s="1"/>
      <c r="AC206" s="245"/>
      <c r="AD206" s="56"/>
      <c r="AF206" s="151"/>
      <c r="AG206" s="56"/>
      <c r="AH206" s="125"/>
      <c r="AI206" s="125"/>
      <c r="AJ206" s="146"/>
      <c r="AK206" s="125"/>
      <c r="AL206" s="127"/>
      <c r="AM206" s="125"/>
      <c r="AN206" s="125"/>
      <c r="AO206" s="128"/>
      <c r="AP206" s="125"/>
      <c r="AQ206" s="125"/>
      <c r="AR206" s="128"/>
      <c r="AS206" s="128"/>
      <c r="AT206" s="125"/>
      <c r="AU206" s="125"/>
      <c r="AV206" s="128"/>
      <c r="AW206" s="56"/>
    </row>
    <row r="207" spans="1:49" s="3" customFormat="1" ht="12.75" hidden="1" customHeight="1" x14ac:dyDescent="0.25">
      <c r="A207" s="1013"/>
      <c r="B207" s="57" t="s">
        <v>1179</v>
      </c>
      <c r="C207" s="225">
        <v>1.5</v>
      </c>
      <c r="D207" s="220"/>
      <c r="E207" s="68" t="s">
        <v>1444</v>
      </c>
      <c r="F207" s="69" t="s">
        <v>1443</v>
      </c>
      <c r="G207" s="70">
        <v>872</v>
      </c>
      <c r="H207" s="69">
        <v>2E-3</v>
      </c>
      <c r="I207" s="71">
        <f t="shared" si="17"/>
        <v>1.744</v>
      </c>
      <c r="J207" s="59"/>
      <c r="K207" s="61"/>
      <c r="L207" s="61"/>
      <c r="M207" s="61"/>
      <c r="N207" s="61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1"/>
      <c r="AB207" s="1"/>
      <c r="AC207" s="245"/>
      <c r="AD207" s="56"/>
      <c r="AF207" s="151"/>
      <c r="AG207" s="56"/>
      <c r="AH207" s="125"/>
      <c r="AI207" s="125"/>
      <c r="AJ207" s="146"/>
      <c r="AK207" s="125"/>
      <c r="AL207" s="127"/>
      <c r="AM207" s="125"/>
      <c r="AN207" s="125"/>
      <c r="AO207" s="128"/>
      <c r="AP207" s="125"/>
      <c r="AQ207" s="125"/>
      <c r="AR207" s="128"/>
      <c r="AS207" s="128"/>
      <c r="AT207" s="125"/>
      <c r="AU207" s="125"/>
      <c r="AV207" s="128"/>
      <c r="AW207" s="56"/>
    </row>
    <row r="208" spans="1:49" s="3" customFormat="1" ht="12.75" hidden="1" customHeight="1" x14ac:dyDescent="0.25">
      <c r="A208" s="1013"/>
      <c r="B208" s="79" t="s">
        <v>1181</v>
      </c>
      <c r="C208" s="222">
        <f>C203*C206+C204*C207</f>
        <v>72.348051582088885</v>
      </c>
      <c r="D208" s="220"/>
      <c r="E208" s="228"/>
      <c r="F208" s="166"/>
      <c r="G208" s="70"/>
      <c r="H208" s="69"/>
      <c r="I208" s="71"/>
      <c r="J208" s="59"/>
      <c r="K208" s="170"/>
      <c r="L208" s="76"/>
      <c r="M208" s="72"/>
      <c r="N208" s="61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1"/>
      <c r="AB208" s="1"/>
      <c r="AC208" s="245"/>
      <c r="AD208" s="56"/>
      <c r="AF208" s="151"/>
      <c r="AG208" s="56"/>
      <c r="AH208" s="125"/>
      <c r="AI208" s="125"/>
      <c r="AJ208" s="136"/>
      <c r="AK208" s="125"/>
      <c r="AL208" s="127"/>
      <c r="AM208" s="125"/>
      <c r="AN208" s="125"/>
      <c r="AO208" s="128"/>
      <c r="AP208" s="125"/>
      <c r="AQ208" s="125"/>
      <c r="AR208" s="128"/>
      <c r="AS208" s="128"/>
      <c r="AT208" s="125"/>
      <c r="AU208" s="125"/>
      <c r="AV208" s="128"/>
      <c r="AW208" s="56"/>
    </row>
    <row r="209" spans="1:49" s="3" customFormat="1" ht="13.5" hidden="1" customHeight="1" x14ac:dyDescent="0.25">
      <c r="A209" s="1014"/>
      <c r="B209" s="123"/>
      <c r="C209" s="225"/>
      <c r="D209" s="221"/>
      <c r="E209" s="228"/>
      <c r="F209" s="166"/>
      <c r="G209" s="70"/>
      <c r="H209" s="69"/>
      <c r="I209" s="71"/>
      <c r="J209" s="59"/>
      <c r="K209" s="170"/>
      <c r="L209" s="61"/>
      <c r="M209" s="72"/>
      <c r="N209" s="61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1"/>
      <c r="AB209" s="1"/>
      <c r="AC209" s="245"/>
      <c r="AD209" s="56"/>
      <c r="AF209" s="151"/>
      <c r="AG209" s="56"/>
      <c r="AH209" s="125"/>
      <c r="AI209" s="125"/>
      <c r="AJ209" s="146"/>
      <c r="AK209" s="125"/>
      <c r="AL209" s="127"/>
      <c r="AM209" s="125"/>
      <c r="AN209" s="125"/>
      <c r="AO209" s="128"/>
      <c r="AP209" s="125"/>
      <c r="AQ209" s="125"/>
      <c r="AR209" s="128"/>
      <c r="AS209" s="128"/>
      <c r="AT209" s="125"/>
      <c r="AU209" s="125"/>
      <c r="AV209" s="128"/>
      <c r="AW209" s="56"/>
    </row>
    <row r="210" spans="1:49" s="3" customFormat="1" ht="56.25" hidden="1" customHeight="1" x14ac:dyDescent="0.25">
      <c r="A210" s="1012" t="s">
        <v>1619</v>
      </c>
      <c r="B210" s="258" t="s">
        <v>728</v>
      </c>
      <c r="C210" s="222"/>
      <c r="D210" s="219"/>
      <c r="E210" s="226" t="s">
        <v>488</v>
      </c>
      <c r="F210" s="53" t="s">
        <v>837</v>
      </c>
      <c r="G210" s="51" t="s">
        <v>489</v>
      </c>
      <c r="H210" s="52" t="s">
        <v>1170</v>
      </c>
      <c r="I210" s="53" t="s">
        <v>838</v>
      </c>
      <c r="J210" s="47" t="s">
        <v>1171</v>
      </c>
      <c r="K210" s="47" t="s">
        <v>490</v>
      </c>
      <c r="L210" s="54" t="s">
        <v>489</v>
      </c>
      <c r="M210" s="47" t="s">
        <v>1172</v>
      </c>
      <c r="N210" s="53" t="s">
        <v>838</v>
      </c>
      <c r="O210" s="47" t="s">
        <v>1171</v>
      </c>
      <c r="P210" s="47" t="s">
        <v>826</v>
      </c>
      <c r="Q210" s="47" t="s">
        <v>1173</v>
      </c>
      <c r="R210" s="47" t="s">
        <v>1174</v>
      </c>
      <c r="S210" s="47" t="s">
        <v>839</v>
      </c>
      <c r="T210" s="47" t="s">
        <v>1171</v>
      </c>
      <c r="U210" s="47" t="s">
        <v>1392</v>
      </c>
      <c r="V210" s="47" t="s">
        <v>841</v>
      </c>
      <c r="W210" s="231" t="s">
        <v>1173</v>
      </c>
      <c r="X210" s="47" t="s">
        <v>1394</v>
      </c>
      <c r="Y210" s="47" t="s">
        <v>839</v>
      </c>
      <c r="Z210" s="55"/>
      <c r="AA210" s="1"/>
      <c r="AB210" s="1"/>
      <c r="AC210" s="245"/>
      <c r="AD210" s="56"/>
      <c r="AF210" s="81"/>
      <c r="AG210" s="56"/>
      <c r="AH210" s="125"/>
      <c r="AI210" s="125"/>
      <c r="AJ210" s="125"/>
      <c r="AK210" s="125"/>
      <c r="AL210" s="127"/>
      <c r="AM210" s="125"/>
      <c r="AN210" s="125"/>
      <c r="AO210" s="128"/>
      <c r="AP210" s="125"/>
      <c r="AQ210" s="139"/>
      <c r="AR210" s="139"/>
      <c r="AS210" s="139"/>
      <c r="AT210" s="125"/>
      <c r="AU210" s="125"/>
      <c r="AV210" s="128"/>
      <c r="AW210" s="56"/>
    </row>
    <row r="211" spans="1:49" s="3" customFormat="1" ht="12" hidden="1" customHeight="1" x14ac:dyDescent="0.25">
      <c r="A211" s="1013"/>
      <c r="B211" s="36" t="s">
        <v>1175</v>
      </c>
      <c r="C211" s="222">
        <f>C218</f>
        <v>133.48604126017125</v>
      </c>
      <c r="D211" s="219">
        <f>C211*$D$5</f>
        <v>26.964180334554595</v>
      </c>
      <c r="E211" s="227" t="s">
        <v>1176</v>
      </c>
      <c r="F211" s="165"/>
      <c r="G211" s="58"/>
      <c r="H211" s="58"/>
      <c r="I211" s="2">
        <f>SUM(I212:I219)</f>
        <v>83.8536</v>
      </c>
      <c r="J211" s="59" t="s">
        <v>1176</v>
      </c>
      <c r="K211" s="169"/>
      <c r="L211" s="60"/>
      <c r="M211" s="60"/>
      <c r="N211" s="61">
        <f>SUM(N212:N219)</f>
        <v>8.4000000000000005E-2</v>
      </c>
      <c r="O211" s="60" t="s">
        <v>1176</v>
      </c>
      <c r="P211" s="60"/>
      <c r="Q211" s="62"/>
      <c r="R211" s="63"/>
      <c r="S211" s="61">
        <f>SUM(S212:S219)</f>
        <v>9.7215000000000007</v>
      </c>
      <c r="T211" s="61"/>
      <c r="U211" s="61"/>
      <c r="V211" s="61"/>
      <c r="W211" s="61"/>
      <c r="X211" s="61"/>
      <c r="Y211" s="61">
        <f>SUM(Y212:Y219)</f>
        <v>9.1999999999999998E-3</v>
      </c>
      <c r="Z211" s="64">
        <f>(C211+D211+I211+N211+S211+Y211)*$Z$5</f>
        <v>330.40177428866713</v>
      </c>
      <c r="AA211" s="65">
        <f>C211+D211+I211+N211+S211+Y211+Z211</f>
        <v>584.52029588339292</v>
      </c>
      <c r="AB211" s="66">
        <v>0.25</v>
      </c>
      <c r="AC211" s="244">
        <f>AA211*(1+AB211)</f>
        <v>730.65036985424115</v>
      </c>
      <c r="AD211" s="67"/>
      <c r="AF211" s="81"/>
      <c r="AG211" s="56"/>
      <c r="AH211" s="125"/>
      <c r="AI211" s="139"/>
      <c r="AJ211" s="140"/>
      <c r="AK211" s="141"/>
      <c r="AL211" s="127"/>
      <c r="AM211" s="142"/>
      <c r="AN211" s="143"/>
      <c r="AO211" s="142"/>
      <c r="AP211" s="139"/>
      <c r="AQ211" s="139"/>
      <c r="AR211" s="139"/>
      <c r="AS211" s="139"/>
      <c r="AT211" s="139"/>
      <c r="AU211" s="142"/>
      <c r="AV211" s="142"/>
      <c r="AW211" s="144"/>
    </row>
    <row r="212" spans="1:49" s="3" customFormat="1" ht="12.75" hidden="1" customHeight="1" x14ac:dyDescent="0.25">
      <c r="A212" s="1013"/>
      <c r="B212" s="50" t="s">
        <v>830</v>
      </c>
      <c r="C212" s="222"/>
      <c r="D212" s="220"/>
      <c r="E212" s="68" t="s">
        <v>1437</v>
      </c>
      <c r="F212" s="69" t="s">
        <v>1438</v>
      </c>
      <c r="G212" s="70">
        <v>0.74</v>
      </c>
      <c r="H212" s="69">
        <v>0.01</v>
      </c>
      <c r="I212" s="71">
        <f t="shared" ref="I212:I217" si="18">G212*H212</f>
        <v>7.4000000000000003E-3</v>
      </c>
      <c r="J212" s="59" t="s">
        <v>1291</v>
      </c>
      <c r="K212" s="61">
        <v>2</v>
      </c>
      <c r="L212" s="61">
        <v>640</v>
      </c>
      <c r="M212" s="61">
        <v>2</v>
      </c>
      <c r="N212" s="61">
        <v>0.05</v>
      </c>
      <c r="O212" s="60" t="s">
        <v>1239</v>
      </c>
      <c r="P212" s="60">
        <v>61189.5</v>
      </c>
      <c r="Q212" s="60">
        <v>19.670000000000002</v>
      </c>
      <c r="R212" s="60">
        <v>6513.87</v>
      </c>
      <c r="S212" s="60">
        <v>9.7215000000000007</v>
      </c>
      <c r="T212" s="239" t="s">
        <v>1435</v>
      </c>
      <c r="U212" s="240">
        <v>6785401.3499999996</v>
      </c>
      <c r="V212" s="241">
        <v>1.32E-2</v>
      </c>
      <c r="W212" s="239">
        <v>1508.3</v>
      </c>
      <c r="X212" s="61">
        <v>59.38</v>
      </c>
      <c r="Y212" s="60">
        <v>9.1999999999999998E-3</v>
      </c>
      <c r="Z212" s="60"/>
      <c r="AA212" s="1"/>
      <c r="AB212" s="1"/>
      <c r="AC212" s="245"/>
      <c r="AD212" s="56"/>
      <c r="AF212" s="151"/>
      <c r="AG212" s="56"/>
      <c r="AH212" s="125"/>
      <c r="AI212" s="125"/>
      <c r="AJ212" s="136"/>
      <c r="AK212" s="125"/>
      <c r="AL212" s="127"/>
      <c r="AM212" s="125"/>
      <c r="AN212" s="125"/>
      <c r="AO212" s="128"/>
      <c r="AP212" s="125"/>
      <c r="AQ212" s="125"/>
      <c r="AR212" s="128"/>
      <c r="AS212" s="128"/>
      <c r="AT212" s="125"/>
      <c r="AU212" s="125"/>
      <c r="AV212" s="128"/>
      <c r="AW212" s="56"/>
    </row>
    <row r="213" spans="1:49" s="3" customFormat="1" hidden="1" x14ac:dyDescent="0.25">
      <c r="A213" s="1013"/>
      <c r="B213" s="74" t="s">
        <v>1178</v>
      </c>
      <c r="C213" s="223">
        <f>C203</f>
        <v>38.717865870069311</v>
      </c>
      <c r="D213" s="220"/>
      <c r="E213" s="68" t="s">
        <v>1439</v>
      </c>
      <c r="F213" s="69" t="s">
        <v>1438</v>
      </c>
      <c r="G213" s="70">
        <v>0.27</v>
      </c>
      <c r="H213" s="69">
        <v>0.01</v>
      </c>
      <c r="I213" s="242">
        <f t="shared" si="18"/>
        <v>2.7000000000000001E-3</v>
      </c>
      <c r="J213" s="59" t="s">
        <v>1445</v>
      </c>
      <c r="K213" s="61">
        <v>2</v>
      </c>
      <c r="L213" s="61">
        <v>84</v>
      </c>
      <c r="M213" s="61">
        <v>2</v>
      </c>
      <c r="N213" s="61">
        <v>8.9999999999999993E-3</v>
      </c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1"/>
      <c r="AB213" s="1"/>
      <c r="AC213" s="245"/>
      <c r="AD213" s="56"/>
      <c r="AF213" s="151"/>
      <c r="AG213" s="56"/>
      <c r="AH213" s="125"/>
      <c r="AI213" s="125"/>
      <c r="AJ213" s="136"/>
      <c r="AK213" s="125"/>
      <c r="AL213" s="127"/>
      <c r="AM213" s="145"/>
      <c r="AN213" s="125"/>
      <c r="AO213" s="128"/>
      <c r="AP213" s="125"/>
      <c r="AQ213" s="125"/>
      <c r="AR213" s="128"/>
      <c r="AS213" s="128"/>
      <c r="AT213" s="125"/>
      <c r="AU213" s="125"/>
      <c r="AV213" s="128"/>
      <c r="AW213" s="56"/>
    </row>
    <row r="214" spans="1:49" s="3" customFormat="1" ht="12.75" hidden="1" customHeight="1" x14ac:dyDescent="0.25">
      <c r="A214" s="1013"/>
      <c r="B214" s="57" t="s">
        <v>1179</v>
      </c>
      <c r="C214" s="222">
        <f>C204</f>
        <v>22.420123808013045</v>
      </c>
      <c r="D214" s="220"/>
      <c r="E214" s="68" t="s">
        <v>1598</v>
      </c>
      <c r="F214" s="69" t="s">
        <v>1441</v>
      </c>
      <c r="G214" s="70">
        <v>4.4000000000000004</v>
      </c>
      <c r="H214" s="70">
        <v>1</v>
      </c>
      <c r="I214" s="71">
        <f t="shared" si="18"/>
        <v>4.4000000000000004</v>
      </c>
      <c r="J214" s="59" t="s">
        <v>1513</v>
      </c>
      <c r="K214" s="61">
        <v>2</v>
      </c>
      <c r="L214" s="61">
        <v>25</v>
      </c>
      <c r="M214" s="61">
        <v>0.5</v>
      </c>
      <c r="N214" s="61">
        <v>2.5000000000000001E-2</v>
      </c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1"/>
      <c r="AB214" s="1"/>
      <c r="AC214" s="245"/>
      <c r="AD214" s="56"/>
      <c r="AF214" s="151"/>
      <c r="AG214" s="56"/>
      <c r="AH214" s="125"/>
      <c r="AI214" s="125"/>
      <c r="AJ214" s="136"/>
      <c r="AK214" s="125"/>
      <c r="AL214" s="127"/>
      <c r="AM214" s="125"/>
      <c r="AN214" s="125"/>
      <c r="AO214" s="128"/>
      <c r="AP214" s="125"/>
      <c r="AQ214" s="125"/>
      <c r="AR214" s="128"/>
      <c r="AS214" s="128"/>
      <c r="AT214" s="125"/>
      <c r="AU214" s="125"/>
      <c r="AV214" s="128"/>
      <c r="AW214" s="56"/>
    </row>
    <row r="215" spans="1:49" s="3" customFormat="1" ht="12.75" hidden="1" customHeight="1" x14ac:dyDescent="0.25">
      <c r="A215" s="1013"/>
      <c r="B215" s="57" t="s">
        <v>831</v>
      </c>
      <c r="C215" s="224"/>
      <c r="D215" s="220"/>
      <c r="E215" s="68" t="s">
        <v>1599</v>
      </c>
      <c r="F215" s="69" t="s">
        <v>1441</v>
      </c>
      <c r="G215" s="70">
        <v>77.28</v>
      </c>
      <c r="H215" s="69">
        <v>1</v>
      </c>
      <c r="I215" s="71">
        <f t="shared" si="18"/>
        <v>77.28</v>
      </c>
      <c r="J215" s="59"/>
      <c r="K215" s="61"/>
      <c r="L215" s="61"/>
      <c r="M215" s="61"/>
      <c r="N215" s="61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1"/>
      <c r="AB215" s="1"/>
      <c r="AC215" s="245"/>
      <c r="AD215" s="56"/>
      <c r="AF215" s="151"/>
      <c r="AG215" s="56"/>
      <c r="AH215" s="125"/>
      <c r="AI215" s="125"/>
      <c r="AJ215" s="136"/>
      <c r="AK215" s="125"/>
      <c r="AL215" s="127"/>
      <c r="AM215" s="125"/>
      <c r="AN215" s="125"/>
      <c r="AO215" s="128"/>
      <c r="AP215" s="125"/>
      <c r="AQ215" s="125"/>
      <c r="AR215" s="128"/>
      <c r="AS215" s="128"/>
      <c r="AT215" s="125"/>
      <c r="AU215" s="125"/>
      <c r="AV215" s="128"/>
      <c r="AW215" s="56"/>
    </row>
    <row r="216" spans="1:49" s="3" customFormat="1" ht="12.75" hidden="1" customHeight="1" x14ac:dyDescent="0.25">
      <c r="A216" s="1013"/>
      <c r="B216" s="74" t="s">
        <v>1178</v>
      </c>
      <c r="C216" s="225">
        <v>2</v>
      </c>
      <c r="D216" s="220"/>
      <c r="E216" s="68" t="s">
        <v>1442</v>
      </c>
      <c r="F216" s="69" t="s">
        <v>1443</v>
      </c>
      <c r="G216" s="70">
        <v>419.5</v>
      </c>
      <c r="H216" s="69">
        <v>1E-3</v>
      </c>
      <c r="I216" s="71">
        <f t="shared" si="18"/>
        <v>0.41949999999999998</v>
      </c>
      <c r="J216" s="59"/>
      <c r="K216" s="61"/>
      <c r="L216" s="61"/>
      <c r="M216" s="61"/>
      <c r="N216" s="61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1"/>
      <c r="AB216" s="1"/>
      <c r="AC216" s="245"/>
      <c r="AD216" s="56"/>
      <c r="AF216" s="151"/>
      <c r="AG216" s="56"/>
      <c r="AH216" s="125"/>
      <c r="AI216" s="125"/>
      <c r="AJ216" s="146"/>
      <c r="AK216" s="125"/>
      <c r="AL216" s="127"/>
      <c r="AM216" s="125"/>
      <c r="AN216" s="125"/>
      <c r="AO216" s="128"/>
      <c r="AP216" s="125"/>
      <c r="AQ216" s="125"/>
      <c r="AR216" s="128"/>
      <c r="AS216" s="128"/>
      <c r="AT216" s="125"/>
      <c r="AU216" s="125"/>
      <c r="AV216" s="128"/>
      <c r="AW216" s="56"/>
    </row>
    <row r="217" spans="1:49" s="3" customFormat="1" ht="12.75" hidden="1" customHeight="1" x14ac:dyDescent="0.25">
      <c r="A217" s="1013"/>
      <c r="B217" s="57" t="s">
        <v>1179</v>
      </c>
      <c r="C217" s="225">
        <v>2.5</v>
      </c>
      <c r="D217" s="220"/>
      <c r="E217" s="68" t="s">
        <v>1444</v>
      </c>
      <c r="F217" s="69" t="s">
        <v>1443</v>
      </c>
      <c r="G217" s="70">
        <v>872</v>
      </c>
      <c r="H217" s="69">
        <v>2E-3</v>
      </c>
      <c r="I217" s="71">
        <f t="shared" si="18"/>
        <v>1.744</v>
      </c>
      <c r="J217" s="59"/>
      <c r="K217" s="61"/>
      <c r="L217" s="61"/>
      <c r="M217" s="61"/>
      <c r="N217" s="61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1"/>
      <c r="AB217" s="1"/>
      <c r="AC217" s="245"/>
      <c r="AD217" s="56"/>
      <c r="AF217" s="151"/>
      <c r="AG217" s="56"/>
      <c r="AH217" s="125"/>
      <c r="AI217" s="125"/>
      <c r="AJ217" s="146"/>
      <c r="AK217" s="125"/>
      <c r="AL217" s="127"/>
      <c r="AM217" s="125"/>
      <c r="AN217" s="125"/>
      <c r="AO217" s="128"/>
      <c r="AP217" s="125"/>
      <c r="AQ217" s="125"/>
      <c r="AR217" s="128"/>
      <c r="AS217" s="128"/>
      <c r="AT217" s="125"/>
      <c r="AU217" s="125"/>
      <c r="AV217" s="128"/>
      <c r="AW217" s="56"/>
    </row>
    <row r="218" spans="1:49" s="3" customFormat="1" ht="12.75" hidden="1" customHeight="1" x14ac:dyDescent="0.25">
      <c r="A218" s="1013"/>
      <c r="B218" s="79" t="s">
        <v>1181</v>
      </c>
      <c r="C218" s="222">
        <f>C213*C216+C214*C217</f>
        <v>133.48604126017125</v>
      </c>
      <c r="D218" s="220"/>
      <c r="E218" s="228"/>
      <c r="F218" s="166"/>
      <c r="G218" s="70"/>
      <c r="H218" s="69"/>
      <c r="I218" s="71"/>
      <c r="J218" s="59"/>
      <c r="K218" s="170"/>
      <c r="L218" s="76"/>
      <c r="M218" s="72"/>
      <c r="N218" s="61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1"/>
      <c r="AB218" s="1"/>
      <c r="AC218" s="245"/>
      <c r="AD218" s="56"/>
      <c r="AF218" s="151"/>
      <c r="AG218" s="56"/>
      <c r="AH218" s="125"/>
      <c r="AI218" s="125"/>
      <c r="AJ218" s="136"/>
      <c r="AK218" s="125"/>
      <c r="AL218" s="127"/>
      <c r="AM218" s="125"/>
      <c r="AN218" s="125"/>
      <c r="AO218" s="128"/>
      <c r="AP218" s="125"/>
      <c r="AQ218" s="125"/>
      <c r="AR218" s="128"/>
      <c r="AS218" s="128"/>
      <c r="AT218" s="125"/>
      <c r="AU218" s="125"/>
      <c r="AV218" s="128"/>
      <c r="AW218" s="56"/>
    </row>
    <row r="219" spans="1:49" s="3" customFormat="1" ht="13.5" hidden="1" customHeight="1" x14ac:dyDescent="0.25">
      <c r="A219" s="1014"/>
      <c r="B219" s="123"/>
      <c r="C219" s="225"/>
      <c r="D219" s="221"/>
      <c r="E219" s="228"/>
      <c r="F219" s="166"/>
      <c r="G219" s="70"/>
      <c r="H219" s="69"/>
      <c r="I219" s="71"/>
      <c r="J219" s="59"/>
      <c r="K219" s="170"/>
      <c r="L219" s="61"/>
      <c r="M219" s="72"/>
      <c r="N219" s="61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1"/>
      <c r="AB219" s="1"/>
      <c r="AC219" s="245"/>
      <c r="AD219" s="56"/>
      <c r="AF219" s="151"/>
      <c r="AG219" s="56"/>
      <c r="AH219" s="125"/>
      <c r="AI219" s="125"/>
      <c r="AJ219" s="146"/>
      <c r="AK219" s="125"/>
      <c r="AL219" s="127"/>
      <c r="AM219" s="125"/>
      <c r="AN219" s="125"/>
      <c r="AO219" s="128"/>
      <c r="AP219" s="125"/>
      <c r="AQ219" s="125"/>
      <c r="AR219" s="128"/>
      <c r="AS219" s="128"/>
      <c r="AT219" s="125"/>
      <c r="AU219" s="125"/>
      <c r="AV219" s="128"/>
      <c r="AW219" s="56"/>
    </row>
    <row r="220" spans="1:49" s="803" customFormat="1" ht="56.25" customHeight="1" x14ac:dyDescent="0.25">
      <c r="A220" s="1114" t="s">
        <v>1620</v>
      </c>
      <c r="B220" s="778" t="s">
        <v>729</v>
      </c>
      <c r="C220" s="799"/>
      <c r="D220" s="800"/>
      <c r="E220" s="801" t="s">
        <v>488</v>
      </c>
      <c r="F220" s="792" t="s">
        <v>837</v>
      </c>
      <c r="G220" s="778" t="s">
        <v>489</v>
      </c>
      <c r="H220" s="791" t="s">
        <v>1170</v>
      </c>
      <c r="I220" s="792" t="s">
        <v>838</v>
      </c>
      <c r="J220" s="793" t="s">
        <v>1171</v>
      </c>
      <c r="K220" s="793" t="s">
        <v>490</v>
      </c>
      <c r="L220" s="794" t="s">
        <v>489</v>
      </c>
      <c r="M220" s="793" t="s">
        <v>1172</v>
      </c>
      <c r="N220" s="792" t="s">
        <v>838</v>
      </c>
      <c r="O220" s="793" t="s">
        <v>1171</v>
      </c>
      <c r="P220" s="793" t="s">
        <v>826</v>
      </c>
      <c r="Q220" s="793" t="s">
        <v>1173</v>
      </c>
      <c r="R220" s="793" t="s">
        <v>1174</v>
      </c>
      <c r="S220" s="793" t="s">
        <v>839</v>
      </c>
      <c r="T220" s="793" t="s">
        <v>1171</v>
      </c>
      <c r="U220" s="793" t="s">
        <v>1392</v>
      </c>
      <c r="V220" s="793" t="s">
        <v>841</v>
      </c>
      <c r="W220" s="795" t="s">
        <v>1173</v>
      </c>
      <c r="X220" s="793" t="s">
        <v>1394</v>
      </c>
      <c r="Y220" s="793" t="s">
        <v>839</v>
      </c>
      <c r="Z220" s="796"/>
      <c r="AA220" s="755"/>
      <c r="AB220" s="755"/>
      <c r="AC220" s="773"/>
      <c r="AD220" s="802"/>
      <c r="AF220" s="804"/>
      <c r="AG220" s="802"/>
      <c r="AH220" s="805"/>
      <c r="AI220" s="805"/>
      <c r="AJ220" s="805"/>
      <c r="AK220" s="805"/>
      <c r="AL220" s="806"/>
      <c r="AM220" s="805"/>
      <c r="AN220" s="805"/>
      <c r="AO220" s="807"/>
      <c r="AP220" s="805"/>
      <c r="AQ220" s="808"/>
      <c r="AR220" s="808"/>
      <c r="AS220" s="808"/>
      <c r="AT220" s="805"/>
      <c r="AU220" s="805"/>
      <c r="AV220" s="807"/>
      <c r="AW220" s="802"/>
    </row>
    <row r="221" spans="1:49" s="803" customFormat="1" ht="12" customHeight="1" x14ac:dyDescent="0.25">
      <c r="A221" s="1115"/>
      <c r="B221" s="752" t="s">
        <v>1175</v>
      </c>
      <c r="C221" s="799">
        <f>C228</f>
        <v>213.98296387328824</v>
      </c>
      <c r="D221" s="800">
        <f>C221*$D$5</f>
        <v>43.224558702404231</v>
      </c>
      <c r="E221" s="809" t="s">
        <v>1176</v>
      </c>
      <c r="F221" s="810"/>
      <c r="G221" s="756"/>
      <c r="H221" s="756"/>
      <c r="I221" s="757">
        <f>SUM(I222:I229)</f>
        <v>83.8536</v>
      </c>
      <c r="J221" s="758" t="s">
        <v>1176</v>
      </c>
      <c r="K221" s="811"/>
      <c r="L221" s="759"/>
      <c r="M221" s="759"/>
      <c r="N221" s="760">
        <f>SUM(N222:N229)</f>
        <v>0.76771802435519232</v>
      </c>
      <c r="O221" s="759" t="s">
        <v>1176</v>
      </c>
      <c r="P221" s="759"/>
      <c r="Q221" s="812"/>
      <c r="R221" s="813"/>
      <c r="S221" s="760">
        <f>SUM(S222:S229)</f>
        <v>0.62920889746110975</v>
      </c>
      <c r="T221" s="760"/>
      <c r="U221" s="760"/>
      <c r="V221" s="760"/>
      <c r="W221" s="760"/>
      <c r="X221" s="760"/>
      <c r="Y221" s="760">
        <f>SUM(Y222:Y229)</f>
        <v>40.716171779744336</v>
      </c>
      <c r="Z221" s="762">
        <f>(C221+D221+I221+N221+S221+Y221)*$Z$5</f>
        <v>498.19840670090844</v>
      </c>
      <c r="AA221" s="763">
        <f>C221+D221+I221+N221+S221+Y221+Z221</f>
        <v>881.37262797816152</v>
      </c>
      <c r="AB221" s="764">
        <v>0.25</v>
      </c>
      <c r="AC221" s="765">
        <f>AA221*(1+AB221)</f>
        <v>1101.7157849727018</v>
      </c>
      <c r="AD221" s="814"/>
      <c r="AF221" s="804"/>
      <c r="AG221" s="802"/>
      <c r="AH221" s="805"/>
      <c r="AI221" s="808"/>
      <c r="AJ221" s="815"/>
      <c r="AK221" s="816"/>
      <c r="AL221" s="806"/>
      <c r="AM221" s="817"/>
      <c r="AN221" s="818"/>
      <c r="AO221" s="817"/>
      <c r="AP221" s="808"/>
      <c r="AQ221" s="808"/>
      <c r="AR221" s="808"/>
      <c r="AS221" s="808"/>
      <c r="AT221" s="808"/>
      <c r="AU221" s="817"/>
      <c r="AV221" s="817"/>
      <c r="AW221" s="819"/>
    </row>
    <row r="222" spans="1:49" s="803" customFormat="1" ht="12.75" customHeight="1" x14ac:dyDescent="0.25">
      <c r="A222" s="1115"/>
      <c r="B222" s="766" t="s">
        <v>830</v>
      </c>
      <c r="C222" s="799"/>
      <c r="D222" s="820"/>
      <c r="E222" s="767" t="s">
        <v>1437</v>
      </c>
      <c r="F222" s="768" t="s">
        <v>1438</v>
      </c>
      <c r="G222" s="769">
        <v>0.74</v>
      </c>
      <c r="H222" s="768">
        <v>0.01</v>
      </c>
      <c r="I222" s="770">
        <f t="shared" ref="I222:I227" si="19">G222*H222</f>
        <v>7.4000000000000003E-3</v>
      </c>
      <c r="J222" s="758" t="s">
        <v>1291</v>
      </c>
      <c r="K222" s="771">
        <v>2</v>
      </c>
      <c r="L222" s="772">
        <v>750</v>
      </c>
      <c r="M222" s="771">
        <v>2</v>
      </c>
      <c r="N222" s="760">
        <f>L222/'Исп. коэффициенты'!E31*(C226+C227)</f>
        <v>0.66182588306482093</v>
      </c>
      <c r="O222" s="759" t="s">
        <v>2200</v>
      </c>
      <c r="P222" s="759">
        <v>7250</v>
      </c>
      <c r="Q222" s="759">
        <v>19.670000000000002</v>
      </c>
      <c r="R222" s="759">
        <f>P222*Q222%</f>
        <v>1426.075</v>
      </c>
      <c r="S222" s="759">
        <f>R222/'Исп. коэффициенты'!E31*C226</f>
        <v>0.62920889746110975</v>
      </c>
      <c r="T222" s="755" t="s">
        <v>1435</v>
      </c>
      <c r="U222" s="756">
        <v>6785401.3499999996</v>
      </c>
      <c r="V222" s="785">
        <f>'Исп. коэффициенты'!E124</f>
        <v>2978.5</v>
      </c>
      <c r="W222" s="761">
        <f>'Исп. коэффициенты'!D124</f>
        <v>1.3599999999999999E-2</v>
      </c>
      <c r="X222" s="760">
        <f>U222*W222</f>
        <v>92281.45835999999</v>
      </c>
      <c r="Y222" s="759">
        <f>X222/'Исп. коэффициенты'!E31*C226</f>
        <v>40.716171779744336</v>
      </c>
      <c r="Z222" s="759"/>
      <c r="AA222" s="755"/>
      <c r="AB222" s="755"/>
      <c r="AC222" s="773"/>
      <c r="AD222" s="802"/>
      <c r="AF222" s="821"/>
      <c r="AG222" s="802"/>
      <c r="AH222" s="805"/>
      <c r="AI222" s="805"/>
      <c r="AJ222" s="822"/>
      <c r="AK222" s="805"/>
      <c r="AL222" s="806"/>
      <c r="AM222" s="805"/>
      <c r="AN222" s="805"/>
      <c r="AO222" s="807"/>
      <c r="AP222" s="805"/>
      <c r="AQ222" s="805"/>
      <c r="AR222" s="807"/>
      <c r="AS222" s="807"/>
      <c r="AT222" s="805"/>
      <c r="AU222" s="805"/>
      <c r="AV222" s="807"/>
      <c r="AW222" s="802"/>
    </row>
    <row r="223" spans="1:49" s="803" customFormat="1" x14ac:dyDescent="0.25">
      <c r="A223" s="1115"/>
      <c r="B223" s="774" t="s">
        <v>1178</v>
      </c>
      <c r="C223" s="823">
        <f>C213</f>
        <v>38.717865870069311</v>
      </c>
      <c r="D223" s="820"/>
      <c r="E223" s="767" t="s">
        <v>1439</v>
      </c>
      <c r="F223" s="768" t="s">
        <v>1438</v>
      </c>
      <c r="G223" s="769">
        <v>0.27</v>
      </c>
      <c r="H223" s="768">
        <v>0.01</v>
      </c>
      <c r="I223" s="775">
        <f t="shared" si="19"/>
        <v>2.7000000000000001E-3</v>
      </c>
      <c r="J223" s="758" t="s">
        <v>1445</v>
      </c>
      <c r="K223" s="760">
        <v>2</v>
      </c>
      <c r="L223" s="776">
        <v>95</v>
      </c>
      <c r="M223" s="771">
        <v>2</v>
      </c>
      <c r="N223" s="760">
        <f>L223/'Исп. коэффициенты'!E31*(C226+C227)</f>
        <v>8.3831278521543984E-2</v>
      </c>
      <c r="O223" s="759"/>
      <c r="P223" s="759"/>
      <c r="Q223" s="759"/>
      <c r="R223" s="759"/>
      <c r="S223" s="759"/>
      <c r="T223" s="759"/>
      <c r="U223" s="759"/>
      <c r="V223" s="759"/>
      <c r="W223" s="759"/>
      <c r="X223" s="759"/>
      <c r="Y223" s="759"/>
      <c r="Z223" s="759"/>
      <c r="AA223" s="755"/>
      <c r="AB223" s="755"/>
      <c r="AC223" s="773"/>
      <c r="AD223" s="802"/>
      <c r="AF223" s="821"/>
      <c r="AG223" s="802"/>
      <c r="AH223" s="805"/>
      <c r="AI223" s="805"/>
      <c r="AJ223" s="822"/>
      <c r="AK223" s="805"/>
      <c r="AL223" s="806"/>
      <c r="AM223" s="824"/>
      <c r="AN223" s="805"/>
      <c r="AO223" s="807"/>
      <c r="AP223" s="805"/>
      <c r="AQ223" s="805"/>
      <c r="AR223" s="807"/>
      <c r="AS223" s="807"/>
      <c r="AT223" s="805"/>
      <c r="AU223" s="805"/>
      <c r="AV223" s="807"/>
      <c r="AW223" s="802"/>
    </row>
    <row r="224" spans="1:49" s="803" customFormat="1" ht="12.75" customHeight="1" x14ac:dyDescent="0.25">
      <c r="A224" s="1115"/>
      <c r="B224" s="754" t="s">
        <v>1179</v>
      </c>
      <c r="C224" s="799">
        <f>C214</f>
        <v>22.420123808013045</v>
      </c>
      <c r="D224" s="820"/>
      <c r="E224" s="767" t="s">
        <v>1598</v>
      </c>
      <c r="F224" s="768" t="s">
        <v>1441</v>
      </c>
      <c r="G224" s="769">
        <v>4.4000000000000004</v>
      </c>
      <c r="H224" s="769">
        <v>1</v>
      </c>
      <c r="I224" s="770">
        <f t="shared" si="19"/>
        <v>4.4000000000000004</v>
      </c>
      <c r="J224" s="758" t="s">
        <v>1513</v>
      </c>
      <c r="K224" s="760">
        <v>2</v>
      </c>
      <c r="L224" s="760">
        <v>25</v>
      </c>
      <c r="M224" s="771">
        <v>0.5</v>
      </c>
      <c r="N224" s="760">
        <f>L224/'Исп. коэффициенты'!E31*(C226+C227)</f>
        <v>2.2060862768827367E-2</v>
      </c>
      <c r="O224" s="759"/>
      <c r="P224" s="759"/>
      <c r="Q224" s="759"/>
      <c r="R224" s="759"/>
      <c r="S224" s="759"/>
      <c r="T224" s="759"/>
      <c r="U224" s="759"/>
      <c r="V224" s="759"/>
      <c r="W224" s="759"/>
      <c r="X224" s="759"/>
      <c r="Y224" s="759"/>
      <c r="Z224" s="759"/>
      <c r="AA224" s="755"/>
      <c r="AB224" s="755"/>
      <c r="AC224" s="773"/>
      <c r="AD224" s="802"/>
      <c r="AF224" s="821"/>
      <c r="AG224" s="802"/>
      <c r="AH224" s="805"/>
      <c r="AI224" s="805"/>
      <c r="AJ224" s="822"/>
      <c r="AK224" s="805"/>
      <c r="AL224" s="806"/>
      <c r="AM224" s="805"/>
      <c r="AN224" s="805"/>
      <c r="AO224" s="807"/>
      <c r="AP224" s="805"/>
      <c r="AQ224" s="805"/>
      <c r="AR224" s="807"/>
      <c r="AS224" s="807"/>
      <c r="AT224" s="805"/>
      <c r="AU224" s="805"/>
      <c r="AV224" s="807"/>
      <c r="AW224" s="802"/>
    </row>
    <row r="225" spans="1:49" s="803" customFormat="1" ht="12.75" customHeight="1" x14ac:dyDescent="0.25">
      <c r="A225" s="1115"/>
      <c r="B225" s="754" t="s">
        <v>831</v>
      </c>
      <c r="C225" s="825"/>
      <c r="D225" s="820"/>
      <c r="E225" s="767" t="s">
        <v>1599</v>
      </c>
      <c r="F225" s="768" t="s">
        <v>1441</v>
      </c>
      <c r="G225" s="769">
        <v>77.28</v>
      </c>
      <c r="H225" s="768">
        <v>1</v>
      </c>
      <c r="I225" s="770">
        <f t="shared" si="19"/>
        <v>77.28</v>
      </c>
      <c r="J225" s="758"/>
      <c r="K225" s="760"/>
      <c r="L225" s="760"/>
      <c r="M225" s="760"/>
      <c r="N225" s="760"/>
      <c r="O225" s="759"/>
      <c r="P225" s="759"/>
      <c r="Q225" s="759"/>
      <c r="R225" s="759"/>
      <c r="S225" s="759"/>
      <c r="T225" s="759"/>
      <c r="U225" s="759"/>
      <c r="V225" s="759"/>
      <c r="W225" s="759"/>
      <c r="X225" s="759"/>
      <c r="Y225" s="759"/>
      <c r="Z225" s="759"/>
      <c r="AA225" s="755"/>
      <c r="AB225" s="755"/>
      <c r="AC225" s="773"/>
      <c r="AD225" s="802"/>
      <c r="AF225" s="821"/>
      <c r="AG225" s="802"/>
      <c r="AH225" s="805"/>
      <c r="AI225" s="805"/>
      <c r="AJ225" s="822"/>
      <c r="AK225" s="805"/>
      <c r="AL225" s="806"/>
      <c r="AM225" s="805"/>
      <c r="AN225" s="805"/>
      <c r="AO225" s="807"/>
      <c r="AP225" s="805"/>
      <c r="AQ225" s="805"/>
      <c r="AR225" s="807"/>
      <c r="AS225" s="807"/>
      <c r="AT225" s="805"/>
      <c r="AU225" s="805"/>
      <c r="AV225" s="807"/>
      <c r="AW225" s="802"/>
    </row>
    <row r="226" spans="1:49" s="803" customFormat="1" ht="12.75" customHeight="1" x14ac:dyDescent="0.25">
      <c r="A226" s="1115"/>
      <c r="B226" s="774" t="s">
        <v>1178</v>
      </c>
      <c r="C226" s="826">
        <v>3.5</v>
      </c>
      <c r="D226" s="820"/>
      <c r="E226" s="767" t="s">
        <v>1442</v>
      </c>
      <c r="F226" s="768" t="s">
        <v>1443</v>
      </c>
      <c r="G226" s="769">
        <v>419.5</v>
      </c>
      <c r="H226" s="768">
        <v>1E-3</v>
      </c>
      <c r="I226" s="770">
        <f t="shared" si="19"/>
        <v>0.41949999999999998</v>
      </c>
      <c r="J226" s="758"/>
      <c r="K226" s="760"/>
      <c r="L226" s="760"/>
      <c r="M226" s="760"/>
      <c r="N226" s="760"/>
      <c r="O226" s="759"/>
      <c r="P226" s="759"/>
      <c r="Q226" s="759"/>
      <c r="R226" s="759"/>
      <c r="S226" s="759"/>
      <c r="T226" s="759"/>
      <c r="U226" s="759"/>
      <c r="V226" s="759"/>
      <c r="W226" s="759"/>
      <c r="X226" s="759"/>
      <c r="Y226" s="759"/>
      <c r="Z226" s="759"/>
      <c r="AA226" s="755"/>
      <c r="AB226" s="755"/>
      <c r="AC226" s="773"/>
      <c r="AD226" s="802"/>
      <c r="AF226" s="821"/>
      <c r="AG226" s="802"/>
      <c r="AH226" s="805"/>
      <c r="AI226" s="805"/>
      <c r="AJ226" s="827"/>
      <c r="AK226" s="805"/>
      <c r="AL226" s="806"/>
      <c r="AM226" s="805"/>
      <c r="AN226" s="805"/>
      <c r="AO226" s="807"/>
      <c r="AP226" s="805"/>
      <c r="AQ226" s="805"/>
      <c r="AR226" s="807"/>
      <c r="AS226" s="807"/>
      <c r="AT226" s="805"/>
      <c r="AU226" s="805"/>
      <c r="AV226" s="807"/>
      <c r="AW226" s="802"/>
    </row>
    <row r="227" spans="1:49" s="803" customFormat="1" ht="12.75" customHeight="1" x14ac:dyDescent="0.25">
      <c r="A227" s="1115"/>
      <c r="B227" s="754" t="s">
        <v>1179</v>
      </c>
      <c r="C227" s="826">
        <v>3.5</v>
      </c>
      <c r="D227" s="820"/>
      <c r="E227" s="767" t="s">
        <v>1444</v>
      </c>
      <c r="F227" s="768" t="s">
        <v>1443</v>
      </c>
      <c r="G227" s="769">
        <v>872</v>
      </c>
      <c r="H227" s="768">
        <v>2E-3</v>
      </c>
      <c r="I227" s="770">
        <f t="shared" si="19"/>
        <v>1.744</v>
      </c>
      <c r="J227" s="758"/>
      <c r="K227" s="760"/>
      <c r="L227" s="760"/>
      <c r="M227" s="760"/>
      <c r="N227" s="760"/>
      <c r="O227" s="759"/>
      <c r="P227" s="759"/>
      <c r="Q227" s="759"/>
      <c r="R227" s="759"/>
      <c r="S227" s="759"/>
      <c r="T227" s="759"/>
      <c r="U227" s="759"/>
      <c r="V227" s="759"/>
      <c r="W227" s="759"/>
      <c r="X227" s="759"/>
      <c r="Y227" s="759"/>
      <c r="Z227" s="759"/>
      <c r="AA227" s="755"/>
      <c r="AB227" s="755"/>
      <c r="AC227" s="773"/>
      <c r="AD227" s="802"/>
      <c r="AF227" s="821"/>
      <c r="AG227" s="802"/>
      <c r="AH227" s="805"/>
      <c r="AI227" s="805"/>
      <c r="AJ227" s="827"/>
      <c r="AK227" s="805"/>
      <c r="AL227" s="806"/>
      <c r="AM227" s="805"/>
      <c r="AN227" s="805"/>
      <c r="AO227" s="807"/>
      <c r="AP227" s="805"/>
      <c r="AQ227" s="805"/>
      <c r="AR227" s="807"/>
      <c r="AS227" s="807"/>
      <c r="AT227" s="805"/>
      <c r="AU227" s="805"/>
      <c r="AV227" s="807"/>
      <c r="AW227" s="802"/>
    </row>
    <row r="228" spans="1:49" s="803" customFormat="1" ht="12.75" customHeight="1" x14ac:dyDescent="0.25">
      <c r="A228" s="1115"/>
      <c r="B228" s="782" t="s">
        <v>1181</v>
      </c>
      <c r="C228" s="799">
        <f>C223*C226+C224*C227</f>
        <v>213.98296387328824</v>
      </c>
      <c r="D228" s="820"/>
      <c r="E228" s="780"/>
      <c r="F228" s="781"/>
      <c r="G228" s="769"/>
      <c r="H228" s="768"/>
      <c r="I228" s="770"/>
      <c r="J228" s="758"/>
      <c r="K228" s="828"/>
      <c r="L228" s="776"/>
      <c r="M228" s="771"/>
      <c r="N228" s="760"/>
      <c r="O228" s="759"/>
      <c r="P228" s="759"/>
      <c r="Q228" s="759"/>
      <c r="R228" s="759"/>
      <c r="S228" s="759"/>
      <c r="T228" s="759"/>
      <c r="U228" s="759"/>
      <c r="V228" s="759"/>
      <c r="W228" s="759"/>
      <c r="X228" s="759"/>
      <c r="Y228" s="759"/>
      <c r="Z228" s="759"/>
      <c r="AA228" s="755"/>
      <c r="AB228" s="755"/>
      <c r="AC228" s="773"/>
      <c r="AD228" s="802"/>
      <c r="AF228" s="821"/>
      <c r="AG228" s="802"/>
      <c r="AH228" s="805"/>
      <c r="AI228" s="805"/>
      <c r="AJ228" s="822"/>
      <c r="AK228" s="805"/>
      <c r="AL228" s="806"/>
      <c r="AM228" s="805"/>
      <c r="AN228" s="805"/>
      <c r="AO228" s="807"/>
      <c r="AP228" s="805"/>
      <c r="AQ228" s="805"/>
      <c r="AR228" s="807"/>
      <c r="AS228" s="807"/>
      <c r="AT228" s="805"/>
      <c r="AU228" s="805"/>
      <c r="AV228" s="807"/>
      <c r="AW228" s="802"/>
    </row>
    <row r="229" spans="1:49" s="803" customFormat="1" ht="13.5" customHeight="1" x14ac:dyDescent="0.25">
      <c r="A229" s="1116"/>
      <c r="B229" s="783"/>
      <c r="C229" s="826"/>
      <c r="D229" s="829"/>
      <c r="E229" s="780"/>
      <c r="F229" s="781"/>
      <c r="G229" s="769"/>
      <c r="H229" s="768"/>
      <c r="I229" s="770"/>
      <c r="J229" s="758"/>
      <c r="K229" s="828"/>
      <c r="L229" s="760"/>
      <c r="M229" s="771"/>
      <c r="N229" s="760"/>
      <c r="O229" s="759"/>
      <c r="P229" s="759"/>
      <c r="Q229" s="759"/>
      <c r="R229" s="759"/>
      <c r="S229" s="759"/>
      <c r="T229" s="759"/>
      <c r="U229" s="759"/>
      <c r="V229" s="759"/>
      <c r="W229" s="759"/>
      <c r="X229" s="759"/>
      <c r="Y229" s="759"/>
      <c r="Z229" s="759"/>
      <c r="AA229" s="755"/>
      <c r="AB229" s="755"/>
      <c r="AC229" s="773"/>
      <c r="AD229" s="802"/>
      <c r="AF229" s="821"/>
      <c r="AG229" s="802"/>
      <c r="AH229" s="805"/>
      <c r="AI229" s="805"/>
      <c r="AJ229" s="827"/>
      <c r="AK229" s="805"/>
      <c r="AL229" s="806"/>
      <c r="AM229" s="805"/>
      <c r="AN229" s="805"/>
      <c r="AO229" s="807"/>
      <c r="AP229" s="805"/>
      <c r="AQ229" s="805"/>
      <c r="AR229" s="807"/>
      <c r="AS229" s="807"/>
      <c r="AT229" s="805"/>
      <c r="AU229" s="805"/>
      <c r="AV229" s="807"/>
      <c r="AW229" s="802"/>
    </row>
    <row r="230" spans="1:49" s="3" customFormat="1" ht="56.25" hidden="1" customHeight="1" x14ac:dyDescent="0.25">
      <c r="A230" s="1012" t="s">
        <v>1621</v>
      </c>
      <c r="B230" s="258" t="s">
        <v>730</v>
      </c>
      <c r="C230" s="222"/>
      <c r="D230" s="219"/>
      <c r="E230" s="226" t="s">
        <v>488</v>
      </c>
      <c r="F230" s="53" t="s">
        <v>837</v>
      </c>
      <c r="G230" s="51" t="s">
        <v>489</v>
      </c>
      <c r="H230" s="52" t="s">
        <v>1170</v>
      </c>
      <c r="I230" s="53" t="s">
        <v>838</v>
      </c>
      <c r="J230" s="47" t="s">
        <v>1171</v>
      </c>
      <c r="K230" s="47" t="s">
        <v>490</v>
      </c>
      <c r="L230" s="54" t="s">
        <v>489</v>
      </c>
      <c r="M230" s="47" t="s">
        <v>1172</v>
      </c>
      <c r="N230" s="53" t="s">
        <v>838</v>
      </c>
      <c r="O230" s="47" t="s">
        <v>1171</v>
      </c>
      <c r="P230" s="47" t="s">
        <v>826</v>
      </c>
      <c r="Q230" s="47" t="s">
        <v>1173</v>
      </c>
      <c r="R230" s="47" t="s">
        <v>1174</v>
      </c>
      <c r="S230" s="47" t="s">
        <v>839</v>
      </c>
      <c r="T230" s="47" t="s">
        <v>1171</v>
      </c>
      <c r="U230" s="47" t="s">
        <v>1392</v>
      </c>
      <c r="V230" s="47" t="s">
        <v>841</v>
      </c>
      <c r="W230" s="231" t="s">
        <v>1173</v>
      </c>
      <c r="X230" s="47" t="s">
        <v>1394</v>
      </c>
      <c r="Y230" s="47" t="s">
        <v>839</v>
      </c>
      <c r="Z230" s="55"/>
      <c r="AA230" s="1"/>
      <c r="AB230" s="1"/>
      <c r="AC230" s="245"/>
      <c r="AD230" s="56"/>
      <c r="AF230" s="81"/>
      <c r="AG230" s="56"/>
      <c r="AH230" s="125"/>
      <c r="AI230" s="125"/>
      <c r="AJ230" s="125"/>
      <c r="AK230" s="125"/>
      <c r="AL230" s="127"/>
      <c r="AM230" s="125"/>
      <c r="AN230" s="125"/>
      <c r="AO230" s="128"/>
      <c r="AP230" s="125"/>
      <c r="AQ230" s="139"/>
      <c r="AR230" s="139"/>
      <c r="AS230" s="139"/>
      <c r="AT230" s="125"/>
      <c r="AU230" s="125"/>
      <c r="AV230" s="128"/>
      <c r="AW230" s="56"/>
    </row>
    <row r="231" spans="1:49" s="3" customFormat="1" ht="12" hidden="1" customHeight="1" x14ac:dyDescent="0.25">
      <c r="A231" s="1013"/>
      <c r="B231" s="36" t="s">
        <v>1175</v>
      </c>
      <c r="C231" s="222">
        <f>C238</f>
        <v>72.348051582088885</v>
      </c>
      <c r="D231" s="219">
        <f>C231*$D$5</f>
        <v>14.614306419581956</v>
      </c>
      <c r="E231" s="227" t="s">
        <v>1176</v>
      </c>
      <c r="F231" s="165"/>
      <c r="G231" s="58"/>
      <c r="H231" s="58"/>
      <c r="I231" s="2">
        <f>SUM(I232:I239)</f>
        <v>83.8536</v>
      </c>
      <c r="J231" s="59" t="s">
        <v>1176</v>
      </c>
      <c r="K231" s="169"/>
      <c r="L231" s="60"/>
      <c r="M231" s="60"/>
      <c r="N231" s="61">
        <f>SUM(N232:N239)</f>
        <v>8.4000000000000005E-2</v>
      </c>
      <c r="O231" s="60" t="s">
        <v>1176</v>
      </c>
      <c r="P231" s="60"/>
      <c r="Q231" s="62"/>
      <c r="R231" s="63"/>
      <c r="S231" s="61">
        <f>SUM(S232:S239)</f>
        <v>9.7215000000000007</v>
      </c>
      <c r="T231" s="61"/>
      <c r="U231" s="61"/>
      <c r="V231" s="61"/>
      <c r="W231" s="61"/>
      <c r="X231" s="61"/>
      <c r="Y231" s="61">
        <f>SUM(Y232:Y239)</f>
        <v>9.1999999999999998E-3</v>
      </c>
      <c r="Z231" s="64">
        <f>(C231+D231+I231+N231+S231+Y231)*$Z$5</f>
        <v>234.85375847519541</v>
      </c>
      <c r="AA231" s="65">
        <f>C231+D231+I231+N231+S231+Y231+Z231</f>
        <v>415.48441647686622</v>
      </c>
      <c r="AB231" s="66">
        <v>0.25</v>
      </c>
      <c r="AC231" s="244">
        <f>AA231*(1+AB231)</f>
        <v>519.35552059608278</v>
      </c>
      <c r="AD231" s="67"/>
      <c r="AF231" s="81"/>
      <c r="AG231" s="56"/>
      <c r="AH231" s="125"/>
      <c r="AI231" s="139"/>
      <c r="AJ231" s="140"/>
      <c r="AK231" s="141"/>
      <c r="AL231" s="127"/>
      <c r="AM231" s="142"/>
      <c r="AN231" s="143"/>
      <c r="AO231" s="142"/>
      <c r="AP231" s="139"/>
      <c r="AQ231" s="139"/>
      <c r="AR231" s="139"/>
      <c r="AS231" s="139"/>
      <c r="AT231" s="139"/>
      <c r="AU231" s="142"/>
      <c r="AV231" s="142"/>
      <c r="AW231" s="144"/>
    </row>
    <row r="232" spans="1:49" s="3" customFormat="1" ht="12.75" hidden="1" customHeight="1" x14ac:dyDescent="0.25">
      <c r="A232" s="1013"/>
      <c r="B232" s="50" t="s">
        <v>830</v>
      </c>
      <c r="C232" s="222"/>
      <c r="D232" s="220"/>
      <c r="E232" s="68" t="s">
        <v>1437</v>
      </c>
      <c r="F232" s="69" t="s">
        <v>1438</v>
      </c>
      <c r="G232" s="70">
        <v>0.74</v>
      </c>
      <c r="H232" s="69">
        <v>0.01</v>
      </c>
      <c r="I232" s="71">
        <f t="shared" ref="I232:I237" si="20">G232*H232</f>
        <v>7.4000000000000003E-3</v>
      </c>
      <c r="J232" s="59" t="s">
        <v>1291</v>
      </c>
      <c r="K232" s="61">
        <v>2</v>
      </c>
      <c r="L232" s="61">
        <v>640</v>
      </c>
      <c r="M232" s="61">
        <v>2</v>
      </c>
      <c r="N232" s="61">
        <v>0.05</v>
      </c>
      <c r="O232" s="60" t="s">
        <v>1239</v>
      </c>
      <c r="P232" s="60">
        <v>61189.5</v>
      </c>
      <c r="Q232" s="60">
        <v>19.670000000000002</v>
      </c>
      <c r="R232" s="60">
        <v>6513.87</v>
      </c>
      <c r="S232" s="60">
        <v>9.7215000000000007</v>
      </c>
      <c r="T232" s="239" t="s">
        <v>1435</v>
      </c>
      <c r="U232" s="240">
        <v>6785401.3499999996</v>
      </c>
      <c r="V232" s="241">
        <v>1.32E-2</v>
      </c>
      <c r="W232" s="239">
        <v>1508.3</v>
      </c>
      <c r="X232" s="61">
        <v>59.38</v>
      </c>
      <c r="Y232" s="60">
        <v>9.1999999999999998E-3</v>
      </c>
      <c r="Z232" s="60"/>
      <c r="AA232" s="1"/>
      <c r="AB232" s="1"/>
      <c r="AC232" s="245"/>
      <c r="AD232" s="56"/>
      <c r="AF232" s="151"/>
      <c r="AG232" s="56"/>
      <c r="AH232" s="125"/>
      <c r="AI232" s="125"/>
      <c r="AJ232" s="136"/>
      <c r="AK232" s="125"/>
      <c r="AL232" s="127"/>
      <c r="AM232" s="125"/>
      <c r="AN232" s="125"/>
      <c r="AO232" s="128"/>
      <c r="AP232" s="125"/>
      <c r="AQ232" s="125"/>
      <c r="AR232" s="128"/>
      <c r="AS232" s="128"/>
      <c r="AT232" s="125"/>
      <c r="AU232" s="125"/>
      <c r="AV232" s="128"/>
      <c r="AW232" s="56"/>
    </row>
    <row r="233" spans="1:49" s="3" customFormat="1" hidden="1" x14ac:dyDescent="0.25">
      <c r="A233" s="1013"/>
      <c r="B233" s="74" t="s">
        <v>1178</v>
      </c>
      <c r="C233" s="223">
        <f>C223</f>
        <v>38.717865870069311</v>
      </c>
      <c r="D233" s="220"/>
      <c r="E233" s="68" t="s">
        <v>1439</v>
      </c>
      <c r="F233" s="69" t="s">
        <v>1438</v>
      </c>
      <c r="G233" s="70">
        <v>0.27</v>
      </c>
      <c r="H233" s="69">
        <v>0.01</v>
      </c>
      <c r="I233" s="242">
        <f t="shared" si="20"/>
        <v>2.7000000000000001E-3</v>
      </c>
      <c r="J233" s="59" t="s">
        <v>1445</v>
      </c>
      <c r="K233" s="61">
        <v>2</v>
      </c>
      <c r="L233" s="61">
        <v>84</v>
      </c>
      <c r="M233" s="61">
        <v>2</v>
      </c>
      <c r="N233" s="61">
        <v>8.9999999999999993E-3</v>
      </c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1"/>
      <c r="AB233" s="1"/>
      <c r="AC233" s="245"/>
      <c r="AD233" s="56"/>
      <c r="AF233" s="151"/>
      <c r="AG233" s="56"/>
      <c r="AH233" s="125"/>
      <c r="AI233" s="125"/>
      <c r="AJ233" s="136"/>
      <c r="AK233" s="125"/>
      <c r="AL233" s="127"/>
      <c r="AM233" s="145"/>
      <c r="AN233" s="125"/>
      <c r="AO233" s="128"/>
      <c r="AP233" s="125"/>
      <c r="AQ233" s="125"/>
      <c r="AR233" s="128"/>
      <c r="AS233" s="128"/>
      <c r="AT233" s="125"/>
      <c r="AU233" s="125"/>
      <c r="AV233" s="128"/>
      <c r="AW233" s="56"/>
    </row>
    <row r="234" spans="1:49" s="3" customFormat="1" ht="12.75" hidden="1" customHeight="1" x14ac:dyDescent="0.25">
      <c r="A234" s="1013"/>
      <c r="B234" s="57" t="s">
        <v>1179</v>
      </c>
      <c r="C234" s="222">
        <f>C224</f>
        <v>22.420123808013045</v>
      </c>
      <c r="D234" s="220"/>
      <c r="E234" s="68" t="s">
        <v>1598</v>
      </c>
      <c r="F234" s="69" t="s">
        <v>1441</v>
      </c>
      <c r="G234" s="70">
        <v>4.4000000000000004</v>
      </c>
      <c r="H234" s="70">
        <v>1</v>
      </c>
      <c r="I234" s="71">
        <f t="shared" si="20"/>
        <v>4.4000000000000004</v>
      </c>
      <c r="J234" s="59" t="s">
        <v>1513</v>
      </c>
      <c r="K234" s="61">
        <v>2</v>
      </c>
      <c r="L234" s="61">
        <v>25</v>
      </c>
      <c r="M234" s="61">
        <v>0.5</v>
      </c>
      <c r="N234" s="61">
        <v>2.5000000000000001E-2</v>
      </c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1"/>
      <c r="AB234" s="1"/>
      <c r="AC234" s="245"/>
      <c r="AD234" s="56"/>
      <c r="AF234" s="151"/>
      <c r="AG234" s="56"/>
      <c r="AH234" s="125"/>
      <c r="AI234" s="125"/>
      <c r="AJ234" s="136"/>
      <c r="AK234" s="125"/>
      <c r="AL234" s="127"/>
      <c r="AM234" s="125"/>
      <c r="AN234" s="125"/>
      <c r="AO234" s="128"/>
      <c r="AP234" s="125"/>
      <c r="AQ234" s="125"/>
      <c r="AR234" s="128"/>
      <c r="AS234" s="128"/>
      <c r="AT234" s="125"/>
      <c r="AU234" s="125"/>
      <c r="AV234" s="128"/>
      <c r="AW234" s="56"/>
    </row>
    <row r="235" spans="1:49" s="3" customFormat="1" ht="12.75" hidden="1" customHeight="1" x14ac:dyDescent="0.25">
      <c r="A235" s="1013"/>
      <c r="B235" s="57" t="s">
        <v>831</v>
      </c>
      <c r="C235" s="224"/>
      <c r="D235" s="220"/>
      <c r="E235" s="68" t="s">
        <v>1599</v>
      </c>
      <c r="F235" s="69" t="s">
        <v>1441</v>
      </c>
      <c r="G235" s="70">
        <v>77.28</v>
      </c>
      <c r="H235" s="69">
        <v>1</v>
      </c>
      <c r="I235" s="71">
        <f t="shared" si="20"/>
        <v>77.28</v>
      </c>
      <c r="J235" s="59"/>
      <c r="K235" s="61"/>
      <c r="L235" s="61"/>
      <c r="M235" s="61"/>
      <c r="N235" s="61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1"/>
      <c r="AB235" s="1"/>
      <c r="AC235" s="245"/>
      <c r="AD235" s="56"/>
      <c r="AF235" s="151"/>
      <c r="AG235" s="56"/>
      <c r="AH235" s="125"/>
      <c r="AI235" s="125"/>
      <c r="AJ235" s="136"/>
      <c r="AK235" s="125"/>
      <c r="AL235" s="127"/>
      <c r="AM235" s="125"/>
      <c r="AN235" s="125"/>
      <c r="AO235" s="128"/>
      <c r="AP235" s="125"/>
      <c r="AQ235" s="125"/>
      <c r="AR235" s="128"/>
      <c r="AS235" s="128"/>
      <c r="AT235" s="125"/>
      <c r="AU235" s="125"/>
      <c r="AV235" s="128"/>
      <c r="AW235" s="56"/>
    </row>
    <row r="236" spans="1:49" s="3" customFormat="1" ht="12.75" hidden="1" customHeight="1" x14ac:dyDescent="0.25">
      <c r="A236" s="1013"/>
      <c r="B236" s="74" t="s">
        <v>1178</v>
      </c>
      <c r="C236" s="225">
        <v>1</v>
      </c>
      <c r="D236" s="220"/>
      <c r="E236" s="68" t="s">
        <v>1442</v>
      </c>
      <c r="F236" s="69" t="s">
        <v>1443</v>
      </c>
      <c r="G236" s="70">
        <v>419.5</v>
      </c>
      <c r="H236" s="69">
        <v>1E-3</v>
      </c>
      <c r="I236" s="71">
        <f t="shared" si="20"/>
        <v>0.41949999999999998</v>
      </c>
      <c r="J236" s="59"/>
      <c r="K236" s="61"/>
      <c r="L236" s="61"/>
      <c r="M236" s="61"/>
      <c r="N236" s="61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1"/>
      <c r="AB236" s="1"/>
      <c r="AC236" s="245"/>
      <c r="AD236" s="56"/>
      <c r="AF236" s="151"/>
      <c r="AG236" s="56"/>
      <c r="AH236" s="125"/>
      <c r="AI236" s="125"/>
      <c r="AJ236" s="146"/>
      <c r="AK236" s="125"/>
      <c r="AL236" s="127"/>
      <c r="AM236" s="125"/>
      <c r="AN236" s="125"/>
      <c r="AO236" s="128"/>
      <c r="AP236" s="125"/>
      <c r="AQ236" s="125"/>
      <c r="AR236" s="128"/>
      <c r="AS236" s="128"/>
      <c r="AT236" s="125"/>
      <c r="AU236" s="125"/>
      <c r="AV236" s="128"/>
      <c r="AW236" s="56"/>
    </row>
    <row r="237" spans="1:49" s="3" customFormat="1" ht="12.75" hidden="1" customHeight="1" x14ac:dyDescent="0.25">
      <c r="A237" s="1013"/>
      <c r="B237" s="57" t="s">
        <v>1179</v>
      </c>
      <c r="C237" s="225">
        <v>1.5</v>
      </c>
      <c r="D237" s="220"/>
      <c r="E237" s="68" t="s">
        <v>1444</v>
      </c>
      <c r="F237" s="69" t="s">
        <v>1443</v>
      </c>
      <c r="G237" s="70">
        <v>872</v>
      </c>
      <c r="H237" s="69">
        <v>2E-3</v>
      </c>
      <c r="I237" s="71">
        <f t="shared" si="20"/>
        <v>1.744</v>
      </c>
      <c r="J237" s="59"/>
      <c r="K237" s="61"/>
      <c r="L237" s="61"/>
      <c r="M237" s="61"/>
      <c r="N237" s="61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1"/>
      <c r="AB237" s="1"/>
      <c r="AC237" s="245"/>
      <c r="AD237" s="56"/>
      <c r="AF237" s="151"/>
      <c r="AG237" s="56"/>
      <c r="AH237" s="125"/>
      <c r="AI237" s="125"/>
      <c r="AJ237" s="146"/>
      <c r="AK237" s="125"/>
      <c r="AL237" s="127"/>
      <c r="AM237" s="125"/>
      <c r="AN237" s="125"/>
      <c r="AO237" s="128"/>
      <c r="AP237" s="125"/>
      <c r="AQ237" s="125"/>
      <c r="AR237" s="128"/>
      <c r="AS237" s="128"/>
      <c r="AT237" s="125"/>
      <c r="AU237" s="125"/>
      <c r="AV237" s="128"/>
      <c r="AW237" s="56"/>
    </row>
    <row r="238" spans="1:49" s="3" customFormat="1" ht="12.75" hidden="1" customHeight="1" x14ac:dyDescent="0.25">
      <c r="A238" s="1013"/>
      <c r="B238" s="79" t="s">
        <v>1181</v>
      </c>
      <c r="C238" s="222">
        <f>C233*C236+C234*C237</f>
        <v>72.348051582088885</v>
      </c>
      <c r="D238" s="220"/>
      <c r="E238" s="228"/>
      <c r="F238" s="166"/>
      <c r="G238" s="70"/>
      <c r="H238" s="69"/>
      <c r="I238" s="71"/>
      <c r="J238" s="59"/>
      <c r="K238" s="170"/>
      <c r="L238" s="76"/>
      <c r="M238" s="72"/>
      <c r="N238" s="61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1"/>
      <c r="AB238" s="1"/>
      <c r="AC238" s="245"/>
      <c r="AD238" s="56"/>
      <c r="AF238" s="151"/>
      <c r="AG238" s="56"/>
      <c r="AH238" s="125"/>
      <c r="AI238" s="125"/>
      <c r="AJ238" s="136"/>
      <c r="AK238" s="125"/>
      <c r="AL238" s="127"/>
      <c r="AM238" s="125"/>
      <c r="AN238" s="125"/>
      <c r="AO238" s="128"/>
      <c r="AP238" s="125"/>
      <c r="AQ238" s="125"/>
      <c r="AR238" s="128"/>
      <c r="AS238" s="128"/>
      <c r="AT238" s="125"/>
      <c r="AU238" s="125"/>
      <c r="AV238" s="128"/>
      <c r="AW238" s="56"/>
    </row>
    <row r="239" spans="1:49" s="3" customFormat="1" ht="13.5" hidden="1" customHeight="1" x14ac:dyDescent="0.25">
      <c r="A239" s="1014"/>
      <c r="B239" s="123"/>
      <c r="C239" s="225"/>
      <c r="D239" s="221"/>
      <c r="E239" s="228"/>
      <c r="F239" s="166"/>
      <c r="G239" s="70"/>
      <c r="H239" s="69"/>
      <c r="I239" s="71"/>
      <c r="J239" s="59"/>
      <c r="K239" s="170"/>
      <c r="L239" s="61"/>
      <c r="M239" s="72"/>
      <c r="N239" s="61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1"/>
      <c r="AB239" s="1"/>
      <c r="AC239" s="245"/>
      <c r="AD239" s="56"/>
      <c r="AF239" s="151"/>
      <c r="AG239" s="56"/>
      <c r="AH239" s="125"/>
      <c r="AI239" s="125"/>
      <c r="AJ239" s="146"/>
      <c r="AK239" s="125"/>
      <c r="AL239" s="127"/>
      <c r="AM239" s="125"/>
      <c r="AN239" s="125"/>
      <c r="AO239" s="128"/>
      <c r="AP239" s="125"/>
      <c r="AQ239" s="125"/>
      <c r="AR239" s="128"/>
      <c r="AS239" s="128"/>
      <c r="AT239" s="125"/>
      <c r="AU239" s="125"/>
      <c r="AV239" s="128"/>
      <c r="AW239" s="56"/>
    </row>
    <row r="240" spans="1:49" s="3" customFormat="1" ht="56.25" hidden="1" customHeight="1" x14ac:dyDescent="0.25">
      <c r="A240" s="1012" t="s">
        <v>1622</v>
      </c>
      <c r="B240" s="258" t="s">
        <v>731</v>
      </c>
      <c r="C240" s="222"/>
      <c r="D240" s="219"/>
      <c r="E240" s="226" t="s">
        <v>488</v>
      </c>
      <c r="F240" s="53" t="s">
        <v>837</v>
      </c>
      <c r="G240" s="51" t="s">
        <v>489</v>
      </c>
      <c r="H240" s="52" t="s">
        <v>1170</v>
      </c>
      <c r="I240" s="53" t="s">
        <v>838</v>
      </c>
      <c r="J240" s="47" t="s">
        <v>1171</v>
      </c>
      <c r="K240" s="47" t="s">
        <v>490</v>
      </c>
      <c r="L240" s="54" t="s">
        <v>489</v>
      </c>
      <c r="M240" s="47" t="s">
        <v>1172</v>
      </c>
      <c r="N240" s="53" t="s">
        <v>838</v>
      </c>
      <c r="O240" s="47" t="s">
        <v>1171</v>
      </c>
      <c r="P240" s="47" t="s">
        <v>826</v>
      </c>
      <c r="Q240" s="47" t="s">
        <v>1173</v>
      </c>
      <c r="R240" s="47" t="s">
        <v>1174</v>
      </c>
      <c r="S240" s="47" t="s">
        <v>839</v>
      </c>
      <c r="T240" s="47" t="s">
        <v>1171</v>
      </c>
      <c r="U240" s="47" t="s">
        <v>1392</v>
      </c>
      <c r="V240" s="47" t="s">
        <v>841</v>
      </c>
      <c r="W240" s="231" t="s">
        <v>1173</v>
      </c>
      <c r="X240" s="47" t="s">
        <v>1394</v>
      </c>
      <c r="Y240" s="47" t="s">
        <v>839</v>
      </c>
      <c r="Z240" s="55"/>
      <c r="AA240" s="1"/>
      <c r="AB240" s="1"/>
      <c r="AC240" s="245"/>
      <c r="AD240" s="56"/>
      <c r="AF240" s="81"/>
      <c r="AG240" s="56"/>
      <c r="AH240" s="125"/>
      <c r="AI240" s="125"/>
      <c r="AJ240" s="125"/>
      <c r="AK240" s="125"/>
      <c r="AL240" s="127"/>
      <c r="AM240" s="125"/>
      <c r="AN240" s="125"/>
      <c r="AO240" s="128"/>
      <c r="AP240" s="125"/>
      <c r="AQ240" s="139"/>
      <c r="AR240" s="139"/>
      <c r="AS240" s="139"/>
      <c r="AT240" s="125"/>
      <c r="AU240" s="125"/>
      <c r="AV240" s="128"/>
      <c r="AW240" s="56"/>
    </row>
    <row r="241" spans="1:49" s="3" customFormat="1" ht="12" hidden="1" customHeight="1" x14ac:dyDescent="0.25">
      <c r="A241" s="1013"/>
      <c r="B241" s="36" t="s">
        <v>1175</v>
      </c>
      <c r="C241" s="222">
        <f>C248</f>
        <v>72.348051582088885</v>
      </c>
      <c r="D241" s="219">
        <f>C241*$D$5</f>
        <v>14.614306419581956</v>
      </c>
      <c r="E241" s="227" t="s">
        <v>1176</v>
      </c>
      <c r="F241" s="165"/>
      <c r="G241" s="58"/>
      <c r="H241" s="58"/>
      <c r="I241" s="2">
        <f>SUM(I242:I249)</f>
        <v>83.8536</v>
      </c>
      <c r="J241" s="59" t="s">
        <v>1176</v>
      </c>
      <c r="K241" s="169"/>
      <c r="L241" s="60"/>
      <c r="M241" s="60"/>
      <c r="N241" s="61">
        <f>SUM(N242:N249)</f>
        <v>8.4000000000000005E-2</v>
      </c>
      <c r="O241" s="60" t="s">
        <v>1176</v>
      </c>
      <c r="P241" s="60"/>
      <c r="Q241" s="62"/>
      <c r="R241" s="63"/>
      <c r="S241" s="61">
        <f>SUM(S242:S249)</f>
        <v>9.7215000000000007</v>
      </c>
      <c r="T241" s="61"/>
      <c r="U241" s="61"/>
      <c r="V241" s="61"/>
      <c r="W241" s="61"/>
      <c r="X241" s="61"/>
      <c r="Y241" s="61">
        <f>SUM(Y242:Y249)</f>
        <v>9.1999999999999998E-3</v>
      </c>
      <c r="Z241" s="64">
        <f>(C241+D241+I241+N241+S241+Y241)*$Z$5</f>
        <v>234.85375847519541</v>
      </c>
      <c r="AA241" s="65">
        <f>C241+D241+I241+N241+S241+Y241+Z241</f>
        <v>415.48441647686622</v>
      </c>
      <c r="AB241" s="66">
        <v>0.25</v>
      </c>
      <c r="AC241" s="244">
        <f>AA241*(1+AB241)</f>
        <v>519.35552059608278</v>
      </c>
      <c r="AD241" s="67"/>
      <c r="AF241" s="81"/>
      <c r="AG241" s="56"/>
      <c r="AH241" s="125"/>
      <c r="AI241" s="139"/>
      <c r="AJ241" s="140"/>
      <c r="AK241" s="141"/>
      <c r="AL241" s="127"/>
      <c r="AM241" s="142"/>
      <c r="AN241" s="143"/>
      <c r="AO241" s="142"/>
      <c r="AP241" s="139"/>
      <c r="AQ241" s="139"/>
      <c r="AR241" s="139"/>
      <c r="AS241" s="139"/>
      <c r="AT241" s="139"/>
      <c r="AU241" s="142"/>
      <c r="AV241" s="142"/>
      <c r="AW241" s="144"/>
    </row>
    <row r="242" spans="1:49" s="3" customFormat="1" ht="12.75" hidden="1" customHeight="1" x14ac:dyDescent="0.25">
      <c r="A242" s="1013"/>
      <c r="B242" s="50" t="s">
        <v>830</v>
      </c>
      <c r="C242" s="222"/>
      <c r="D242" s="220"/>
      <c r="E242" s="68" t="s">
        <v>1437</v>
      </c>
      <c r="F242" s="69" t="s">
        <v>1438</v>
      </c>
      <c r="G242" s="70">
        <v>0.74</v>
      </c>
      <c r="H242" s="69">
        <v>0.01</v>
      </c>
      <c r="I242" s="71">
        <f t="shared" ref="I242:I247" si="21">G242*H242</f>
        <v>7.4000000000000003E-3</v>
      </c>
      <c r="J242" s="59" t="s">
        <v>1291</v>
      </c>
      <c r="K242" s="61">
        <v>2</v>
      </c>
      <c r="L242" s="61">
        <v>640</v>
      </c>
      <c r="M242" s="61">
        <v>2</v>
      </c>
      <c r="N242" s="61">
        <v>0.05</v>
      </c>
      <c r="O242" s="60" t="s">
        <v>1239</v>
      </c>
      <c r="P242" s="60">
        <v>61189.5</v>
      </c>
      <c r="Q242" s="60">
        <v>19.670000000000002</v>
      </c>
      <c r="R242" s="60">
        <v>6513.87</v>
      </c>
      <c r="S242" s="60">
        <v>9.7215000000000007</v>
      </c>
      <c r="T242" s="239" t="s">
        <v>1435</v>
      </c>
      <c r="U242" s="240">
        <v>6785401.3499999996</v>
      </c>
      <c r="V242" s="241">
        <v>1.32E-2</v>
      </c>
      <c r="W242" s="239">
        <v>1508.3</v>
      </c>
      <c r="X242" s="61">
        <v>59.38</v>
      </c>
      <c r="Y242" s="60">
        <v>9.1999999999999998E-3</v>
      </c>
      <c r="Z242" s="60"/>
      <c r="AA242" s="1"/>
      <c r="AB242" s="1"/>
      <c r="AC242" s="245"/>
      <c r="AD242" s="56"/>
      <c r="AF242" s="151"/>
      <c r="AG242" s="56"/>
      <c r="AH242" s="125"/>
      <c r="AI242" s="125"/>
      <c r="AJ242" s="136"/>
      <c r="AK242" s="125"/>
      <c r="AL242" s="127"/>
      <c r="AM242" s="125"/>
      <c r="AN242" s="125"/>
      <c r="AO242" s="128"/>
      <c r="AP242" s="125"/>
      <c r="AQ242" s="125"/>
      <c r="AR242" s="128"/>
      <c r="AS242" s="128"/>
      <c r="AT242" s="125"/>
      <c r="AU242" s="125"/>
      <c r="AV242" s="128"/>
      <c r="AW242" s="56"/>
    </row>
    <row r="243" spans="1:49" s="3" customFormat="1" hidden="1" x14ac:dyDescent="0.25">
      <c r="A243" s="1013"/>
      <c r="B243" s="74" t="s">
        <v>1178</v>
      </c>
      <c r="C243" s="223">
        <f>C233</f>
        <v>38.717865870069311</v>
      </c>
      <c r="D243" s="220"/>
      <c r="E243" s="68" t="s">
        <v>1439</v>
      </c>
      <c r="F243" s="69" t="s">
        <v>1438</v>
      </c>
      <c r="G243" s="70">
        <v>0.27</v>
      </c>
      <c r="H243" s="69">
        <v>0.01</v>
      </c>
      <c r="I243" s="242">
        <f t="shared" si="21"/>
        <v>2.7000000000000001E-3</v>
      </c>
      <c r="J243" s="59" t="s">
        <v>1445</v>
      </c>
      <c r="K243" s="61">
        <v>2</v>
      </c>
      <c r="L243" s="61">
        <v>84</v>
      </c>
      <c r="M243" s="61">
        <v>2</v>
      </c>
      <c r="N243" s="61">
        <v>8.9999999999999993E-3</v>
      </c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1"/>
      <c r="AB243" s="1"/>
      <c r="AC243" s="245"/>
      <c r="AD243" s="56"/>
      <c r="AF243" s="151"/>
      <c r="AG243" s="56"/>
      <c r="AH243" s="125"/>
      <c r="AI243" s="125"/>
      <c r="AJ243" s="136"/>
      <c r="AK243" s="125"/>
      <c r="AL243" s="127"/>
      <c r="AM243" s="145"/>
      <c r="AN243" s="125"/>
      <c r="AO243" s="128"/>
      <c r="AP243" s="125"/>
      <c r="AQ243" s="125"/>
      <c r="AR243" s="128"/>
      <c r="AS243" s="128"/>
      <c r="AT243" s="125"/>
      <c r="AU243" s="125"/>
      <c r="AV243" s="128"/>
      <c r="AW243" s="56"/>
    </row>
    <row r="244" spans="1:49" s="3" customFormat="1" ht="12.75" hidden="1" customHeight="1" x14ac:dyDescent="0.25">
      <c r="A244" s="1013"/>
      <c r="B244" s="57" t="s">
        <v>1179</v>
      </c>
      <c r="C244" s="222">
        <f>C234</f>
        <v>22.420123808013045</v>
      </c>
      <c r="D244" s="220"/>
      <c r="E244" s="68" t="s">
        <v>1598</v>
      </c>
      <c r="F244" s="69" t="s">
        <v>1441</v>
      </c>
      <c r="G244" s="70">
        <v>4.4000000000000004</v>
      </c>
      <c r="H244" s="70">
        <v>1</v>
      </c>
      <c r="I244" s="71">
        <f t="shared" si="21"/>
        <v>4.4000000000000004</v>
      </c>
      <c r="J244" s="59" t="s">
        <v>1513</v>
      </c>
      <c r="K244" s="61">
        <v>2</v>
      </c>
      <c r="L244" s="61">
        <v>25</v>
      </c>
      <c r="M244" s="61">
        <v>0.5</v>
      </c>
      <c r="N244" s="61">
        <v>2.5000000000000001E-2</v>
      </c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1"/>
      <c r="AB244" s="1"/>
      <c r="AC244" s="245"/>
      <c r="AD244" s="56"/>
      <c r="AF244" s="151"/>
      <c r="AG244" s="56"/>
      <c r="AH244" s="125"/>
      <c r="AI244" s="125"/>
      <c r="AJ244" s="136"/>
      <c r="AK244" s="125"/>
      <c r="AL244" s="127"/>
      <c r="AM244" s="125"/>
      <c r="AN244" s="125"/>
      <c r="AO244" s="128"/>
      <c r="AP244" s="125"/>
      <c r="AQ244" s="125"/>
      <c r="AR244" s="128"/>
      <c r="AS244" s="128"/>
      <c r="AT244" s="125"/>
      <c r="AU244" s="125"/>
      <c r="AV244" s="128"/>
      <c r="AW244" s="56"/>
    </row>
    <row r="245" spans="1:49" s="3" customFormat="1" ht="12.75" hidden="1" customHeight="1" x14ac:dyDescent="0.25">
      <c r="A245" s="1013"/>
      <c r="B245" s="57" t="s">
        <v>831</v>
      </c>
      <c r="C245" s="224"/>
      <c r="D245" s="220"/>
      <c r="E245" s="68" t="s">
        <v>1599</v>
      </c>
      <c r="F245" s="69" t="s">
        <v>1441</v>
      </c>
      <c r="G245" s="70">
        <v>77.28</v>
      </c>
      <c r="H245" s="69">
        <v>1</v>
      </c>
      <c r="I245" s="71">
        <f t="shared" si="21"/>
        <v>77.28</v>
      </c>
      <c r="J245" s="59"/>
      <c r="K245" s="61"/>
      <c r="L245" s="61"/>
      <c r="M245" s="61"/>
      <c r="N245" s="61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1"/>
      <c r="AB245" s="1"/>
      <c r="AC245" s="245"/>
      <c r="AD245" s="56"/>
      <c r="AF245" s="151"/>
      <c r="AG245" s="56"/>
      <c r="AH245" s="125"/>
      <c r="AI245" s="125"/>
      <c r="AJ245" s="136"/>
      <c r="AK245" s="125"/>
      <c r="AL245" s="127"/>
      <c r="AM245" s="125"/>
      <c r="AN245" s="125"/>
      <c r="AO245" s="128"/>
      <c r="AP245" s="125"/>
      <c r="AQ245" s="125"/>
      <c r="AR245" s="128"/>
      <c r="AS245" s="128"/>
      <c r="AT245" s="125"/>
      <c r="AU245" s="125"/>
      <c r="AV245" s="128"/>
      <c r="AW245" s="56"/>
    </row>
    <row r="246" spans="1:49" s="3" customFormat="1" ht="12.75" hidden="1" customHeight="1" x14ac:dyDescent="0.25">
      <c r="A246" s="1013"/>
      <c r="B246" s="74" t="s">
        <v>1178</v>
      </c>
      <c r="C246" s="225">
        <v>1</v>
      </c>
      <c r="D246" s="220"/>
      <c r="E246" s="68" t="s">
        <v>1442</v>
      </c>
      <c r="F246" s="69" t="s">
        <v>1443</v>
      </c>
      <c r="G246" s="70">
        <v>419.5</v>
      </c>
      <c r="H246" s="69">
        <v>1E-3</v>
      </c>
      <c r="I246" s="71">
        <f t="shared" si="21"/>
        <v>0.41949999999999998</v>
      </c>
      <c r="J246" s="59"/>
      <c r="K246" s="61"/>
      <c r="L246" s="61"/>
      <c r="M246" s="61"/>
      <c r="N246" s="61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1"/>
      <c r="AB246" s="1"/>
      <c r="AC246" s="245"/>
      <c r="AD246" s="56"/>
      <c r="AF246" s="151"/>
      <c r="AG246" s="56"/>
      <c r="AH246" s="125"/>
      <c r="AI246" s="125"/>
      <c r="AJ246" s="146"/>
      <c r="AK246" s="125"/>
      <c r="AL246" s="127"/>
      <c r="AM246" s="125"/>
      <c r="AN246" s="125"/>
      <c r="AO246" s="128"/>
      <c r="AP246" s="125"/>
      <c r="AQ246" s="125"/>
      <c r="AR246" s="128"/>
      <c r="AS246" s="128"/>
      <c r="AT246" s="125"/>
      <c r="AU246" s="125"/>
      <c r="AV246" s="128"/>
      <c r="AW246" s="56"/>
    </row>
    <row r="247" spans="1:49" s="3" customFormat="1" ht="12.75" hidden="1" customHeight="1" x14ac:dyDescent="0.25">
      <c r="A247" s="1013"/>
      <c r="B247" s="57" t="s">
        <v>1179</v>
      </c>
      <c r="C247" s="225">
        <v>1.5</v>
      </c>
      <c r="D247" s="220"/>
      <c r="E247" s="68" t="s">
        <v>1444</v>
      </c>
      <c r="F247" s="69" t="s">
        <v>1443</v>
      </c>
      <c r="G247" s="70">
        <v>872</v>
      </c>
      <c r="H247" s="69">
        <v>2E-3</v>
      </c>
      <c r="I247" s="71">
        <f t="shared" si="21"/>
        <v>1.744</v>
      </c>
      <c r="J247" s="59"/>
      <c r="K247" s="61"/>
      <c r="L247" s="61"/>
      <c r="M247" s="61"/>
      <c r="N247" s="61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1"/>
      <c r="AB247" s="1"/>
      <c r="AC247" s="245"/>
      <c r="AD247" s="56"/>
      <c r="AF247" s="151"/>
      <c r="AG247" s="56"/>
      <c r="AH247" s="125"/>
      <c r="AI247" s="125"/>
      <c r="AJ247" s="146"/>
      <c r="AK247" s="125"/>
      <c r="AL247" s="127"/>
      <c r="AM247" s="125"/>
      <c r="AN247" s="125"/>
      <c r="AO247" s="128"/>
      <c r="AP247" s="125"/>
      <c r="AQ247" s="125"/>
      <c r="AR247" s="128"/>
      <c r="AS247" s="128"/>
      <c r="AT247" s="125"/>
      <c r="AU247" s="125"/>
      <c r="AV247" s="128"/>
      <c r="AW247" s="56"/>
    </row>
    <row r="248" spans="1:49" s="3" customFormat="1" ht="12.75" hidden="1" customHeight="1" x14ac:dyDescent="0.25">
      <c r="A248" s="1013"/>
      <c r="B248" s="79" t="s">
        <v>1181</v>
      </c>
      <c r="C248" s="222">
        <f>C243*C246+C244*C247</f>
        <v>72.348051582088885</v>
      </c>
      <c r="D248" s="220"/>
      <c r="E248" s="228"/>
      <c r="F248" s="166"/>
      <c r="G248" s="70"/>
      <c r="H248" s="69"/>
      <c r="I248" s="71"/>
      <c r="J248" s="59"/>
      <c r="K248" s="170"/>
      <c r="L248" s="76"/>
      <c r="M248" s="72"/>
      <c r="N248" s="61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1"/>
      <c r="AB248" s="1"/>
      <c r="AC248" s="245"/>
      <c r="AD248" s="56"/>
      <c r="AF248" s="151"/>
      <c r="AG248" s="56"/>
      <c r="AH248" s="125"/>
      <c r="AI248" s="125"/>
      <c r="AJ248" s="136"/>
      <c r="AK248" s="125"/>
      <c r="AL248" s="127"/>
      <c r="AM248" s="125"/>
      <c r="AN248" s="125"/>
      <c r="AO248" s="128"/>
      <c r="AP248" s="125"/>
      <c r="AQ248" s="125"/>
      <c r="AR248" s="128"/>
      <c r="AS248" s="128"/>
      <c r="AT248" s="125"/>
      <c r="AU248" s="125"/>
      <c r="AV248" s="128"/>
      <c r="AW248" s="56"/>
    </row>
    <row r="249" spans="1:49" s="3" customFormat="1" ht="13.5" hidden="1" customHeight="1" x14ac:dyDescent="0.25">
      <c r="A249" s="1014"/>
      <c r="B249" s="123"/>
      <c r="C249" s="225"/>
      <c r="D249" s="221"/>
      <c r="E249" s="228"/>
      <c r="F249" s="166"/>
      <c r="G249" s="70"/>
      <c r="H249" s="69"/>
      <c r="I249" s="71"/>
      <c r="J249" s="59"/>
      <c r="K249" s="170"/>
      <c r="L249" s="61"/>
      <c r="M249" s="72"/>
      <c r="N249" s="61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1"/>
      <c r="AB249" s="1"/>
      <c r="AC249" s="245"/>
      <c r="AD249" s="56"/>
      <c r="AF249" s="151"/>
      <c r="AG249" s="56"/>
      <c r="AH249" s="125"/>
      <c r="AI249" s="125"/>
      <c r="AJ249" s="146"/>
      <c r="AK249" s="125"/>
      <c r="AL249" s="127"/>
      <c r="AM249" s="125"/>
      <c r="AN249" s="125"/>
      <c r="AO249" s="128"/>
      <c r="AP249" s="125"/>
      <c r="AQ249" s="125"/>
      <c r="AR249" s="128"/>
      <c r="AS249" s="128"/>
      <c r="AT249" s="125"/>
      <c r="AU249" s="125"/>
      <c r="AV249" s="128"/>
      <c r="AW249" s="56"/>
    </row>
    <row r="250" spans="1:49" s="3" customFormat="1" ht="56.25" hidden="1" customHeight="1" x14ac:dyDescent="0.25">
      <c r="A250" s="1012" t="s">
        <v>1623</v>
      </c>
      <c r="B250" s="258" t="s">
        <v>732</v>
      </c>
      <c r="C250" s="222"/>
      <c r="D250" s="219"/>
      <c r="E250" s="226" t="s">
        <v>488</v>
      </c>
      <c r="F250" s="53" t="s">
        <v>837</v>
      </c>
      <c r="G250" s="51" t="s">
        <v>489</v>
      </c>
      <c r="H250" s="52" t="s">
        <v>1170</v>
      </c>
      <c r="I250" s="53" t="s">
        <v>838</v>
      </c>
      <c r="J250" s="47" t="s">
        <v>1171</v>
      </c>
      <c r="K250" s="47" t="s">
        <v>490</v>
      </c>
      <c r="L250" s="54" t="s">
        <v>489</v>
      </c>
      <c r="M250" s="47" t="s">
        <v>1172</v>
      </c>
      <c r="N250" s="53" t="s">
        <v>838</v>
      </c>
      <c r="O250" s="47" t="s">
        <v>1171</v>
      </c>
      <c r="P250" s="47" t="s">
        <v>826</v>
      </c>
      <c r="Q250" s="47" t="s">
        <v>1173</v>
      </c>
      <c r="R250" s="47" t="s">
        <v>1174</v>
      </c>
      <c r="S250" s="47" t="s">
        <v>839</v>
      </c>
      <c r="T250" s="47" t="s">
        <v>1171</v>
      </c>
      <c r="U250" s="47" t="s">
        <v>1392</v>
      </c>
      <c r="V250" s="47" t="s">
        <v>841</v>
      </c>
      <c r="W250" s="231" t="s">
        <v>1173</v>
      </c>
      <c r="X250" s="47" t="s">
        <v>1394</v>
      </c>
      <c r="Y250" s="47" t="s">
        <v>839</v>
      </c>
      <c r="Z250" s="55"/>
      <c r="AA250" s="1"/>
      <c r="AB250" s="1"/>
      <c r="AC250" s="245"/>
      <c r="AD250" s="56"/>
      <c r="AF250" s="81"/>
      <c r="AG250" s="56"/>
      <c r="AH250" s="125"/>
      <c r="AI250" s="125"/>
      <c r="AJ250" s="125"/>
      <c r="AK250" s="125"/>
      <c r="AL250" s="127"/>
      <c r="AM250" s="125"/>
      <c r="AN250" s="125"/>
      <c r="AO250" s="128"/>
      <c r="AP250" s="125"/>
      <c r="AQ250" s="139"/>
      <c r="AR250" s="139"/>
      <c r="AS250" s="139"/>
      <c r="AT250" s="125"/>
      <c r="AU250" s="125"/>
      <c r="AV250" s="128"/>
      <c r="AW250" s="56"/>
    </row>
    <row r="251" spans="1:49" s="3" customFormat="1" ht="12" hidden="1" customHeight="1" x14ac:dyDescent="0.25">
      <c r="A251" s="1013"/>
      <c r="B251" s="36" t="s">
        <v>1175</v>
      </c>
      <c r="C251" s="222">
        <f>C258</f>
        <v>72.348051582088885</v>
      </c>
      <c r="D251" s="219">
        <f>C251*$D$5</f>
        <v>14.614306419581956</v>
      </c>
      <c r="E251" s="227" t="s">
        <v>1176</v>
      </c>
      <c r="F251" s="165"/>
      <c r="G251" s="58"/>
      <c r="H251" s="58"/>
      <c r="I251" s="2">
        <f>SUM(I252:I259)</f>
        <v>83.8536</v>
      </c>
      <c r="J251" s="59" t="s">
        <v>1176</v>
      </c>
      <c r="K251" s="169"/>
      <c r="L251" s="60"/>
      <c r="M251" s="60"/>
      <c r="N251" s="61">
        <f>SUM(N252:N259)</f>
        <v>8.4000000000000005E-2</v>
      </c>
      <c r="O251" s="60" t="s">
        <v>1176</v>
      </c>
      <c r="P251" s="60"/>
      <c r="Q251" s="62"/>
      <c r="R251" s="63"/>
      <c r="S251" s="61">
        <f>SUM(S252:S259)</f>
        <v>9.7215000000000007</v>
      </c>
      <c r="T251" s="61"/>
      <c r="U251" s="61"/>
      <c r="V251" s="61"/>
      <c r="W251" s="61"/>
      <c r="X251" s="61"/>
      <c r="Y251" s="61">
        <f>SUM(Y252:Y259)</f>
        <v>9.1999999999999998E-3</v>
      </c>
      <c r="Z251" s="64">
        <f>(C251+D251+I251+N251+S251+Y251)*$Z$5</f>
        <v>234.85375847519541</v>
      </c>
      <c r="AA251" s="65">
        <f>C251+D251+I251+N251+S251+Y251+Z251</f>
        <v>415.48441647686622</v>
      </c>
      <c r="AB251" s="66">
        <v>0.25</v>
      </c>
      <c r="AC251" s="244">
        <f>AA251*(1+AB251)</f>
        <v>519.35552059608278</v>
      </c>
      <c r="AD251" s="67"/>
      <c r="AF251" s="81"/>
      <c r="AG251" s="56"/>
      <c r="AH251" s="125"/>
      <c r="AI251" s="139"/>
      <c r="AJ251" s="140"/>
      <c r="AK251" s="141"/>
      <c r="AL251" s="127"/>
      <c r="AM251" s="142"/>
      <c r="AN251" s="143"/>
      <c r="AO251" s="142"/>
      <c r="AP251" s="139"/>
      <c r="AQ251" s="139"/>
      <c r="AR251" s="139"/>
      <c r="AS251" s="139"/>
      <c r="AT251" s="139"/>
      <c r="AU251" s="142"/>
      <c r="AV251" s="142"/>
      <c r="AW251" s="144"/>
    </row>
    <row r="252" spans="1:49" s="3" customFormat="1" ht="12.75" hidden="1" customHeight="1" x14ac:dyDescent="0.25">
      <c r="A252" s="1013"/>
      <c r="B252" s="50" t="s">
        <v>830</v>
      </c>
      <c r="C252" s="222"/>
      <c r="D252" s="220"/>
      <c r="E252" s="68" t="s">
        <v>1437</v>
      </c>
      <c r="F252" s="69" t="s">
        <v>1438</v>
      </c>
      <c r="G252" s="70">
        <v>0.74</v>
      </c>
      <c r="H252" s="69">
        <v>0.01</v>
      </c>
      <c r="I252" s="71">
        <f t="shared" ref="I252:I257" si="22">G252*H252</f>
        <v>7.4000000000000003E-3</v>
      </c>
      <c r="J252" s="59" t="s">
        <v>1291</v>
      </c>
      <c r="K252" s="61">
        <v>2</v>
      </c>
      <c r="L252" s="61">
        <v>640</v>
      </c>
      <c r="M252" s="61">
        <v>2</v>
      </c>
      <c r="N252" s="61">
        <v>0.05</v>
      </c>
      <c r="O252" s="60" t="s">
        <v>1239</v>
      </c>
      <c r="P252" s="60">
        <v>61189.5</v>
      </c>
      <c r="Q252" s="60">
        <v>19.670000000000002</v>
      </c>
      <c r="R252" s="60">
        <v>6513.87</v>
      </c>
      <c r="S252" s="60">
        <v>9.7215000000000007</v>
      </c>
      <c r="T252" s="239" t="s">
        <v>1435</v>
      </c>
      <c r="U252" s="240">
        <v>6785401.3499999996</v>
      </c>
      <c r="V252" s="241">
        <v>1.32E-2</v>
      </c>
      <c r="W252" s="239">
        <v>1508.3</v>
      </c>
      <c r="X252" s="61">
        <v>59.38</v>
      </c>
      <c r="Y252" s="60">
        <v>9.1999999999999998E-3</v>
      </c>
      <c r="Z252" s="60"/>
      <c r="AA252" s="1"/>
      <c r="AB252" s="1"/>
      <c r="AC252" s="245"/>
      <c r="AD252" s="56"/>
      <c r="AF252" s="151"/>
      <c r="AG252" s="56"/>
      <c r="AH252" s="125"/>
      <c r="AI252" s="125"/>
      <c r="AJ252" s="136"/>
      <c r="AK252" s="125"/>
      <c r="AL252" s="127"/>
      <c r="AM252" s="125"/>
      <c r="AN252" s="125"/>
      <c r="AO252" s="128"/>
      <c r="AP252" s="125"/>
      <c r="AQ252" s="125"/>
      <c r="AR252" s="128"/>
      <c r="AS252" s="128"/>
      <c r="AT252" s="125"/>
      <c r="AU252" s="125"/>
      <c r="AV252" s="128"/>
      <c r="AW252" s="56"/>
    </row>
    <row r="253" spans="1:49" s="3" customFormat="1" hidden="1" x14ac:dyDescent="0.25">
      <c r="A253" s="1013"/>
      <c r="B253" s="74" t="s">
        <v>1178</v>
      </c>
      <c r="C253" s="223">
        <f>C243</f>
        <v>38.717865870069311</v>
      </c>
      <c r="D253" s="220"/>
      <c r="E253" s="68" t="s">
        <v>1439</v>
      </c>
      <c r="F253" s="69" t="s">
        <v>1438</v>
      </c>
      <c r="G253" s="70">
        <v>0.27</v>
      </c>
      <c r="H253" s="69">
        <v>0.01</v>
      </c>
      <c r="I253" s="242">
        <f t="shared" si="22"/>
        <v>2.7000000000000001E-3</v>
      </c>
      <c r="J253" s="59" t="s">
        <v>1445</v>
      </c>
      <c r="K253" s="61">
        <v>2</v>
      </c>
      <c r="L253" s="61">
        <v>84</v>
      </c>
      <c r="M253" s="61">
        <v>2</v>
      </c>
      <c r="N253" s="61">
        <v>8.9999999999999993E-3</v>
      </c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1"/>
      <c r="AB253" s="1"/>
      <c r="AC253" s="245"/>
      <c r="AD253" s="56"/>
      <c r="AF253" s="151"/>
      <c r="AG253" s="56"/>
      <c r="AH253" s="125"/>
      <c r="AI253" s="125"/>
      <c r="AJ253" s="136"/>
      <c r="AK253" s="125"/>
      <c r="AL253" s="127"/>
      <c r="AM253" s="145"/>
      <c r="AN253" s="125"/>
      <c r="AO253" s="128"/>
      <c r="AP253" s="125"/>
      <c r="AQ253" s="125"/>
      <c r="AR253" s="128"/>
      <c r="AS253" s="128"/>
      <c r="AT253" s="125"/>
      <c r="AU253" s="125"/>
      <c r="AV253" s="128"/>
      <c r="AW253" s="56"/>
    </row>
    <row r="254" spans="1:49" s="3" customFormat="1" ht="12.75" hidden="1" customHeight="1" x14ac:dyDescent="0.25">
      <c r="A254" s="1013"/>
      <c r="B254" s="57" t="s">
        <v>1179</v>
      </c>
      <c r="C254" s="222">
        <f>C244</f>
        <v>22.420123808013045</v>
      </c>
      <c r="D254" s="220"/>
      <c r="E254" s="68" t="s">
        <v>1598</v>
      </c>
      <c r="F254" s="69" t="s">
        <v>1441</v>
      </c>
      <c r="G254" s="70">
        <v>4.4000000000000004</v>
      </c>
      <c r="H254" s="70">
        <v>1</v>
      </c>
      <c r="I254" s="71">
        <f t="shared" si="22"/>
        <v>4.4000000000000004</v>
      </c>
      <c r="J254" s="59" t="s">
        <v>1513</v>
      </c>
      <c r="K254" s="61">
        <v>2</v>
      </c>
      <c r="L254" s="61">
        <v>25</v>
      </c>
      <c r="M254" s="61">
        <v>0.5</v>
      </c>
      <c r="N254" s="61">
        <v>2.5000000000000001E-2</v>
      </c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1"/>
      <c r="AB254" s="1"/>
      <c r="AC254" s="245"/>
      <c r="AD254" s="56"/>
      <c r="AF254" s="151"/>
      <c r="AG254" s="56"/>
      <c r="AH254" s="125"/>
      <c r="AI254" s="125"/>
      <c r="AJ254" s="136"/>
      <c r="AK254" s="125"/>
      <c r="AL254" s="127"/>
      <c r="AM254" s="125"/>
      <c r="AN254" s="125"/>
      <c r="AO254" s="128"/>
      <c r="AP254" s="125"/>
      <c r="AQ254" s="125"/>
      <c r="AR254" s="128"/>
      <c r="AS254" s="128"/>
      <c r="AT254" s="125"/>
      <c r="AU254" s="125"/>
      <c r="AV254" s="128"/>
      <c r="AW254" s="56"/>
    </row>
    <row r="255" spans="1:49" s="3" customFormat="1" ht="12.75" hidden="1" customHeight="1" x14ac:dyDescent="0.25">
      <c r="A255" s="1013"/>
      <c r="B255" s="57" t="s">
        <v>831</v>
      </c>
      <c r="C255" s="224"/>
      <c r="D255" s="220"/>
      <c r="E255" s="68" t="s">
        <v>1599</v>
      </c>
      <c r="F255" s="69" t="s">
        <v>1441</v>
      </c>
      <c r="G255" s="70">
        <v>77.28</v>
      </c>
      <c r="H255" s="69">
        <v>1</v>
      </c>
      <c r="I255" s="71">
        <f t="shared" si="22"/>
        <v>77.28</v>
      </c>
      <c r="J255" s="59"/>
      <c r="K255" s="61"/>
      <c r="L255" s="61"/>
      <c r="M255" s="61"/>
      <c r="N255" s="61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1"/>
      <c r="AB255" s="1"/>
      <c r="AC255" s="245"/>
      <c r="AD255" s="56"/>
      <c r="AF255" s="151"/>
      <c r="AG255" s="56"/>
      <c r="AH255" s="125"/>
      <c r="AI255" s="125"/>
      <c r="AJ255" s="136"/>
      <c r="AK255" s="125"/>
      <c r="AL255" s="127"/>
      <c r="AM255" s="125"/>
      <c r="AN255" s="125"/>
      <c r="AO255" s="128"/>
      <c r="AP255" s="125"/>
      <c r="AQ255" s="125"/>
      <c r="AR255" s="128"/>
      <c r="AS255" s="128"/>
      <c r="AT255" s="125"/>
      <c r="AU255" s="125"/>
      <c r="AV255" s="128"/>
      <c r="AW255" s="56"/>
    </row>
    <row r="256" spans="1:49" s="3" customFormat="1" ht="12.75" hidden="1" customHeight="1" x14ac:dyDescent="0.25">
      <c r="A256" s="1013"/>
      <c r="B256" s="74" t="s">
        <v>1178</v>
      </c>
      <c r="C256" s="225">
        <v>1</v>
      </c>
      <c r="D256" s="220"/>
      <c r="E256" s="68" t="s">
        <v>1442</v>
      </c>
      <c r="F256" s="69" t="s">
        <v>1443</v>
      </c>
      <c r="G256" s="70">
        <v>419.5</v>
      </c>
      <c r="H256" s="69">
        <v>1E-3</v>
      </c>
      <c r="I256" s="71">
        <f t="shared" si="22"/>
        <v>0.41949999999999998</v>
      </c>
      <c r="J256" s="59"/>
      <c r="K256" s="61"/>
      <c r="L256" s="61"/>
      <c r="M256" s="61"/>
      <c r="N256" s="61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1"/>
      <c r="AB256" s="1"/>
      <c r="AC256" s="245"/>
      <c r="AD256" s="56"/>
      <c r="AF256" s="151"/>
      <c r="AG256" s="56"/>
      <c r="AH256" s="125"/>
      <c r="AI256" s="125"/>
      <c r="AJ256" s="146"/>
      <c r="AK256" s="125"/>
      <c r="AL256" s="127"/>
      <c r="AM256" s="125"/>
      <c r="AN256" s="125"/>
      <c r="AO256" s="128"/>
      <c r="AP256" s="125"/>
      <c r="AQ256" s="125"/>
      <c r="AR256" s="128"/>
      <c r="AS256" s="128"/>
      <c r="AT256" s="125"/>
      <c r="AU256" s="125"/>
      <c r="AV256" s="128"/>
      <c r="AW256" s="56"/>
    </row>
    <row r="257" spans="1:49" s="3" customFormat="1" ht="12.75" hidden="1" customHeight="1" x14ac:dyDescent="0.25">
      <c r="A257" s="1013"/>
      <c r="B257" s="57" t="s">
        <v>1179</v>
      </c>
      <c r="C257" s="225">
        <v>1.5</v>
      </c>
      <c r="D257" s="220"/>
      <c r="E257" s="68" t="s">
        <v>1444</v>
      </c>
      <c r="F257" s="69" t="s">
        <v>1443</v>
      </c>
      <c r="G257" s="70">
        <v>872</v>
      </c>
      <c r="H257" s="69">
        <v>2E-3</v>
      </c>
      <c r="I257" s="71">
        <f t="shared" si="22"/>
        <v>1.744</v>
      </c>
      <c r="J257" s="59"/>
      <c r="K257" s="61"/>
      <c r="L257" s="61"/>
      <c r="M257" s="61"/>
      <c r="N257" s="61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1"/>
      <c r="AB257" s="1"/>
      <c r="AC257" s="245"/>
      <c r="AD257" s="56"/>
      <c r="AF257" s="151"/>
      <c r="AG257" s="56"/>
      <c r="AH257" s="125"/>
      <c r="AI257" s="125"/>
      <c r="AJ257" s="146"/>
      <c r="AK257" s="125"/>
      <c r="AL257" s="127"/>
      <c r="AM257" s="125"/>
      <c r="AN257" s="125"/>
      <c r="AO257" s="128"/>
      <c r="AP257" s="125"/>
      <c r="AQ257" s="125"/>
      <c r="AR257" s="128"/>
      <c r="AS257" s="128"/>
      <c r="AT257" s="125"/>
      <c r="AU257" s="125"/>
      <c r="AV257" s="128"/>
      <c r="AW257" s="56"/>
    </row>
    <row r="258" spans="1:49" s="3" customFormat="1" ht="12.75" hidden="1" customHeight="1" x14ac:dyDescent="0.25">
      <c r="A258" s="1013"/>
      <c r="B258" s="79" t="s">
        <v>1181</v>
      </c>
      <c r="C258" s="222">
        <f>C253*C256+C254*C257</f>
        <v>72.348051582088885</v>
      </c>
      <c r="D258" s="220"/>
      <c r="E258" s="228"/>
      <c r="F258" s="166"/>
      <c r="G258" s="70"/>
      <c r="H258" s="69"/>
      <c r="I258" s="71"/>
      <c r="J258" s="59"/>
      <c r="K258" s="170"/>
      <c r="L258" s="76"/>
      <c r="M258" s="72"/>
      <c r="N258" s="61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1"/>
      <c r="AB258" s="1"/>
      <c r="AC258" s="245"/>
      <c r="AD258" s="56"/>
      <c r="AF258" s="151"/>
      <c r="AG258" s="56"/>
      <c r="AH258" s="125"/>
      <c r="AI258" s="125"/>
      <c r="AJ258" s="136"/>
      <c r="AK258" s="125"/>
      <c r="AL258" s="127"/>
      <c r="AM258" s="125"/>
      <c r="AN258" s="125"/>
      <c r="AO258" s="128"/>
      <c r="AP258" s="125"/>
      <c r="AQ258" s="125"/>
      <c r="AR258" s="128"/>
      <c r="AS258" s="128"/>
      <c r="AT258" s="125"/>
      <c r="AU258" s="125"/>
      <c r="AV258" s="128"/>
      <c r="AW258" s="56"/>
    </row>
    <row r="259" spans="1:49" s="3" customFormat="1" ht="13.5" hidden="1" customHeight="1" x14ac:dyDescent="0.25">
      <c r="A259" s="1014"/>
      <c r="B259" s="123"/>
      <c r="C259" s="225"/>
      <c r="D259" s="221"/>
      <c r="E259" s="228"/>
      <c r="F259" s="166"/>
      <c r="G259" s="70"/>
      <c r="H259" s="69"/>
      <c r="I259" s="71"/>
      <c r="J259" s="59"/>
      <c r="K259" s="170"/>
      <c r="L259" s="61"/>
      <c r="M259" s="72"/>
      <c r="N259" s="61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1"/>
      <c r="AB259" s="1"/>
      <c r="AC259" s="245"/>
      <c r="AD259" s="56"/>
      <c r="AF259" s="151"/>
      <c r="AG259" s="56"/>
      <c r="AH259" s="125"/>
      <c r="AI259" s="125"/>
      <c r="AJ259" s="146"/>
      <c r="AK259" s="125"/>
      <c r="AL259" s="127"/>
      <c r="AM259" s="125"/>
      <c r="AN259" s="125"/>
      <c r="AO259" s="128"/>
      <c r="AP259" s="125"/>
      <c r="AQ259" s="125"/>
      <c r="AR259" s="128"/>
      <c r="AS259" s="128"/>
      <c r="AT259" s="125"/>
      <c r="AU259" s="125"/>
      <c r="AV259" s="128"/>
      <c r="AW259" s="56"/>
    </row>
    <row r="260" spans="1:49" s="3" customFormat="1" ht="56.25" hidden="1" customHeight="1" x14ac:dyDescent="0.25">
      <c r="A260" s="1012" t="s">
        <v>1624</v>
      </c>
      <c r="B260" s="258" t="s">
        <v>733</v>
      </c>
      <c r="C260" s="222"/>
      <c r="D260" s="219"/>
      <c r="E260" s="226" t="s">
        <v>488</v>
      </c>
      <c r="F260" s="53" t="s">
        <v>837</v>
      </c>
      <c r="G260" s="51" t="s">
        <v>489</v>
      </c>
      <c r="H260" s="52" t="s">
        <v>1170</v>
      </c>
      <c r="I260" s="53" t="s">
        <v>838</v>
      </c>
      <c r="J260" s="47" t="s">
        <v>1171</v>
      </c>
      <c r="K260" s="47" t="s">
        <v>490</v>
      </c>
      <c r="L260" s="54" t="s">
        <v>489</v>
      </c>
      <c r="M260" s="47" t="s">
        <v>1172</v>
      </c>
      <c r="N260" s="53" t="s">
        <v>838</v>
      </c>
      <c r="O260" s="47" t="s">
        <v>1171</v>
      </c>
      <c r="P260" s="47" t="s">
        <v>826</v>
      </c>
      <c r="Q260" s="47" t="s">
        <v>1173</v>
      </c>
      <c r="R260" s="47" t="s">
        <v>1174</v>
      </c>
      <c r="S260" s="47" t="s">
        <v>839</v>
      </c>
      <c r="T260" s="47" t="s">
        <v>1171</v>
      </c>
      <c r="U260" s="47" t="s">
        <v>1392</v>
      </c>
      <c r="V260" s="47" t="s">
        <v>841</v>
      </c>
      <c r="W260" s="231" t="s">
        <v>1173</v>
      </c>
      <c r="X260" s="47" t="s">
        <v>1394</v>
      </c>
      <c r="Y260" s="47" t="s">
        <v>839</v>
      </c>
      <c r="Z260" s="55"/>
      <c r="AA260" s="1"/>
      <c r="AB260" s="1"/>
      <c r="AC260" s="245"/>
      <c r="AD260" s="56"/>
      <c r="AF260" s="81"/>
      <c r="AG260" s="56"/>
      <c r="AH260" s="125"/>
      <c r="AI260" s="125"/>
      <c r="AJ260" s="125"/>
      <c r="AK260" s="125"/>
      <c r="AL260" s="127"/>
      <c r="AM260" s="125"/>
      <c r="AN260" s="125"/>
      <c r="AO260" s="128"/>
      <c r="AP260" s="125"/>
      <c r="AQ260" s="139"/>
      <c r="AR260" s="139"/>
      <c r="AS260" s="139"/>
      <c r="AT260" s="125"/>
      <c r="AU260" s="125"/>
      <c r="AV260" s="128"/>
      <c r="AW260" s="56"/>
    </row>
    <row r="261" spans="1:49" s="3" customFormat="1" ht="12" hidden="1" customHeight="1" x14ac:dyDescent="0.25">
      <c r="A261" s="1013"/>
      <c r="B261" s="36" t="s">
        <v>1175</v>
      </c>
      <c r="C261" s="222">
        <f>C268</f>
        <v>72.348051582088885</v>
      </c>
      <c r="D261" s="219">
        <f>C261*$D$5</f>
        <v>14.614306419581956</v>
      </c>
      <c r="E261" s="227" t="s">
        <v>1176</v>
      </c>
      <c r="F261" s="165"/>
      <c r="G261" s="58"/>
      <c r="H261" s="58"/>
      <c r="I261" s="2">
        <f>SUM(I262:I269)</f>
        <v>83.8536</v>
      </c>
      <c r="J261" s="59" t="s">
        <v>1176</v>
      </c>
      <c r="K261" s="169"/>
      <c r="L261" s="60"/>
      <c r="M261" s="60"/>
      <c r="N261" s="61">
        <f>SUM(N262:N269)</f>
        <v>8.4000000000000005E-2</v>
      </c>
      <c r="O261" s="60" t="s">
        <v>1176</v>
      </c>
      <c r="P261" s="60"/>
      <c r="Q261" s="62"/>
      <c r="R261" s="63"/>
      <c r="S261" s="61">
        <f>SUM(S262:S269)</f>
        <v>9.7215000000000007</v>
      </c>
      <c r="T261" s="61"/>
      <c r="U261" s="61"/>
      <c r="V261" s="61"/>
      <c r="W261" s="61"/>
      <c r="X261" s="61"/>
      <c r="Y261" s="61">
        <f>SUM(Y262:Y269)</f>
        <v>9.1999999999999998E-3</v>
      </c>
      <c r="Z261" s="64">
        <f>(C261+D261+I261+N261+S261+Y261)*$Z$5</f>
        <v>234.85375847519541</v>
      </c>
      <c r="AA261" s="65">
        <f>C261+D261+I261+N261+S261+Y261+Z261</f>
        <v>415.48441647686622</v>
      </c>
      <c r="AB261" s="66">
        <v>0.25</v>
      </c>
      <c r="AC261" s="244">
        <f>AA261*(1+AB261)</f>
        <v>519.35552059608278</v>
      </c>
      <c r="AD261" s="67"/>
      <c r="AF261" s="81"/>
      <c r="AG261" s="56"/>
      <c r="AH261" s="125"/>
      <c r="AI261" s="139"/>
      <c r="AJ261" s="140"/>
      <c r="AK261" s="141"/>
      <c r="AL261" s="127"/>
      <c r="AM261" s="142"/>
      <c r="AN261" s="143"/>
      <c r="AO261" s="142"/>
      <c r="AP261" s="139"/>
      <c r="AQ261" s="139"/>
      <c r="AR261" s="139"/>
      <c r="AS261" s="139"/>
      <c r="AT261" s="139"/>
      <c r="AU261" s="142"/>
      <c r="AV261" s="142"/>
      <c r="AW261" s="144"/>
    </row>
    <row r="262" spans="1:49" s="3" customFormat="1" ht="12.75" hidden="1" customHeight="1" x14ac:dyDescent="0.25">
      <c r="A262" s="1013"/>
      <c r="B262" s="50" t="s">
        <v>830</v>
      </c>
      <c r="C262" s="222"/>
      <c r="D262" s="220"/>
      <c r="E262" s="68" t="s">
        <v>1437</v>
      </c>
      <c r="F262" s="69" t="s">
        <v>1438</v>
      </c>
      <c r="G262" s="70">
        <v>0.74</v>
      </c>
      <c r="H262" s="69">
        <v>0.01</v>
      </c>
      <c r="I262" s="71">
        <f t="shared" ref="I262:I267" si="23">G262*H262</f>
        <v>7.4000000000000003E-3</v>
      </c>
      <c r="J262" s="59" t="s">
        <v>1291</v>
      </c>
      <c r="K262" s="61">
        <v>2</v>
      </c>
      <c r="L262" s="61">
        <v>640</v>
      </c>
      <c r="M262" s="61">
        <v>2</v>
      </c>
      <c r="N262" s="61">
        <v>0.05</v>
      </c>
      <c r="O262" s="60" t="s">
        <v>1239</v>
      </c>
      <c r="P262" s="60">
        <v>61189.5</v>
      </c>
      <c r="Q262" s="60">
        <v>19.670000000000002</v>
      </c>
      <c r="R262" s="60">
        <v>6513.87</v>
      </c>
      <c r="S262" s="60">
        <v>9.7215000000000007</v>
      </c>
      <c r="T262" s="239" t="s">
        <v>1435</v>
      </c>
      <c r="U262" s="240">
        <v>6785401.3499999996</v>
      </c>
      <c r="V262" s="241">
        <v>1.32E-2</v>
      </c>
      <c r="W262" s="239">
        <v>1508.3</v>
      </c>
      <c r="X262" s="61">
        <v>59.38</v>
      </c>
      <c r="Y262" s="60">
        <v>9.1999999999999998E-3</v>
      </c>
      <c r="Z262" s="60"/>
      <c r="AA262" s="1"/>
      <c r="AB262" s="1"/>
      <c r="AC262" s="245"/>
      <c r="AD262" s="56"/>
      <c r="AF262" s="151"/>
      <c r="AG262" s="56"/>
      <c r="AH262" s="125"/>
      <c r="AI262" s="125"/>
      <c r="AJ262" s="136"/>
      <c r="AK262" s="125"/>
      <c r="AL262" s="127"/>
      <c r="AM262" s="125"/>
      <c r="AN262" s="125"/>
      <c r="AO262" s="128"/>
      <c r="AP262" s="125"/>
      <c r="AQ262" s="125"/>
      <c r="AR262" s="128"/>
      <c r="AS262" s="128"/>
      <c r="AT262" s="125"/>
      <c r="AU262" s="125"/>
      <c r="AV262" s="128"/>
      <c r="AW262" s="56"/>
    </row>
    <row r="263" spans="1:49" s="3" customFormat="1" hidden="1" x14ac:dyDescent="0.25">
      <c r="A263" s="1013"/>
      <c r="B263" s="74" t="s">
        <v>1178</v>
      </c>
      <c r="C263" s="223">
        <f>C253</f>
        <v>38.717865870069311</v>
      </c>
      <c r="D263" s="220"/>
      <c r="E263" s="68" t="s">
        <v>1439</v>
      </c>
      <c r="F263" s="69" t="s">
        <v>1438</v>
      </c>
      <c r="G263" s="70">
        <v>0.27</v>
      </c>
      <c r="H263" s="69">
        <v>0.01</v>
      </c>
      <c r="I263" s="242">
        <f t="shared" si="23"/>
        <v>2.7000000000000001E-3</v>
      </c>
      <c r="J263" s="59" t="s">
        <v>1445</v>
      </c>
      <c r="K263" s="61">
        <v>2</v>
      </c>
      <c r="L263" s="61">
        <v>84</v>
      </c>
      <c r="M263" s="61">
        <v>2</v>
      </c>
      <c r="N263" s="61">
        <v>8.9999999999999993E-3</v>
      </c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1"/>
      <c r="AB263" s="1"/>
      <c r="AC263" s="245"/>
      <c r="AD263" s="56"/>
      <c r="AF263" s="151"/>
      <c r="AG263" s="56"/>
      <c r="AH263" s="125"/>
      <c r="AI263" s="125"/>
      <c r="AJ263" s="136"/>
      <c r="AK263" s="125"/>
      <c r="AL263" s="127"/>
      <c r="AM263" s="145"/>
      <c r="AN263" s="125"/>
      <c r="AO263" s="128"/>
      <c r="AP263" s="125"/>
      <c r="AQ263" s="125"/>
      <c r="AR263" s="128"/>
      <c r="AS263" s="128"/>
      <c r="AT263" s="125"/>
      <c r="AU263" s="125"/>
      <c r="AV263" s="128"/>
      <c r="AW263" s="56"/>
    </row>
    <row r="264" spans="1:49" s="3" customFormat="1" ht="12.75" hidden="1" customHeight="1" x14ac:dyDescent="0.25">
      <c r="A264" s="1013"/>
      <c r="B264" s="57" t="s">
        <v>1179</v>
      </c>
      <c r="C264" s="222">
        <f>C254</f>
        <v>22.420123808013045</v>
      </c>
      <c r="D264" s="220"/>
      <c r="E264" s="68" t="s">
        <v>1598</v>
      </c>
      <c r="F264" s="69" t="s">
        <v>1441</v>
      </c>
      <c r="G264" s="70">
        <v>4.4000000000000004</v>
      </c>
      <c r="H264" s="70">
        <v>1</v>
      </c>
      <c r="I264" s="71">
        <f t="shared" si="23"/>
        <v>4.4000000000000004</v>
      </c>
      <c r="J264" s="59" t="s">
        <v>1513</v>
      </c>
      <c r="K264" s="61">
        <v>2</v>
      </c>
      <c r="L264" s="61">
        <v>25</v>
      </c>
      <c r="M264" s="61">
        <v>0.5</v>
      </c>
      <c r="N264" s="61">
        <v>2.5000000000000001E-2</v>
      </c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1"/>
      <c r="AB264" s="1"/>
      <c r="AC264" s="245"/>
      <c r="AD264" s="56"/>
      <c r="AF264" s="151"/>
      <c r="AG264" s="56"/>
      <c r="AH264" s="125"/>
      <c r="AI264" s="125"/>
      <c r="AJ264" s="136"/>
      <c r="AK264" s="125"/>
      <c r="AL264" s="127"/>
      <c r="AM264" s="125"/>
      <c r="AN264" s="125"/>
      <c r="AO264" s="128"/>
      <c r="AP264" s="125"/>
      <c r="AQ264" s="125"/>
      <c r="AR264" s="128"/>
      <c r="AS264" s="128"/>
      <c r="AT264" s="125"/>
      <c r="AU264" s="125"/>
      <c r="AV264" s="128"/>
      <c r="AW264" s="56"/>
    </row>
    <row r="265" spans="1:49" s="3" customFormat="1" ht="12.75" hidden="1" customHeight="1" x14ac:dyDescent="0.25">
      <c r="A265" s="1013"/>
      <c r="B265" s="57" t="s">
        <v>831</v>
      </c>
      <c r="C265" s="224"/>
      <c r="D265" s="220"/>
      <c r="E265" s="68" t="s">
        <v>1599</v>
      </c>
      <c r="F265" s="69" t="s">
        <v>1441</v>
      </c>
      <c r="G265" s="70">
        <v>77.28</v>
      </c>
      <c r="H265" s="69">
        <v>1</v>
      </c>
      <c r="I265" s="71">
        <f t="shared" si="23"/>
        <v>77.28</v>
      </c>
      <c r="J265" s="59"/>
      <c r="K265" s="61"/>
      <c r="L265" s="61"/>
      <c r="M265" s="61"/>
      <c r="N265" s="61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1"/>
      <c r="AB265" s="1"/>
      <c r="AC265" s="245"/>
      <c r="AD265" s="56"/>
      <c r="AF265" s="151"/>
      <c r="AG265" s="56"/>
      <c r="AH265" s="125"/>
      <c r="AI265" s="125"/>
      <c r="AJ265" s="136"/>
      <c r="AK265" s="125"/>
      <c r="AL265" s="127"/>
      <c r="AM265" s="125"/>
      <c r="AN265" s="125"/>
      <c r="AO265" s="128"/>
      <c r="AP265" s="125"/>
      <c r="AQ265" s="125"/>
      <c r="AR265" s="128"/>
      <c r="AS265" s="128"/>
      <c r="AT265" s="125"/>
      <c r="AU265" s="125"/>
      <c r="AV265" s="128"/>
      <c r="AW265" s="56"/>
    </row>
    <row r="266" spans="1:49" s="3" customFormat="1" ht="12.75" hidden="1" customHeight="1" x14ac:dyDescent="0.25">
      <c r="A266" s="1013"/>
      <c r="B266" s="74" t="s">
        <v>1178</v>
      </c>
      <c r="C266" s="225">
        <v>1</v>
      </c>
      <c r="D266" s="220"/>
      <c r="E266" s="68" t="s">
        <v>1442</v>
      </c>
      <c r="F266" s="69" t="s">
        <v>1443</v>
      </c>
      <c r="G266" s="70">
        <v>419.5</v>
      </c>
      <c r="H266" s="69">
        <v>1E-3</v>
      </c>
      <c r="I266" s="71">
        <f t="shared" si="23"/>
        <v>0.41949999999999998</v>
      </c>
      <c r="J266" s="59"/>
      <c r="K266" s="61"/>
      <c r="L266" s="61"/>
      <c r="M266" s="61"/>
      <c r="N266" s="61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1"/>
      <c r="AB266" s="1"/>
      <c r="AC266" s="245"/>
      <c r="AD266" s="56"/>
      <c r="AF266" s="151"/>
      <c r="AG266" s="56"/>
      <c r="AH266" s="125"/>
      <c r="AI266" s="125"/>
      <c r="AJ266" s="146"/>
      <c r="AK266" s="125"/>
      <c r="AL266" s="127"/>
      <c r="AM266" s="125"/>
      <c r="AN266" s="125"/>
      <c r="AO266" s="128"/>
      <c r="AP266" s="125"/>
      <c r="AQ266" s="125"/>
      <c r="AR266" s="128"/>
      <c r="AS266" s="128"/>
      <c r="AT266" s="125"/>
      <c r="AU266" s="125"/>
      <c r="AV266" s="128"/>
      <c r="AW266" s="56"/>
    </row>
    <row r="267" spans="1:49" s="3" customFormat="1" ht="12.75" hidden="1" customHeight="1" x14ac:dyDescent="0.25">
      <c r="A267" s="1013"/>
      <c r="B267" s="57" t="s">
        <v>1179</v>
      </c>
      <c r="C267" s="225">
        <v>1.5</v>
      </c>
      <c r="D267" s="220"/>
      <c r="E267" s="68" t="s">
        <v>1444</v>
      </c>
      <c r="F267" s="69" t="s">
        <v>1443</v>
      </c>
      <c r="G267" s="70">
        <v>872</v>
      </c>
      <c r="H267" s="69">
        <v>2E-3</v>
      </c>
      <c r="I267" s="71">
        <f t="shared" si="23"/>
        <v>1.744</v>
      </c>
      <c r="J267" s="59"/>
      <c r="K267" s="61"/>
      <c r="L267" s="61"/>
      <c r="M267" s="61"/>
      <c r="N267" s="61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1"/>
      <c r="AB267" s="1"/>
      <c r="AC267" s="245"/>
      <c r="AD267" s="56"/>
      <c r="AF267" s="151"/>
      <c r="AG267" s="56"/>
      <c r="AH267" s="125"/>
      <c r="AI267" s="125"/>
      <c r="AJ267" s="146"/>
      <c r="AK267" s="125"/>
      <c r="AL267" s="127"/>
      <c r="AM267" s="125"/>
      <c r="AN267" s="125"/>
      <c r="AO267" s="128"/>
      <c r="AP267" s="125"/>
      <c r="AQ267" s="125"/>
      <c r="AR267" s="128"/>
      <c r="AS267" s="128"/>
      <c r="AT267" s="125"/>
      <c r="AU267" s="125"/>
      <c r="AV267" s="128"/>
      <c r="AW267" s="56"/>
    </row>
    <row r="268" spans="1:49" s="3" customFormat="1" ht="12.75" hidden="1" customHeight="1" x14ac:dyDescent="0.25">
      <c r="A268" s="1013"/>
      <c r="B268" s="79" t="s">
        <v>1181</v>
      </c>
      <c r="C268" s="222">
        <f>C263*C266+C264*C267</f>
        <v>72.348051582088885</v>
      </c>
      <c r="D268" s="220"/>
      <c r="E268" s="228"/>
      <c r="F268" s="166"/>
      <c r="G268" s="70"/>
      <c r="H268" s="69"/>
      <c r="I268" s="71"/>
      <c r="J268" s="59"/>
      <c r="K268" s="170"/>
      <c r="L268" s="76"/>
      <c r="M268" s="72"/>
      <c r="N268" s="61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1"/>
      <c r="AB268" s="1"/>
      <c r="AC268" s="245"/>
      <c r="AD268" s="56"/>
      <c r="AF268" s="151"/>
      <c r="AG268" s="56"/>
      <c r="AH268" s="125"/>
      <c r="AI268" s="125"/>
      <c r="AJ268" s="136"/>
      <c r="AK268" s="125"/>
      <c r="AL268" s="127"/>
      <c r="AM268" s="125"/>
      <c r="AN268" s="125"/>
      <c r="AO268" s="128"/>
      <c r="AP268" s="125"/>
      <c r="AQ268" s="125"/>
      <c r="AR268" s="128"/>
      <c r="AS268" s="128"/>
      <c r="AT268" s="125"/>
      <c r="AU268" s="125"/>
      <c r="AV268" s="128"/>
      <c r="AW268" s="56"/>
    </row>
    <row r="269" spans="1:49" s="3" customFormat="1" ht="13.5" hidden="1" customHeight="1" x14ac:dyDescent="0.25">
      <c r="A269" s="1014"/>
      <c r="B269" s="123"/>
      <c r="C269" s="225"/>
      <c r="D269" s="221"/>
      <c r="E269" s="228"/>
      <c r="F269" s="166"/>
      <c r="G269" s="70"/>
      <c r="H269" s="69"/>
      <c r="I269" s="71"/>
      <c r="J269" s="59"/>
      <c r="K269" s="170"/>
      <c r="L269" s="61"/>
      <c r="M269" s="72"/>
      <c r="N269" s="61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1"/>
      <c r="AB269" s="1"/>
      <c r="AC269" s="245"/>
      <c r="AD269" s="56"/>
      <c r="AF269" s="151"/>
      <c r="AG269" s="56"/>
      <c r="AH269" s="125"/>
      <c r="AI269" s="125"/>
      <c r="AJ269" s="146"/>
      <c r="AK269" s="125"/>
      <c r="AL269" s="127"/>
      <c r="AM269" s="125"/>
      <c r="AN269" s="125"/>
      <c r="AO269" s="128"/>
      <c r="AP269" s="125"/>
      <c r="AQ269" s="125"/>
      <c r="AR269" s="128"/>
      <c r="AS269" s="128"/>
      <c r="AT269" s="125"/>
      <c r="AU269" s="125"/>
      <c r="AV269" s="128"/>
      <c r="AW269" s="56"/>
    </row>
    <row r="270" spans="1:49" s="803" customFormat="1" ht="56.25" customHeight="1" x14ac:dyDescent="0.25">
      <c r="A270" s="1114" t="s">
        <v>1625</v>
      </c>
      <c r="B270" s="778" t="s">
        <v>734</v>
      </c>
      <c r="C270" s="799"/>
      <c r="D270" s="800"/>
      <c r="E270" s="801" t="s">
        <v>488</v>
      </c>
      <c r="F270" s="792" t="s">
        <v>837</v>
      </c>
      <c r="G270" s="778" t="s">
        <v>489</v>
      </c>
      <c r="H270" s="791" t="s">
        <v>1170</v>
      </c>
      <c r="I270" s="792" t="s">
        <v>838</v>
      </c>
      <c r="J270" s="793" t="s">
        <v>1171</v>
      </c>
      <c r="K270" s="793" t="s">
        <v>490</v>
      </c>
      <c r="L270" s="794" t="s">
        <v>489</v>
      </c>
      <c r="M270" s="793" t="s">
        <v>1172</v>
      </c>
      <c r="N270" s="792" t="s">
        <v>838</v>
      </c>
      <c r="O270" s="793" t="s">
        <v>1171</v>
      </c>
      <c r="P270" s="793" t="s">
        <v>826</v>
      </c>
      <c r="Q270" s="793" t="s">
        <v>1173</v>
      </c>
      <c r="R270" s="793" t="s">
        <v>1174</v>
      </c>
      <c r="S270" s="793" t="s">
        <v>839</v>
      </c>
      <c r="T270" s="793" t="s">
        <v>1171</v>
      </c>
      <c r="U270" s="793" t="s">
        <v>1392</v>
      </c>
      <c r="V270" s="793" t="s">
        <v>841</v>
      </c>
      <c r="W270" s="795" t="s">
        <v>1173</v>
      </c>
      <c r="X270" s="793" t="s">
        <v>1394</v>
      </c>
      <c r="Y270" s="793" t="s">
        <v>839</v>
      </c>
      <c r="Z270" s="796"/>
      <c r="AA270" s="755"/>
      <c r="AB270" s="755"/>
      <c r="AC270" s="773"/>
      <c r="AD270" s="802"/>
      <c r="AF270" s="804"/>
      <c r="AG270" s="802"/>
      <c r="AH270" s="805"/>
      <c r="AI270" s="805"/>
      <c r="AJ270" s="805"/>
      <c r="AK270" s="805"/>
      <c r="AL270" s="806"/>
      <c r="AM270" s="805"/>
      <c r="AN270" s="805"/>
      <c r="AO270" s="807"/>
      <c r="AP270" s="805"/>
      <c r="AQ270" s="808"/>
      <c r="AR270" s="808"/>
      <c r="AS270" s="808"/>
      <c r="AT270" s="805"/>
      <c r="AU270" s="805"/>
      <c r="AV270" s="807"/>
      <c r="AW270" s="802"/>
    </row>
    <row r="271" spans="1:49" s="803" customFormat="1" ht="12" customHeight="1" x14ac:dyDescent="0.25">
      <c r="A271" s="1115"/>
      <c r="B271" s="752" t="s">
        <v>1175</v>
      </c>
      <c r="C271" s="799">
        <f>C278</f>
        <v>72.348051582088885</v>
      </c>
      <c r="D271" s="800">
        <f>C271*$D$5</f>
        <v>14.614306419581956</v>
      </c>
      <c r="E271" s="809" t="s">
        <v>1176</v>
      </c>
      <c r="F271" s="810"/>
      <c r="G271" s="756"/>
      <c r="H271" s="756"/>
      <c r="I271" s="757">
        <f>SUM(I272:I279)</f>
        <v>83.8536</v>
      </c>
      <c r="J271" s="758" t="s">
        <v>1176</v>
      </c>
      <c r="K271" s="811"/>
      <c r="L271" s="759"/>
      <c r="M271" s="759"/>
      <c r="N271" s="760">
        <f>SUM(N272:N279)</f>
        <v>0.27418500869828294</v>
      </c>
      <c r="O271" s="759" t="s">
        <v>1176</v>
      </c>
      <c r="P271" s="759"/>
      <c r="Q271" s="812"/>
      <c r="R271" s="813"/>
      <c r="S271" s="760">
        <f>SUM(S272:S279)</f>
        <v>0.17977397070317422</v>
      </c>
      <c r="T271" s="760"/>
      <c r="U271" s="760"/>
      <c r="V271" s="760"/>
      <c r="W271" s="760"/>
      <c r="X271" s="760"/>
      <c r="Y271" s="760">
        <f>SUM(Y272:Y279)</f>
        <v>11.63319193706981</v>
      </c>
      <c r="Z271" s="762">
        <f>(C271+D271+I271+N271+S271+Y271)*$Z$5</f>
        <v>237.80837118927158</v>
      </c>
      <c r="AA271" s="763">
        <f>C271+D271+I271+N271+S271+Y271+Z271</f>
        <v>420.71148010741365</v>
      </c>
      <c r="AB271" s="764">
        <v>0.25</v>
      </c>
      <c r="AC271" s="765">
        <f>AA271*(1+AB271)</f>
        <v>525.88935013426703</v>
      </c>
      <c r="AD271" s="814"/>
      <c r="AF271" s="804"/>
      <c r="AG271" s="802"/>
      <c r="AH271" s="805"/>
      <c r="AI271" s="808"/>
      <c r="AJ271" s="815"/>
      <c r="AK271" s="816"/>
      <c r="AL271" s="806"/>
      <c r="AM271" s="817"/>
      <c r="AN271" s="818"/>
      <c r="AO271" s="817"/>
      <c r="AP271" s="808"/>
      <c r="AQ271" s="808"/>
      <c r="AR271" s="808"/>
      <c r="AS271" s="808"/>
      <c r="AT271" s="808"/>
      <c r="AU271" s="817"/>
      <c r="AV271" s="817"/>
      <c r="AW271" s="819"/>
    </row>
    <row r="272" spans="1:49" s="803" customFormat="1" ht="12.75" customHeight="1" x14ac:dyDescent="0.25">
      <c r="A272" s="1115"/>
      <c r="B272" s="766" t="s">
        <v>830</v>
      </c>
      <c r="C272" s="799"/>
      <c r="D272" s="820"/>
      <c r="E272" s="767" t="s">
        <v>1437</v>
      </c>
      <c r="F272" s="768" t="s">
        <v>1438</v>
      </c>
      <c r="G272" s="769">
        <v>0.74</v>
      </c>
      <c r="H272" s="768">
        <v>0.01</v>
      </c>
      <c r="I272" s="770">
        <f t="shared" ref="I272:I277" si="24">G272*H272</f>
        <v>7.4000000000000003E-3</v>
      </c>
      <c r="J272" s="758" t="s">
        <v>1291</v>
      </c>
      <c r="K272" s="771">
        <v>2</v>
      </c>
      <c r="L272" s="772">
        <v>750</v>
      </c>
      <c r="M272" s="771">
        <v>2</v>
      </c>
      <c r="N272" s="760">
        <f>L272/'Исп. коэффициенты'!E31*(C276+C277)</f>
        <v>0.23636638680886463</v>
      </c>
      <c r="O272" s="759" t="s">
        <v>2200</v>
      </c>
      <c r="P272" s="759">
        <v>7250</v>
      </c>
      <c r="Q272" s="759">
        <v>19.670000000000002</v>
      </c>
      <c r="R272" s="759">
        <f>P272*Q272%</f>
        <v>1426.075</v>
      </c>
      <c r="S272" s="759">
        <f>R272/'Исп. коэффициенты'!E31*C276</f>
        <v>0.17977397070317422</v>
      </c>
      <c r="T272" s="755" t="s">
        <v>1435</v>
      </c>
      <c r="U272" s="756">
        <v>6785401.3499999996</v>
      </c>
      <c r="V272" s="785">
        <f>'Исп. коэффициенты'!E124</f>
        <v>2978.5</v>
      </c>
      <c r="W272" s="761">
        <f>'Исп. коэффициенты'!D124</f>
        <v>1.3599999999999999E-2</v>
      </c>
      <c r="X272" s="760">
        <f>U272*W272</f>
        <v>92281.45835999999</v>
      </c>
      <c r="Y272" s="759">
        <f>X272/'Исп. коэффициенты'!E31*C276</f>
        <v>11.63319193706981</v>
      </c>
      <c r="Z272" s="759"/>
      <c r="AA272" s="755"/>
      <c r="AB272" s="755"/>
      <c r="AC272" s="773"/>
      <c r="AD272" s="802"/>
      <c r="AF272" s="821"/>
      <c r="AG272" s="802"/>
      <c r="AH272" s="805"/>
      <c r="AI272" s="805"/>
      <c r="AJ272" s="822"/>
      <c r="AK272" s="805"/>
      <c r="AL272" s="806"/>
      <c r="AM272" s="805"/>
      <c r="AN272" s="805"/>
      <c r="AO272" s="807"/>
      <c r="AP272" s="805"/>
      <c r="AQ272" s="805"/>
      <c r="AR272" s="807"/>
      <c r="AS272" s="807"/>
      <c r="AT272" s="805"/>
      <c r="AU272" s="805"/>
      <c r="AV272" s="807"/>
      <c r="AW272" s="802"/>
    </row>
    <row r="273" spans="1:49" s="803" customFormat="1" x14ac:dyDescent="0.25">
      <c r="A273" s="1115"/>
      <c r="B273" s="774" t="s">
        <v>1178</v>
      </c>
      <c r="C273" s="823">
        <f>C263</f>
        <v>38.717865870069311</v>
      </c>
      <c r="D273" s="820"/>
      <c r="E273" s="767" t="s">
        <v>1439</v>
      </c>
      <c r="F273" s="768" t="s">
        <v>1438</v>
      </c>
      <c r="G273" s="769">
        <v>0.27</v>
      </c>
      <c r="H273" s="768">
        <v>0.01</v>
      </c>
      <c r="I273" s="775">
        <f t="shared" si="24"/>
        <v>2.7000000000000001E-3</v>
      </c>
      <c r="J273" s="758" t="s">
        <v>1445</v>
      </c>
      <c r="K273" s="760">
        <v>2</v>
      </c>
      <c r="L273" s="776">
        <v>95</v>
      </c>
      <c r="M273" s="771">
        <v>2</v>
      </c>
      <c r="N273" s="760">
        <f>L273/'Исп. коэффициенты'!E31*(C276+C277)</f>
        <v>2.9939742329122852E-2</v>
      </c>
      <c r="O273" s="759"/>
      <c r="P273" s="759"/>
      <c r="Q273" s="759"/>
      <c r="R273" s="759"/>
      <c r="S273" s="759"/>
      <c r="T273" s="759"/>
      <c r="U273" s="759"/>
      <c r="V273" s="759"/>
      <c r="W273" s="759"/>
      <c r="X273" s="759"/>
      <c r="Y273" s="759"/>
      <c r="Z273" s="759"/>
      <c r="AA273" s="755"/>
      <c r="AB273" s="755"/>
      <c r="AC273" s="773"/>
      <c r="AD273" s="802"/>
      <c r="AF273" s="821"/>
      <c r="AG273" s="802"/>
      <c r="AH273" s="805"/>
      <c r="AI273" s="805"/>
      <c r="AJ273" s="822"/>
      <c r="AK273" s="805"/>
      <c r="AL273" s="806"/>
      <c r="AM273" s="824"/>
      <c r="AN273" s="805"/>
      <c r="AO273" s="807"/>
      <c r="AP273" s="805"/>
      <c r="AQ273" s="805"/>
      <c r="AR273" s="807"/>
      <c r="AS273" s="807"/>
      <c r="AT273" s="805"/>
      <c r="AU273" s="805"/>
      <c r="AV273" s="807"/>
      <c r="AW273" s="802"/>
    </row>
    <row r="274" spans="1:49" s="803" customFormat="1" ht="12.75" customHeight="1" x14ac:dyDescent="0.25">
      <c r="A274" s="1115"/>
      <c r="B274" s="754" t="s">
        <v>1179</v>
      </c>
      <c r="C274" s="799">
        <f>C264</f>
        <v>22.420123808013045</v>
      </c>
      <c r="D274" s="820"/>
      <c r="E274" s="767" t="s">
        <v>1598</v>
      </c>
      <c r="F274" s="768" t="s">
        <v>1441</v>
      </c>
      <c r="G274" s="769">
        <v>4.4000000000000004</v>
      </c>
      <c r="H274" s="769">
        <v>1</v>
      </c>
      <c r="I274" s="770">
        <f t="shared" si="24"/>
        <v>4.4000000000000004</v>
      </c>
      <c r="J274" s="758" t="s">
        <v>1513</v>
      </c>
      <c r="K274" s="760">
        <v>2</v>
      </c>
      <c r="L274" s="760">
        <v>25</v>
      </c>
      <c r="M274" s="771">
        <v>0.5</v>
      </c>
      <c r="N274" s="760">
        <f>L274/'Исп. коэффициенты'!E31*(C276+C277)</f>
        <v>7.8788795602954889E-3</v>
      </c>
      <c r="O274" s="759"/>
      <c r="P274" s="759"/>
      <c r="Q274" s="759"/>
      <c r="R274" s="759"/>
      <c r="S274" s="759"/>
      <c r="T274" s="759"/>
      <c r="U274" s="759"/>
      <c r="V274" s="759"/>
      <c r="W274" s="759"/>
      <c r="X274" s="759"/>
      <c r="Y274" s="759"/>
      <c r="Z274" s="759"/>
      <c r="AA274" s="755"/>
      <c r="AB274" s="755"/>
      <c r="AC274" s="773"/>
      <c r="AD274" s="802"/>
      <c r="AF274" s="821"/>
      <c r="AG274" s="802"/>
      <c r="AH274" s="805"/>
      <c r="AI274" s="805"/>
      <c r="AJ274" s="822"/>
      <c r="AK274" s="805"/>
      <c r="AL274" s="806"/>
      <c r="AM274" s="805"/>
      <c r="AN274" s="805"/>
      <c r="AO274" s="807"/>
      <c r="AP274" s="805"/>
      <c r="AQ274" s="805"/>
      <c r="AR274" s="807"/>
      <c r="AS274" s="807"/>
      <c r="AT274" s="805"/>
      <c r="AU274" s="805"/>
      <c r="AV274" s="807"/>
      <c r="AW274" s="802"/>
    </row>
    <row r="275" spans="1:49" s="803" customFormat="1" ht="12.75" customHeight="1" x14ac:dyDescent="0.25">
      <c r="A275" s="1115"/>
      <c r="B275" s="754" t="s">
        <v>831</v>
      </c>
      <c r="C275" s="825"/>
      <c r="D275" s="820"/>
      <c r="E275" s="767" t="s">
        <v>1599</v>
      </c>
      <c r="F275" s="768" t="s">
        <v>1441</v>
      </c>
      <c r="G275" s="769">
        <v>77.28</v>
      </c>
      <c r="H275" s="768">
        <v>1</v>
      </c>
      <c r="I275" s="770">
        <f t="shared" si="24"/>
        <v>77.28</v>
      </c>
      <c r="J275" s="758"/>
      <c r="K275" s="760"/>
      <c r="L275" s="760"/>
      <c r="M275" s="760"/>
      <c r="N275" s="760"/>
      <c r="O275" s="759"/>
      <c r="P275" s="759"/>
      <c r="Q275" s="759"/>
      <c r="R275" s="759"/>
      <c r="S275" s="759"/>
      <c r="T275" s="759"/>
      <c r="U275" s="759"/>
      <c r="V275" s="759"/>
      <c r="W275" s="759"/>
      <c r="X275" s="759"/>
      <c r="Y275" s="759"/>
      <c r="Z275" s="759"/>
      <c r="AA275" s="755"/>
      <c r="AB275" s="755"/>
      <c r="AC275" s="773"/>
      <c r="AD275" s="802"/>
      <c r="AF275" s="821"/>
      <c r="AG275" s="802"/>
      <c r="AH275" s="805"/>
      <c r="AI275" s="805"/>
      <c r="AJ275" s="822"/>
      <c r="AK275" s="805"/>
      <c r="AL275" s="806"/>
      <c r="AM275" s="805"/>
      <c r="AN275" s="805"/>
      <c r="AO275" s="807"/>
      <c r="AP275" s="805"/>
      <c r="AQ275" s="805"/>
      <c r="AR275" s="807"/>
      <c r="AS275" s="807"/>
      <c r="AT275" s="805"/>
      <c r="AU275" s="805"/>
      <c r="AV275" s="807"/>
      <c r="AW275" s="802"/>
    </row>
    <row r="276" spans="1:49" s="803" customFormat="1" ht="12.75" customHeight="1" x14ac:dyDescent="0.25">
      <c r="A276" s="1115"/>
      <c r="B276" s="774" t="s">
        <v>1178</v>
      </c>
      <c r="C276" s="826">
        <v>1</v>
      </c>
      <c r="D276" s="820"/>
      <c r="E276" s="767" t="s">
        <v>1442</v>
      </c>
      <c r="F276" s="768" t="s">
        <v>1443</v>
      </c>
      <c r="G276" s="769">
        <v>419.5</v>
      </c>
      <c r="H276" s="768">
        <v>1E-3</v>
      </c>
      <c r="I276" s="770">
        <f t="shared" si="24"/>
        <v>0.41949999999999998</v>
      </c>
      <c r="J276" s="758"/>
      <c r="K276" s="760"/>
      <c r="L276" s="760"/>
      <c r="M276" s="760"/>
      <c r="N276" s="760"/>
      <c r="O276" s="759"/>
      <c r="P276" s="759"/>
      <c r="Q276" s="759"/>
      <c r="R276" s="759"/>
      <c r="S276" s="759"/>
      <c r="T276" s="759"/>
      <c r="U276" s="759"/>
      <c r="V276" s="759"/>
      <c r="W276" s="759"/>
      <c r="X276" s="759"/>
      <c r="Y276" s="759"/>
      <c r="Z276" s="759"/>
      <c r="AA276" s="755"/>
      <c r="AB276" s="755"/>
      <c r="AC276" s="773"/>
      <c r="AD276" s="802"/>
      <c r="AF276" s="821"/>
      <c r="AG276" s="802"/>
      <c r="AH276" s="805"/>
      <c r="AI276" s="805"/>
      <c r="AJ276" s="827"/>
      <c r="AK276" s="805"/>
      <c r="AL276" s="806"/>
      <c r="AM276" s="805"/>
      <c r="AN276" s="805"/>
      <c r="AO276" s="807"/>
      <c r="AP276" s="805"/>
      <c r="AQ276" s="805"/>
      <c r="AR276" s="807"/>
      <c r="AS276" s="807"/>
      <c r="AT276" s="805"/>
      <c r="AU276" s="805"/>
      <c r="AV276" s="807"/>
      <c r="AW276" s="802"/>
    </row>
    <row r="277" spans="1:49" s="803" customFormat="1" ht="12.75" customHeight="1" x14ac:dyDescent="0.25">
      <c r="A277" s="1115"/>
      <c r="B277" s="754" t="s">
        <v>1179</v>
      </c>
      <c r="C277" s="826">
        <v>1.5</v>
      </c>
      <c r="D277" s="820"/>
      <c r="E277" s="767" t="s">
        <v>1444</v>
      </c>
      <c r="F277" s="768" t="s">
        <v>1443</v>
      </c>
      <c r="G277" s="769">
        <v>872</v>
      </c>
      <c r="H277" s="768">
        <v>2E-3</v>
      </c>
      <c r="I277" s="770">
        <f t="shared" si="24"/>
        <v>1.744</v>
      </c>
      <c r="J277" s="758"/>
      <c r="K277" s="760"/>
      <c r="L277" s="760"/>
      <c r="M277" s="760"/>
      <c r="N277" s="760"/>
      <c r="O277" s="759"/>
      <c r="P277" s="759"/>
      <c r="Q277" s="759"/>
      <c r="R277" s="759"/>
      <c r="S277" s="759"/>
      <c r="T277" s="759"/>
      <c r="U277" s="759"/>
      <c r="V277" s="759"/>
      <c r="W277" s="759"/>
      <c r="X277" s="759"/>
      <c r="Y277" s="759"/>
      <c r="Z277" s="759"/>
      <c r="AA277" s="755"/>
      <c r="AB277" s="755"/>
      <c r="AC277" s="773"/>
      <c r="AD277" s="802"/>
      <c r="AF277" s="821"/>
      <c r="AG277" s="802"/>
      <c r="AH277" s="805"/>
      <c r="AI277" s="805"/>
      <c r="AJ277" s="827"/>
      <c r="AK277" s="805"/>
      <c r="AL277" s="806"/>
      <c r="AM277" s="805"/>
      <c r="AN277" s="805"/>
      <c r="AO277" s="807"/>
      <c r="AP277" s="805"/>
      <c r="AQ277" s="805"/>
      <c r="AR277" s="807"/>
      <c r="AS277" s="807"/>
      <c r="AT277" s="805"/>
      <c r="AU277" s="805"/>
      <c r="AV277" s="807"/>
      <c r="AW277" s="802"/>
    </row>
    <row r="278" spans="1:49" s="803" customFormat="1" ht="12.75" customHeight="1" x14ac:dyDescent="0.25">
      <c r="A278" s="1115"/>
      <c r="B278" s="782" t="s">
        <v>1181</v>
      </c>
      <c r="C278" s="799">
        <f>C273*C276+C274*C277</f>
        <v>72.348051582088885</v>
      </c>
      <c r="D278" s="820"/>
      <c r="E278" s="780"/>
      <c r="F278" s="781"/>
      <c r="G278" s="769"/>
      <c r="H278" s="768"/>
      <c r="I278" s="770"/>
      <c r="J278" s="758"/>
      <c r="K278" s="828"/>
      <c r="L278" s="776"/>
      <c r="M278" s="771"/>
      <c r="N278" s="760"/>
      <c r="O278" s="759"/>
      <c r="P278" s="759"/>
      <c r="Q278" s="759"/>
      <c r="R278" s="759"/>
      <c r="S278" s="759"/>
      <c r="T278" s="759"/>
      <c r="U278" s="759"/>
      <c r="V278" s="759"/>
      <c r="W278" s="759"/>
      <c r="X278" s="759"/>
      <c r="Y278" s="759"/>
      <c r="Z278" s="759"/>
      <c r="AA278" s="755"/>
      <c r="AB278" s="755"/>
      <c r="AC278" s="773"/>
      <c r="AD278" s="802"/>
      <c r="AF278" s="821"/>
      <c r="AG278" s="802"/>
      <c r="AH278" s="805"/>
      <c r="AI278" s="805"/>
      <c r="AJ278" s="822"/>
      <c r="AK278" s="805"/>
      <c r="AL278" s="806"/>
      <c r="AM278" s="805"/>
      <c r="AN278" s="805"/>
      <c r="AO278" s="807"/>
      <c r="AP278" s="805"/>
      <c r="AQ278" s="805"/>
      <c r="AR278" s="807"/>
      <c r="AS278" s="807"/>
      <c r="AT278" s="805"/>
      <c r="AU278" s="805"/>
      <c r="AV278" s="807"/>
      <c r="AW278" s="802"/>
    </row>
    <row r="279" spans="1:49" s="803" customFormat="1" ht="13.5" customHeight="1" x14ac:dyDescent="0.25">
      <c r="A279" s="1116"/>
      <c r="B279" s="783"/>
      <c r="C279" s="826"/>
      <c r="D279" s="829"/>
      <c r="E279" s="780"/>
      <c r="F279" s="781"/>
      <c r="G279" s="769"/>
      <c r="H279" s="768"/>
      <c r="I279" s="770"/>
      <c r="J279" s="758"/>
      <c r="K279" s="828"/>
      <c r="L279" s="760"/>
      <c r="M279" s="771"/>
      <c r="N279" s="760"/>
      <c r="O279" s="759"/>
      <c r="P279" s="759"/>
      <c r="Q279" s="759"/>
      <c r="R279" s="759"/>
      <c r="S279" s="759"/>
      <c r="T279" s="759"/>
      <c r="U279" s="759"/>
      <c r="V279" s="759"/>
      <c r="W279" s="759"/>
      <c r="X279" s="759"/>
      <c r="Y279" s="759"/>
      <c r="Z279" s="759"/>
      <c r="AA279" s="755"/>
      <c r="AB279" s="755"/>
      <c r="AC279" s="773"/>
      <c r="AD279" s="802"/>
      <c r="AF279" s="821"/>
      <c r="AG279" s="802"/>
      <c r="AH279" s="805"/>
      <c r="AI279" s="805"/>
      <c r="AJ279" s="827"/>
      <c r="AK279" s="805"/>
      <c r="AL279" s="806"/>
      <c r="AM279" s="805"/>
      <c r="AN279" s="805"/>
      <c r="AO279" s="807"/>
      <c r="AP279" s="805"/>
      <c r="AQ279" s="805"/>
      <c r="AR279" s="807"/>
      <c r="AS279" s="807"/>
      <c r="AT279" s="805"/>
      <c r="AU279" s="805"/>
      <c r="AV279" s="807"/>
      <c r="AW279" s="802"/>
    </row>
    <row r="280" spans="1:49" s="803" customFormat="1" ht="56.25" customHeight="1" x14ac:dyDescent="0.25">
      <c r="A280" s="1114" t="s">
        <v>1626</v>
      </c>
      <c r="B280" s="778" t="s">
        <v>735</v>
      </c>
      <c r="C280" s="799"/>
      <c r="D280" s="800"/>
      <c r="E280" s="801" t="s">
        <v>488</v>
      </c>
      <c r="F280" s="792" t="s">
        <v>837</v>
      </c>
      <c r="G280" s="778" t="s">
        <v>489</v>
      </c>
      <c r="H280" s="791" t="s">
        <v>1170</v>
      </c>
      <c r="I280" s="792" t="s">
        <v>838</v>
      </c>
      <c r="J280" s="793" t="s">
        <v>1171</v>
      </c>
      <c r="K280" s="793" t="s">
        <v>490</v>
      </c>
      <c r="L280" s="794" t="s">
        <v>489</v>
      </c>
      <c r="M280" s="793" t="s">
        <v>1172</v>
      </c>
      <c r="N280" s="792" t="s">
        <v>838</v>
      </c>
      <c r="O280" s="793" t="s">
        <v>1171</v>
      </c>
      <c r="P280" s="793" t="s">
        <v>826</v>
      </c>
      <c r="Q280" s="793" t="s">
        <v>1173</v>
      </c>
      <c r="R280" s="793" t="s">
        <v>1174</v>
      </c>
      <c r="S280" s="793" t="s">
        <v>839</v>
      </c>
      <c r="T280" s="793" t="s">
        <v>1171</v>
      </c>
      <c r="U280" s="793" t="s">
        <v>1392</v>
      </c>
      <c r="V280" s="793" t="s">
        <v>841</v>
      </c>
      <c r="W280" s="795" t="s">
        <v>1173</v>
      </c>
      <c r="X280" s="793" t="s">
        <v>1394</v>
      </c>
      <c r="Y280" s="793" t="s">
        <v>839</v>
      </c>
      <c r="Z280" s="796"/>
      <c r="AA280" s="755"/>
      <c r="AB280" s="755"/>
      <c r="AC280" s="773"/>
      <c r="AD280" s="802"/>
      <c r="AF280" s="804"/>
      <c r="AG280" s="802"/>
      <c r="AH280" s="805"/>
      <c r="AI280" s="805"/>
      <c r="AJ280" s="805"/>
      <c r="AK280" s="805"/>
      <c r="AL280" s="806"/>
      <c r="AM280" s="805"/>
      <c r="AN280" s="805"/>
      <c r="AO280" s="807"/>
      <c r="AP280" s="805"/>
      <c r="AQ280" s="808"/>
      <c r="AR280" s="808"/>
      <c r="AS280" s="808"/>
      <c r="AT280" s="805"/>
      <c r="AU280" s="805"/>
      <c r="AV280" s="807"/>
      <c r="AW280" s="802"/>
    </row>
    <row r="281" spans="1:49" s="803" customFormat="1" ht="12" customHeight="1" x14ac:dyDescent="0.25">
      <c r="A281" s="1115"/>
      <c r="B281" s="752" t="s">
        <v>1175</v>
      </c>
      <c r="C281" s="799">
        <f>C288</f>
        <v>72.348051582088885</v>
      </c>
      <c r="D281" s="800">
        <f>C281*$D$5</f>
        <v>14.614306419581956</v>
      </c>
      <c r="E281" s="809" t="s">
        <v>1176</v>
      </c>
      <c r="F281" s="810"/>
      <c r="G281" s="756"/>
      <c r="H281" s="756"/>
      <c r="I281" s="757">
        <f>SUM(I282:I289)</f>
        <v>83.8536</v>
      </c>
      <c r="J281" s="758" t="s">
        <v>1176</v>
      </c>
      <c r="K281" s="811"/>
      <c r="L281" s="759"/>
      <c r="M281" s="759"/>
      <c r="N281" s="760">
        <f>SUM(N282:N289)</f>
        <v>0.27418500869828294</v>
      </c>
      <c r="O281" s="759" t="s">
        <v>1176</v>
      </c>
      <c r="P281" s="759"/>
      <c r="Q281" s="812"/>
      <c r="R281" s="813"/>
      <c r="S281" s="760">
        <f>SUM(S282:S289)</f>
        <v>0.17977397070317422</v>
      </c>
      <c r="T281" s="760"/>
      <c r="U281" s="760"/>
      <c r="V281" s="760"/>
      <c r="W281" s="760"/>
      <c r="X281" s="760"/>
      <c r="Y281" s="760">
        <f>SUM(Y282:Y289)</f>
        <v>11.63319193706981</v>
      </c>
      <c r="Z281" s="762">
        <f>(C281+D281+I281+N281+S281+Y281)*$Z$5</f>
        <v>237.80837118927158</v>
      </c>
      <c r="AA281" s="763">
        <f>C281+D281+I281+N281+S281+Y281+Z281</f>
        <v>420.71148010741365</v>
      </c>
      <c r="AB281" s="764">
        <v>0.25</v>
      </c>
      <c r="AC281" s="765">
        <f>AA281*(1+AB281)</f>
        <v>525.88935013426703</v>
      </c>
      <c r="AD281" s="814"/>
      <c r="AF281" s="804"/>
      <c r="AG281" s="802"/>
      <c r="AH281" s="805"/>
      <c r="AI281" s="808"/>
      <c r="AJ281" s="815"/>
      <c r="AK281" s="816"/>
      <c r="AL281" s="806"/>
      <c r="AM281" s="817"/>
      <c r="AN281" s="818"/>
      <c r="AO281" s="817"/>
      <c r="AP281" s="808"/>
      <c r="AQ281" s="808"/>
      <c r="AR281" s="808"/>
      <c r="AS281" s="808"/>
      <c r="AT281" s="808"/>
      <c r="AU281" s="817"/>
      <c r="AV281" s="817"/>
      <c r="AW281" s="819"/>
    </row>
    <row r="282" spans="1:49" s="803" customFormat="1" ht="12.75" customHeight="1" x14ac:dyDescent="0.25">
      <c r="A282" s="1115"/>
      <c r="B282" s="766" t="s">
        <v>830</v>
      </c>
      <c r="C282" s="799"/>
      <c r="D282" s="820"/>
      <c r="E282" s="767" t="s">
        <v>1437</v>
      </c>
      <c r="F282" s="768" t="s">
        <v>1438</v>
      </c>
      <c r="G282" s="769">
        <v>0.74</v>
      </c>
      <c r="H282" s="768">
        <v>0.01</v>
      </c>
      <c r="I282" s="770">
        <f t="shared" ref="I282:I287" si="25">G282*H282</f>
        <v>7.4000000000000003E-3</v>
      </c>
      <c r="J282" s="758" t="s">
        <v>1291</v>
      </c>
      <c r="K282" s="771">
        <v>2</v>
      </c>
      <c r="L282" s="772">
        <v>750</v>
      </c>
      <c r="M282" s="771">
        <v>2</v>
      </c>
      <c r="N282" s="760">
        <f>L282/'Исп. коэффициенты'!E31*(C286+C287)</f>
        <v>0.23636638680886463</v>
      </c>
      <c r="O282" s="759" t="s">
        <v>2200</v>
      </c>
      <c r="P282" s="759">
        <v>7250</v>
      </c>
      <c r="Q282" s="759">
        <v>19.670000000000002</v>
      </c>
      <c r="R282" s="759">
        <f>P282*Q282%</f>
        <v>1426.075</v>
      </c>
      <c r="S282" s="759">
        <f>R282/'Исп. коэффициенты'!E31*C286</f>
        <v>0.17977397070317422</v>
      </c>
      <c r="T282" s="755" t="s">
        <v>1435</v>
      </c>
      <c r="U282" s="756">
        <v>6785401.3499999996</v>
      </c>
      <c r="V282" s="785">
        <f>'Исп. коэффициенты'!E124</f>
        <v>2978.5</v>
      </c>
      <c r="W282" s="761">
        <f>'Исп. коэффициенты'!D124</f>
        <v>1.3599999999999999E-2</v>
      </c>
      <c r="X282" s="760">
        <f>U282*W282</f>
        <v>92281.45835999999</v>
      </c>
      <c r="Y282" s="759">
        <f>X282/'Исп. коэффициенты'!E31*C286</f>
        <v>11.63319193706981</v>
      </c>
      <c r="Z282" s="759"/>
      <c r="AA282" s="755"/>
      <c r="AB282" s="755"/>
      <c r="AC282" s="773"/>
      <c r="AD282" s="802"/>
      <c r="AF282" s="821"/>
      <c r="AG282" s="802"/>
      <c r="AH282" s="805"/>
      <c r="AI282" s="805"/>
      <c r="AJ282" s="822"/>
      <c r="AK282" s="805"/>
      <c r="AL282" s="806"/>
      <c r="AM282" s="805"/>
      <c r="AN282" s="805"/>
      <c r="AO282" s="807"/>
      <c r="AP282" s="805"/>
      <c r="AQ282" s="805"/>
      <c r="AR282" s="807"/>
      <c r="AS282" s="807"/>
      <c r="AT282" s="805"/>
      <c r="AU282" s="805"/>
      <c r="AV282" s="807"/>
      <c r="AW282" s="802"/>
    </row>
    <row r="283" spans="1:49" s="803" customFormat="1" x14ac:dyDescent="0.25">
      <c r="A283" s="1115"/>
      <c r="B283" s="774" t="s">
        <v>1178</v>
      </c>
      <c r="C283" s="823">
        <f>C273</f>
        <v>38.717865870069311</v>
      </c>
      <c r="D283" s="820"/>
      <c r="E283" s="767" t="s">
        <v>1439</v>
      </c>
      <c r="F283" s="768" t="s">
        <v>1438</v>
      </c>
      <c r="G283" s="769">
        <v>0.27</v>
      </c>
      <c r="H283" s="768">
        <v>0.01</v>
      </c>
      <c r="I283" s="775">
        <f t="shared" si="25"/>
        <v>2.7000000000000001E-3</v>
      </c>
      <c r="J283" s="758" t="s">
        <v>1445</v>
      </c>
      <c r="K283" s="760">
        <v>2</v>
      </c>
      <c r="L283" s="776">
        <v>95</v>
      </c>
      <c r="M283" s="771">
        <v>2</v>
      </c>
      <c r="N283" s="760">
        <f>L283/'Исп. коэффициенты'!E31*(C286+C287)</f>
        <v>2.9939742329122852E-2</v>
      </c>
      <c r="O283" s="759"/>
      <c r="P283" s="759"/>
      <c r="Q283" s="759"/>
      <c r="R283" s="759"/>
      <c r="S283" s="759"/>
      <c r="T283" s="759"/>
      <c r="U283" s="759"/>
      <c r="V283" s="759"/>
      <c r="W283" s="759"/>
      <c r="X283" s="759"/>
      <c r="Y283" s="759"/>
      <c r="Z283" s="759"/>
      <c r="AA283" s="755"/>
      <c r="AB283" s="755"/>
      <c r="AC283" s="773"/>
      <c r="AD283" s="802"/>
      <c r="AF283" s="821"/>
      <c r="AG283" s="802"/>
      <c r="AH283" s="805"/>
      <c r="AI283" s="805"/>
      <c r="AJ283" s="822"/>
      <c r="AK283" s="805"/>
      <c r="AL283" s="806"/>
      <c r="AM283" s="824"/>
      <c r="AN283" s="805"/>
      <c r="AO283" s="807"/>
      <c r="AP283" s="805"/>
      <c r="AQ283" s="805"/>
      <c r="AR283" s="807"/>
      <c r="AS283" s="807"/>
      <c r="AT283" s="805"/>
      <c r="AU283" s="805"/>
      <c r="AV283" s="807"/>
      <c r="AW283" s="802"/>
    </row>
    <row r="284" spans="1:49" s="803" customFormat="1" ht="12.75" customHeight="1" x14ac:dyDescent="0.25">
      <c r="A284" s="1115"/>
      <c r="B284" s="754" t="s">
        <v>1179</v>
      </c>
      <c r="C284" s="799">
        <f>C274</f>
        <v>22.420123808013045</v>
      </c>
      <c r="D284" s="820"/>
      <c r="E284" s="767" t="s">
        <v>1598</v>
      </c>
      <c r="F284" s="768" t="s">
        <v>1441</v>
      </c>
      <c r="G284" s="769">
        <v>4.4000000000000004</v>
      </c>
      <c r="H284" s="769">
        <v>1</v>
      </c>
      <c r="I284" s="770">
        <f t="shared" si="25"/>
        <v>4.4000000000000004</v>
      </c>
      <c r="J284" s="758" t="s">
        <v>1513</v>
      </c>
      <c r="K284" s="760">
        <v>2</v>
      </c>
      <c r="L284" s="760">
        <v>25</v>
      </c>
      <c r="M284" s="771">
        <v>0.5</v>
      </c>
      <c r="N284" s="760">
        <f>L284/'Исп. коэффициенты'!E31*(C286+C287)</f>
        <v>7.8788795602954889E-3</v>
      </c>
      <c r="O284" s="759"/>
      <c r="P284" s="759"/>
      <c r="Q284" s="759"/>
      <c r="R284" s="759"/>
      <c r="S284" s="759"/>
      <c r="T284" s="759"/>
      <c r="U284" s="759"/>
      <c r="V284" s="759"/>
      <c r="W284" s="759"/>
      <c r="X284" s="759"/>
      <c r="Y284" s="759"/>
      <c r="Z284" s="759"/>
      <c r="AA284" s="755"/>
      <c r="AB284" s="755"/>
      <c r="AC284" s="773"/>
      <c r="AD284" s="802"/>
      <c r="AF284" s="821"/>
      <c r="AG284" s="802"/>
      <c r="AH284" s="805"/>
      <c r="AI284" s="805"/>
      <c r="AJ284" s="822"/>
      <c r="AK284" s="805"/>
      <c r="AL284" s="806"/>
      <c r="AM284" s="805"/>
      <c r="AN284" s="805"/>
      <c r="AO284" s="807"/>
      <c r="AP284" s="805"/>
      <c r="AQ284" s="805"/>
      <c r="AR284" s="807"/>
      <c r="AS284" s="807"/>
      <c r="AT284" s="805"/>
      <c r="AU284" s="805"/>
      <c r="AV284" s="807"/>
      <c r="AW284" s="802"/>
    </row>
    <row r="285" spans="1:49" s="803" customFormat="1" ht="12.75" customHeight="1" x14ac:dyDescent="0.25">
      <c r="A285" s="1115"/>
      <c r="B285" s="754" t="s">
        <v>831</v>
      </c>
      <c r="C285" s="825"/>
      <c r="D285" s="820"/>
      <c r="E285" s="767" t="s">
        <v>1599</v>
      </c>
      <c r="F285" s="768" t="s">
        <v>1441</v>
      </c>
      <c r="G285" s="769">
        <v>77.28</v>
      </c>
      <c r="H285" s="768">
        <v>1</v>
      </c>
      <c r="I285" s="770">
        <f t="shared" si="25"/>
        <v>77.28</v>
      </c>
      <c r="J285" s="758"/>
      <c r="K285" s="760"/>
      <c r="L285" s="760"/>
      <c r="M285" s="760"/>
      <c r="N285" s="760"/>
      <c r="O285" s="759"/>
      <c r="P285" s="759"/>
      <c r="Q285" s="759"/>
      <c r="R285" s="759"/>
      <c r="S285" s="759"/>
      <c r="T285" s="759"/>
      <c r="U285" s="759"/>
      <c r="V285" s="759"/>
      <c r="W285" s="759"/>
      <c r="X285" s="759"/>
      <c r="Y285" s="759"/>
      <c r="Z285" s="759"/>
      <c r="AA285" s="755"/>
      <c r="AB285" s="755"/>
      <c r="AC285" s="773"/>
      <c r="AD285" s="802"/>
      <c r="AF285" s="821"/>
      <c r="AG285" s="802"/>
      <c r="AH285" s="805"/>
      <c r="AI285" s="805"/>
      <c r="AJ285" s="822"/>
      <c r="AK285" s="805"/>
      <c r="AL285" s="806"/>
      <c r="AM285" s="805"/>
      <c r="AN285" s="805"/>
      <c r="AO285" s="807"/>
      <c r="AP285" s="805"/>
      <c r="AQ285" s="805"/>
      <c r="AR285" s="807"/>
      <c r="AS285" s="807"/>
      <c r="AT285" s="805"/>
      <c r="AU285" s="805"/>
      <c r="AV285" s="807"/>
      <c r="AW285" s="802"/>
    </row>
    <row r="286" spans="1:49" s="803" customFormat="1" ht="12.75" customHeight="1" x14ac:dyDescent="0.25">
      <c r="A286" s="1115"/>
      <c r="B286" s="774" t="s">
        <v>1178</v>
      </c>
      <c r="C286" s="826">
        <v>1</v>
      </c>
      <c r="D286" s="820"/>
      <c r="E286" s="767" t="s">
        <v>1442</v>
      </c>
      <c r="F286" s="768" t="s">
        <v>1443</v>
      </c>
      <c r="G286" s="769">
        <v>419.5</v>
      </c>
      <c r="H286" s="768">
        <v>1E-3</v>
      </c>
      <c r="I286" s="770">
        <f t="shared" si="25"/>
        <v>0.41949999999999998</v>
      </c>
      <c r="J286" s="758"/>
      <c r="K286" s="760"/>
      <c r="L286" s="760"/>
      <c r="M286" s="760"/>
      <c r="N286" s="760"/>
      <c r="O286" s="759"/>
      <c r="P286" s="759"/>
      <c r="Q286" s="759"/>
      <c r="R286" s="759"/>
      <c r="S286" s="759"/>
      <c r="T286" s="759"/>
      <c r="U286" s="759"/>
      <c r="V286" s="759"/>
      <c r="W286" s="759"/>
      <c r="X286" s="759"/>
      <c r="Y286" s="759"/>
      <c r="Z286" s="759"/>
      <c r="AA286" s="755"/>
      <c r="AB286" s="755"/>
      <c r="AC286" s="773"/>
      <c r="AD286" s="802"/>
      <c r="AF286" s="821"/>
      <c r="AG286" s="802"/>
      <c r="AH286" s="805"/>
      <c r="AI286" s="805"/>
      <c r="AJ286" s="827"/>
      <c r="AK286" s="805"/>
      <c r="AL286" s="806"/>
      <c r="AM286" s="805"/>
      <c r="AN286" s="805"/>
      <c r="AO286" s="807"/>
      <c r="AP286" s="805"/>
      <c r="AQ286" s="805"/>
      <c r="AR286" s="807"/>
      <c r="AS286" s="807"/>
      <c r="AT286" s="805"/>
      <c r="AU286" s="805"/>
      <c r="AV286" s="807"/>
      <c r="AW286" s="802"/>
    </row>
    <row r="287" spans="1:49" s="803" customFormat="1" ht="12.75" customHeight="1" x14ac:dyDescent="0.25">
      <c r="A287" s="1115"/>
      <c r="B287" s="754" t="s">
        <v>1179</v>
      </c>
      <c r="C287" s="826">
        <v>1.5</v>
      </c>
      <c r="D287" s="820"/>
      <c r="E287" s="767" t="s">
        <v>1444</v>
      </c>
      <c r="F287" s="768" t="s">
        <v>1443</v>
      </c>
      <c r="G287" s="769">
        <v>872</v>
      </c>
      <c r="H287" s="768">
        <v>2E-3</v>
      </c>
      <c r="I287" s="770">
        <f t="shared" si="25"/>
        <v>1.744</v>
      </c>
      <c r="J287" s="758"/>
      <c r="K287" s="760"/>
      <c r="L287" s="760"/>
      <c r="M287" s="760"/>
      <c r="N287" s="760"/>
      <c r="O287" s="759"/>
      <c r="P287" s="759"/>
      <c r="Q287" s="759"/>
      <c r="R287" s="759"/>
      <c r="S287" s="759"/>
      <c r="T287" s="759"/>
      <c r="U287" s="759"/>
      <c r="V287" s="759"/>
      <c r="W287" s="759"/>
      <c r="X287" s="759"/>
      <c r="Y287" s="759"/>
      <c r="Z287" s="759"/>
      <c r="AA287" s="755"/>
      <c r="AB287" s="755"/>
      <c r="AC287" s="773"/>
      <c r="AD287" s="802"/>
      <c r="AF287" s="821"/>
      <c r="AG287" s="802"/>
      <c r="AH287" s="805"/>
      <c r="AI287" s="805"/>
      <c r="AJ287" s="827"/>
      <c r="AK287" s="805"/>
      <c r="AL287" s="806"/>
      <c r="AM287" s="805"/>
      <c r="AN287" s="805"/>
      <c r="AO287" s="807"/>
      <c r="AP287" s="805"/>
      <c r="AQ287" s="805"/>
      <c r="AR287" s="807"/>
      <c r="AS287" s="807"/>
      <c r="AT287" s="805"/>
      <c r="AU287" s="805"/>
      <c r="AV287" s="807"/>
      <c r="AW287" s="802"/>
    </row>
    <row r="288" spans="1:49" s="803" customFormat="1" ht="12.75" customHeight="1" x14ac:dyDescent="0.25">
      <c r="A288" s="1115"/>
      <c r="B288" s="782" t="s">
        <v>1181</v>
      </c>
      <c r="C288" s="799">
        <f>C283*C286+C284*C287</f>
        <v>72.348051582088885</v>
      </c>
      <c r="D288" s="820"/>
      <c r="E288" s="780"/>
      <c r="F288" s="781"/>
      <c r="G288" s="769"/>
      <c r="H288" s="768"/>
      <c r="I288" s="770"/>
      <c r="J288" s="758"/>
      <c r="K288" s="828"/>
      <c r="L288" s="776"/>
      <c r="M288" s="771"/>
      <c r="N288" s="760"/>
      <c r="O288" s="759"/>
      <c r="P288" s="759"/>
      <c r="Q288" s="759"/>
      <c r="R288" s="759"/>
      <c r="S288" s="759"/>
      <c r="T288" s="759"/>
      <c r="U288" s="759"/>
      <c r="V288" s="759"/>
      <c r="W288" s="759"/>
      <c r="X288" s="759"/>
      <c r="Y288" s="759"/>
      <c r="Z288" s="759"/>
      <c r="AA288" s="755"/>
      <c r="AB288" s="755"/>
      <c r="AC288" s="773"/>
      <c r="AD288" s="802"/>
      <c r="AF288" s="821"/>
      <c r="AG288" s="802"/>
      <c r="AH288" s="805"/>
      <c r="AI288" s="805"/>
      <c r="AJ288" s="822"/>
      <c r="AK288" s="805"/>
      <c r="AL288" s="806"/>
      <c r="AM288" s="805"/>
      <c r="AN288" s="805"/>
      <c r="AO288" s="807"/>
      <c r="AP288" s="805"/>
      <c r="AQ288" s="805"/>
      <c r="AR288" s="807"/>
      <c r="AS288" s="807"/>
      <c r="AT288" s="805"/>
      <c r="AU288" s="805"/>
      <c r="AV288" s="807"/>
      <c r="AW288" s="802"/>
    </row>
    <row r="289" spans="1:49" s="803" customFormat="1" ht="13.5" customHeight="1" x14ac:dyDescent="0.25">
      <c r="A289" s="1116"/>
      <c r="B289" s="783"/>
      <c r="C289" s="826"/>
      <c r="D289" s="829"/>
      <c r="E289" s="780"/>
      <c r="F289" s="781"/>
      <c r="G289" s="769"/>
      <c r="H289" s="768"/>
      <c r="I289" s="770"/>
      <c r="J289" s="758"/>
      <c r="K289" s="828"/>
      <c r="L289" s="760"/>
      <c r="M289" s="771"/>
      <c r="N289" s="760"/>
      <c r="O289" s="759"/>
      <c r="P289" s="759"/>
      <c r="Q289" s="759"/>
      <c r="R289" s="759"/>
      <c r="S289" s="759"/>
      <c r="T289" s="759"/>
      <c r="U289" s="759"/>
      <c r="V289" s="759"/>
      <c r="W289" s="759"/>
      <c r="X289" s="759"/>
      <c r="Y289" s="759"/>
      <c r="Z289" s="759"/>
      <c r="AA289" s="755"/>
      <c r="AB289" s="755"/>
      <c r="AC289" s="773"/>
      <c r="AD289" s="802"/>
      <c r="AF289" s="821"/>
      <c r="AG289" s="802"/>
      <c r="AH289" s="805"/>
      <c r="AI289" s="805"/>
      <c r="AJ289" s="827"/>
      <c r="AK289" s="805"/>
      <c r="AL289" s="806"/>
      <c r="AM289" s="805"/>
      <c r="AN289" s="805"/>
      <c r="AO289" s="807"/>
      <c r="AP289" s="805"/>
      <c r="AQ289" s="805"/>
      <c r="AR289" s="807"/>
      <c r="AS289" s="807"/>
      <c r="AT289" s="805"/>
      <c r="AU289" s="805"/>
      <c r="AV289" s="807"/>
      <c r="AW289" s="802"/>
    </row>
    <row r="290" spans="1:49" s="803" customFormat="1" ht="56.25" customHeight="1" x14ac:dyDescent="0.25">
      <c r="A290" s="1114" t="s">
        <v>1627</v>
      </c>
      <c r="B290" s="778" t="s">
        <v>736</v>
      </c>
      <c r="C290" s="799"/>
      <c r="D290" s="800"/>
      <c r="E290" s="801" t="s">
        <v>488</v>
      </c>
      <c r="F290" s="792" t="s">
        <v>837</v>
      </c>
      <c r="G290" s="778" t="s">
        <v>489</v>
      </c>
      <c r="H290" s="791" t="s">
        <v>1170</v>
      </c>
      <c r="I290" s="792" t="s">
        <v>838</v>
      </c>
      <c r="J290" s="793" t="s">
        <v>1171</v>
      </c>
      <c r="K290" s="793" t="s">
        <v>490</v>
      </c>
      <c r="L290" s="794" t="s">
        <v>489</v>
      </c>
      <c r="M290" s="793" t="s">
        <v>1172</v>
      </c>
      <c r="N290" s="792" t="s">
        <v>838</v>
      </c>
      <c r="O290" s="793" t="s">
        <v>1171</v>
      </c>
      <c r="P290" s="793" t="s">
        <v>826</v>
      </c>
      <c r="Q290" s="793" t="s">
        <v>1173</v>
      </c>
      <c r="R290" s="793" t="s">
        <v>1174</v>
      </c>
      <c r="S290" s="793" t="s">
        <v>839</v>
      </c>
      <c r="T290" s="793" t="s">
        <v>1171</v>
      </c>
      <c r="U290" s="793" t="s">
        <v>1392</v>
      </c>
      <c r="V290" s="793" t="s">
        <v>841</v>
      </c>
      <c r="W290" s="795" t="s">
        <v>1173</v>
      </c>
      <c r="X290" s="793" t="s">
        <v>1394</v>
      </c>
      <c r="Y290" s="793" t="s">
        <v>839</v>
      </c>
      <c r="Z290" s="796"/>
      <c r="AA290" s="755"/>
      <c r="AB290" s="755"/>
      <c r="AC290" s="773"/>
      <c r="AD290" s="802"/>
      <c r="AF290" s="804"/>
      <c r="AG290" s="802"/>
      <c r="AH290" s="805"/>
      <c r="AI290" s="805"/>
      <c r="AJ290" s="805"/>
      <c r="AK290" s="805"/>
      <c r="AL290" s="806"/>
      <c r="AM290" s="805"/>
      <c r="AN290" s="805"/>
      <c r="AO290" s="807"/>
      <c r="AP290" s="805"/>
      <c r="AQ290" s="808"/>
      <c r="AR290" s="808"/>
      <c r="AS290" s="808"/>
      <c r="AT290" s="805"/>
      <c r="AU290" s="805"/>
      <c r="AV290" s="807"/>
      <c r="AW290" s="802"/>
    </row>
    <row r="291" spans="1:49" s="803" customFormat="1" ht="12" customHeight="1" x14ac:dyDescent="0.25">
      <c r="A291" s="1115"/>
      <c r="B291" s="752" t="s">
        <v>1175</v>
      </c>
      <c r="C291" s="799">
        <f>C298</f>
        <v>133.48604126017125</v>
      </c>
      <c r="D291" s="800">
        <f>C291*$D$5</f>
        <v>26.964180334554595</v>
      </c>
      <c r="E291" s="809" t="s">
        <v>1176</v>
      </c>
      <c r="F291" s="810"/>
      <c r="G291" s="756"/>
      <c r="H291" s="756"/>
      <c r="I291" s="757">
        <f>SUM(I292:I299)</f>
        <v>83.8536</v>
      </c>
      <c r="J291" s="758" t="s">
        <v>1176</v>
      </c>
      <c r="K291" s="811"/>
      <c r="L291" s="759"/>
      <c r="M291" s="759"/>
      <c r="N291" s="760">
        <f>SUM(N292:N299)</f>
        <v>0.49353301565690938</v>
      </c>
      <c r="O291" s="759" t="s">
        <v>1176</v>
      </c>
      <c r="P291" s="759"/>
      <c r="Q291" s="812"/>
      <c r="R291" s="813"/>
      <c r="S291" s="760">
        <f>SUM(S292:S299)</f>
        <v>0.35954794140634844</v>
      </c>
      <c r="T291" s="760"/>
      <c r="U291" s="760"/>
      <c r="V291" s="760"/>
      <c r="W291" s="760"/>
      <c r="X291" s="760"/>
      <c r="Y291" s="760">
        <f>SUM(Y292:Y299)</f>
        <v>23.266383874139621</v>
      </c>
      <c r="Z291" s="762">
        <f>(C291+D291+I291+N291+S291+Y291)*$Z$5</f>
        <v>349.00065347052077</v>
      </c>
      <c r="AA291" s="763">
        <f>C291+D291+I291+N291+S291+Y291+Z291</f>
        <v>617.4239398964495</v>
      </c>
      <c r="AB291" s="764">
        <v>0.25</v>
      </c>
      <c r="AC291" s="765">
        <f>AA291*(1+AB291)</f>
        <v>771.7799248705619</v>
      </c>
      <c r="AD291" s="814"/>
      <c r="AF291" s="804"/>
      <c r="AG291" s="802"/>
      <c r="AH291" s="805"/>
      <c r="AI291" s="808"/>
      <c r="AJ291" s="815"/>
      <c r="AK291" s="816"/>
      <c r="AL291" s="806"/>
      <c r="AM291" s="817"/>
      <c r="AN291" s="818"/>
      <c r="AO291" s="817"/>
      <c r="AP291" s="808"/>
      <c r="AQ291" s="808"/>
      <c r="AR291" s="808"/>
      <c r="AS291" s="808"/>
      <c r="AT291" s="808"/>
      <c r="AU291" s="817"/>
      <c r="AV291" s="817"/>
      <c r="AW291" s="819"/>
    </row>
    <row r="292" spans="1:49" s="803" customFormat="1" ht="12.75" customHeight="1" x14ac:dyDescent="0.25">
      <c r="A292" s="1115"/>
      <c r="B292" s="766" t="s">
        <v>830</v>
      </c>
      <c r="C292" s="799"/>
      <c r="D292" s="820"/>
      <c r="E292" s="767" t="s">
        <v>1437</v>
      </c>
      <c r="F292" s="768" t="s">
        <v>1438</v>
      </c>
      <c r="G292" s="769">
        <v>0.74</v>
      </c>
      <c r="H292" s="768">
        <v>0.01</v>
      </c>
      <c r="I292" s="770">
        <f t="shared" ref="I292:I297" si="26">G292*H292</f>
        <v>7.4000000000000003E-3</v>
      </c>
      <c r="J292" s="758" t="s">
        <v>1291</v>
      </c>
      <c r="K292" s="771">
        <v>2</v>
      </c>
      <c r="L292" s="772">
        <v>750</v>
      </c>
      <c r="M292" s="771">
        <v>2</v>
      </c>
      <c r="N292" s="760">
        <f>L292/'Исп. коэффициенты'!E31*(C296+C297)</f>
        <v>0.42545949625595636</v>
      </c>
      <c r="O292" s="759" t="s">
        <v>2200</v>
      </c>
      <c r="P292" s="759">
        <v>7250</v>
      </c>
      <c r="Q292" s="759">
        <v>19.670000000000002</v>
      </c>
      <c r="R292" s="759">
        <f>P292*Q292%</f>
        <v>1426.075</v>
      </c>
      <c r="S292" s="759">
        <f>R292/'Исп. коэффициенты'!E31*C296</f>
        <v>0.35954794140634844</v>
      </c>
      <c r="T292" s="755" t="s">
        <v>1435</v>
      </c>
      <c r="U292" s="756">
        <v>6785401.3499999996</v>
      </c>
      <c r="V292" s="785">
        <f>'Исп. коэффициенты'!E124</f>
        <v>2978.5</v>
      </c>
      <c r="W292" s="761">
        <f>'Исп. коэффициенты'!D124</f>
        <v>1.3599999999999999E-2</v>
      </c>
      <c r="X292" s="760">
        <f>U292*W292</f>
        <v>92281.45835999999</v>
      </c>
      <c r="Y292" s="759">
        <f>X292/'Исп. коэффициенты'!E31*C296</f>
        <v>23.266383874139621</v>
      </c>
      <c r="Z292" s="759"/>
      <c r="AA292" s="755"/>
      <c r="AB292" s="755"/>
      <c r="AC292" s="773"/>
      <c r="AD292" s="802"/>
      <c r="AF292" s="821"/>
      <c r="AG292" s="802"/>
      <c r="AH292" s="805"/>
      <c r="AI292" s="805"/>
      <c r="AJ292" s="822"/>
      <c r="AK292" s="805"/>
      <c r="AL292" s="806"/>
      <c r="AM292" s="805"/>
      <c r="AN292" s="805"/>
      <c r="AO292" s="807"/>
      <c r="AP292" s="805"/>
      <c r="AQ292" s="805"/>
      <c r="AR292" s="807"/>
      <c r="AS292" s="807"/>
      <c r="AT292" s="805"/>
      <c r="AU292" s="805"/>
      <c r="AV292" s="807"/>
      <c r="AW292" s="802"/>
    </row>
    <row r="293" spans="1:49" s="803" customFormat="1" x14ac:dyDescent="0.25">
      <c r="A293" s="1115"/>
      <c r="B293" s="774" t="s">
        <v>1178</v>
      </c>
      <c r="C293" s="823">
        <f>C283</f>
        <v>38.717865870069311</v>
      </c>
      <c r="D293" s="820"/>
      <c r="E293" s="767" t="s">
        <v>1439</v>
      </c>
      <c r="F293" s="768" t="s">
        <v>1438</v>
      </c>
      <c r="G293" s="769">
        <v>0.27</v>
      </c>
      <c r="H293" s="768">
        <v>0.01</v>
      </c>
      <c r="I293" s="775">
        <f t="shared" si="26"/>
        <v>2.7000000000000001E-3</v>
      </c>
      <c r="J293" s="758" t="s">
        <v>1445</v>
      </c>
      <c r="K293" s="760">
        <v>2</v>
      </c>
      <c r="L293" s="776">
        <v>95</v>
      </c>
      <c r="M293" s="771">
        <v>2</v>
      </c>
      <c r="N293" s="760">
        <f>L293/'Исп. коэффициенты'!E31*(C296+C297)</f>
        <v>5.3891536192421138E-2</v>
      </c>
      <c r="O293" s="759"/>
      <c r="P293" s="759"/>
      <c r="Q293" s="759"/>
      <c r="R293" s="759"/>
      <c r="S293" s="759"/>
      <c r="T293" s="759"/>
      <c r="U293" s="759"/>
      <c r="V293" s="759"/>
      <c r="W293" s="759"/>
      <c r="X293" s="759"/>
      <c r="Y293" s="759"/>
      <c r="Z293" s="759"/>
      <c r="AA293" s="755"/>
      <c r="AB293" s="755"/>
      <c r="AC293" s="773"/>
      <c r="AD293" s="802"/>
      <c r="AF293" s="821"/>
      <c r="AG293" s="802"/>
      <c r="AH293" s="805"/>
      <c r="AI293" s="805"/>
      <c r="AJ293" s="822"/>
      <c r="AK293" s="805"/>
      <c r="AL293" s="806"/>
      <c r="AM293" s="824"/>
      <c r="AN293" s="805"/>
      <c r="AO293" s="807"/>
      <c r="AP293" s="805"/>
      <c r="AQ293" s="805"/>
      <c r="AR293" s="807"/>
      <c r="AS293" s="807"/>
      <c r="AT293" s="805"/>
      <c r="AU293" s="805"/>
      <c r="AV293" s="807"/>
      <c r="AW293" s="802"/>
    </row>
    <row r="294" spans="1:49" s="803" customFormat="1" ht="12.75" customHeight="1" x14ac:dyDescent="0.25">
      <c r="A294" s="1115"/>
      <c r="B294" s="754" t="s">
        <v>1179</v>
      </c>
      <c r="C294" s="799">
        <f>C284</f>
        <v>22.420123808013045</v>
      </c>
      <c r="D294" s="820"/>
      <c r="E294" s="767" t="s">
        <v>1598</v>
      </c>
      <c r="F294" s="768" t="s">
        <v>1441</v>
      </c>
      <c r="G294" s="769">
        <v>4.4000000000000004</v>
      </c>
      <c r="H294" s="769">
        <v>1</v>
      </c>
      <c r="I294" s="770">
        <f t="shared" si="26"/>
        <v>4.4000000000000004</v>
      </c>
      <c r="J294" s="758" t="s">
        <v>1513</v>
      </c>
      <c r="K294" s="760">
        <v>2</v>
      </c>
      <c r="L294" s="760">
        <v>25</v>
      </c>
      <c r="M294" s="771">
        <v>0.5</v>
      </c>
      <c r="N294" s="760">
        <f>L294/'Исп. коэффициенты'!E31*(C296+C297)</f>
        <v>1.418198320853188E-2</v>
      </c>
      <c r="O294" s="759"/>
      <c r="P294" s="759"/>
      <c r="Q294" s="759"/>
      <c r="R294" s="759"/>
      <c r="S294" s="759"/>
      <c r="T294" s="759"/>
      <c r="U294" s="759"/>
      <c r="V294" s="759"/>
      <c r="W294" s="759"/>
      <c r="X294" s="759"/>
      <c r="Y294" s="759"/>
      <c r="Z294" s="759"/>
      <c r="AA294" s="755"/>
      <c r="AB294" s="755"/>
      <c r="AC294" s="773"/>
      <c r="AD294" s="802"/>
      <c r="AF294" s="821"/>
      <c r="AG294" s="802"/>
      <c r="AH294" s="805"/>
      <c r="AI294" s="805"/>
      <c r="AJ294" s="822"/>
      <c r="AK294" s="805"/>
      <c r="AL294" s="806"/>
      <c r="AM294" s="805"/>
      <c r="AN294" s="805"/>
      <c r="AO294" s="807"/>
      <c r="AP294" s="805"/>
      <c r="AQ294" s="805"/>
      <c r="AR294" s="807"/>
      <c r="AS294" s="807"/>
      <c r="AT294" s="805"/>
      <c r="AU294" s="805"/>
      <c r="AV294" s="807"/>
      <c r="AW294" s="802"/>
    </row>
    <row r="295" spans="1:49" s="803" customFormat="1" ht="12.75" customHeight="1" x14ac:dyDescent="0.25">
      <c r="A295" s="1115"/>
      <c r="B295" s="754" t="s">
        <v>831</v>
      </c>
      <c r="C295" s="825"/>
      <c r="D295" s="820"/>
      <c r="E295" s="767" t="s">
        <v>1599</v>
      </c>
      <c r="F295" s="768" t="s">
        <v>1441</v>
      </c>
      <c r="G295" s="769">
        <v>77.28</v>
      </c>
      <c r="H295" s="768">
        <v>1</v>
      </c>
      <c r="I295" s="770">
        <f t="shared" si="26"/>
        <v>77.28</v>
      </c>
      <c r="J295" s="758"/>
      <c r="K295" s="760"/>
      <c r="L295" s="760"/>
      <c r="M295" s="760"/>
      <c r="N295" s="760"/>
      <c r="O295" s="759"/>
      <c r="P295" s="759"/>
      <c r="Q295" s="759"/>
      <c r="R295" s="759"/>
      <c r="S295" s="759"/>
      <c r="T295" s="759"/>
      <c r="U295" s="759"/>
      <c r="V295" s="759"/>
      <c r="W295" s="759"/>
      <c r="X295" s="759"/>
      <c r="Y295" s="759"/>
      <c r="Z295" s="759"/>
      <c r="AA295" s="755"/>
      <c r="AB295" s="755"/>
      <c r="AC295" s="773"/>
      <c r="AD295" s="802"/>
      <c r="AF295" s="821"/>
      <c r="AG295" s="802"/>
      <c r="AH295" s="805"/>
      <c r="AI295" s="805"/>
      <c r="AJ295" s="822"/>
      <c r="AK295" s="805"/>
      <c r="AL295" s="806"/>
      <c r="AM295" s="805"/>
      <c r="AN295" s="805"/>
      <c r="AO295" s="807"/>
      <c r="AP295" s="805"/>
      <c r="AQ295" s="805"/>
      <c r="AR295" s="807"/>
      <c r="AS295" s="807"/>
      <c r="AT295" s="805"/>
      <c r="AU295" s="805"/>
      <c r="AV295" s="807"/>
      <c r="AW295" s="802"/>
    </row>
    <row r="296" spans="1:49" s="803" customFormat="1" ht="12.75" customHeight="1" x14ac:dyDescent="0.25">
      <c r="A296" s="1115"/>
      <c r="B296" s="774" t="s">
        <v>1178</v>
      </c>
      <c r="C296" s="826">
        <v>2</v>
      </c>
      <c r="D296" s="820"/>
      <c r="E296" s="767" t="s">
        <v>1442</v>
      </c>
      <c r="F296" s="768" t="s">
        <v>1443</v>
      </c>
      <c r="G296" s="769">
        <v>419.5</v>
      </c>
      <c r="H296" s="768">
        <v>1E-3</v>
      </c>
      <c r="I296" s="770">
        <f t="shared" si="26"/>
        <v>0.41949999999999998</v>
      </c>
      <c r="J296" s="758"/>
      <c r="K296" s="760"/>
      <c r="L296" s="760"/>
      <c r="M296" s="760"/>
      <c r="N296" s="760"/>
      <c r="O296" s="759"/>
      <c r="P296" s="759"/>
      <c r="Q296" s="759"/>
      <c r="R296" s="759"/>
      <c r="S296" s="759"/>
      <c r="T296" s="759"/>
      <c r="U296" s="759"/>
      <c r="V296" s="759"/>
      <c r="W296" s="759"/>
      <c r="X296" s="759"/>
      <c r="Y296" s="759"/>
      <c r="Z296" s="759"/>
      <c r="AA296" s="755"/>
      <c r="AB296" s="755"/>
      <c r="AC296" s="773"/>
      <c r="AD296" s="802"/>
      <c r="AF296" s="821"/>
      <c r="AG296" s="802"/>
      <c r="AH296" s="805"/>
      <c r="AI296" s="805"/>
      <c r="AJ296" s="827"/>
      <c r="AK296" s="805"/>
      <c r="AL296" s="806"/>
      <c r="AM296" s="805"/>
      <c r="AN296" s="805"/>
      <c r="AO296" s="807"/>
      <c r="AP296" s="805"/>
      <c r="AQ296" s="805"/>
      <c r="AR296" s="807"/>
      <c r="AS296" s="807"/>
      <c r="AT296" s="805"/>
      <c r="AU296" s="805"/>
      <c r="AV296" s="807"/>
      <c r="AW296" s="802"/>
    </row>
    <row r="297" spans="1:49" s="803" customFormat="1" ht="12.75" customHeight="1" x14ac:dyDescent="0.25">
      <c r="A297" s="1115"/>
      <c r="B297" s="754" t="s">
        <v>1179</v>
      </c>
      <c r="C297" s="826">
        <v>2.5</v>
      </c>
      <c r="D297" s="820"/>
      <c r="E297" s="767" t="s">
        <v>1444</v>
      </c>
      <c r="F297" s="768" t="s">
        <v>1443</v>
      </c>
      <c r="G297" s="769">
        <v>872</v>
      </c>
      <c r="H297" s="768">
        <v>2E-3</v>
      </c>
      <c r="I297" s="770">
        <f t="shared" si="26"/>
        <v>1.744</v>
      </c>
      <c r="J297" s="758"/>
      <c r="K297" s="760"/>
      <c r="L297" s="760"/>
      <c r="M297" s="760"/>
      <c r="N297" s="760"/>
      <c r="O297" s="759"/>
      <c r="P297" s="759"/>
      <c r="Q297" s="759"/>
      <c r="R297" s="759"/>
      <c r="S297" s="759"/>
      <c r="T297" s="759"/>
      <c r="U297" s="759"/>
      <c r="V297" s="759"/>
      <c r="W297" s="759"/>
      <c r="X297" s="759"/>
      <c r="Y297" s="759"/>
      <c r="Z297" s="759"/>
      <c r="AA297" s="755"/>
      <c r="AB297" s="755"/>
      <c r="AC297" s="773"/>
      <c r="AD297" s="802"/>
      <c r="AF297" s="821"/>
      <c r="AG297" s="802"/>
      <c r="AH297" s="805"/>
      <c r="AI297" s="805"/>
      <c r="AJ297" s="827"/>
      <c r="AK297" s="805"/>
      <c r="AL297" s="806"/>
      <c r="AM297" s="805"/>
      <c r="AN297" s="805"/>
      <c r="AO297" s="807"/>
      <c r="AP297" s="805"/>
      <c r="AQ297" s="805"/>
      <c r="AR297" s="807"/>
      <c r="AS297" s="807"/>
      <c r="AT297" s="805"/>
      <c r="AU297" s="805"/>
      <c r="AV297" s="807"/>
      <c r="AW297" s="802"/>
    </row>
    <row r="298" spans="1:49" s="803" customFormat="1" ht="12.75" customHeight="1" x14ac:dyDescent="0.25">
      <c r="A298" s="1115"/>
      <c r="B298" s="782" t="s">
        <v>1181</v>
      </c>
      <c r="C298" s="799">
        <f>C293*C296+C294*C297</f>
        <v>133.48604126017125</v>
      </c>
      <c r="D298" s="820"/>
      <c r="E298" s="780"/>
      <c r="F298" s="781"/>
      <c r="G298" s="769"/>
      <c r="H298" s="768"/>
      <c r="I298" s="770"/>
      <c r="J298" s="758"/>
      <c r="K298" s="828"/>
      <c r="L298" s="776"/>
      <c r="M298" s="771"/>
      <c r="N298" s="760"/>
      <c r="O298" s="759"/>
      <c r="P298" s="759"/>
      <c r="Q298" s="759"/>
      <c r="R298" s="759"/>
      <c r="S298" s="759"/>
      <c r="T298" s="759"/>
      <c r="U298" s="759"/>
      <c r="V298" s="759"/>
      <c r="W298" s="759"/>
      <c r="X298" s="759"/>
      <c r="Y298" s="759"/>
      <c r="Z298" s="759"/>
      <c r="AA298" s="755"/>
      <c r="AB298" s="755"/>
      <c r="AC298" s="773"/>
      <c r="AD298" s="802"/>
      <c r="AF298" s="821"/>
      <c r="AG298" s="802"/>
      <c r="AH298" s="805"/>
      <c r="AI298" s="805"/>
      <c r="AJ298" s="822"/>
      <c r="AK298" s="805"/>
      <c r="AL298" s="806"/>
      <c r="AM298" s="805"/>
      <c r="AN298" s="805"/>
      <c r="AO298" s="807"/>
      <c r="AP298" s="805"/>
      <c r="AQ298" s="805"/>
      <c r="AR298" s="807"/>
      <c r="AS298" s="807"/>
      <c r="AT298" s="805"/>
      <c r="AU298" s="805"/>
      <c r="AV298" s="807"/>
      <c r="AW298" s="802"/>
    </row>
    <row r="299" spans="1:49" s="803" customFormat="1" ht="13.5" customHeight="1" x14ac:dyDescent="0.25">
      <c r="A299" s="1116"/>
      <c r="B299" s="783"/>
      <c r="C299" s="826"/>
      <c r="D299" s="829"/>
      <c r="E299" s="780"/>
      <c r="F299" s="781"/>
      <c r="G299" s="769"/>
      <c r="H299" s="768"/>
      <c r="I299" s="770"/>
      <c r="J299" s="758"/>
      <c r="K299" s="828"/>
      <c r="L299" s="760"/>
      <c r="M299" s="771"/>
      <c r="N299" s="760"/>
      <c r="O299" s="759"/>
      <c r="P299" s="759"/>
      <c r="Q299" s="759"/>
      <c r="R299" s="759"/>
      <c r="S299" s="759"/>
      <c r="T299" s="759"/>
      <c r="U299" s="759"/>
      <c r="V299" s="759"/>
      <c r="W299" s="759"/>
      <c r="X299" s="759"/>
      <c r="Y299" s="759"/>
      <c r="Z299" s="759"/>
      <c r="AA299" s="755"/>
      <c r="AB299" s="755"/>
      <c r="AC299" s="773"/>
      <c r="AD299" s="802"/>
      <c r="AF299" s="821"/>
      <c r="AG299" s="802"/>
      <c r="AH299" s="805"/>
      <c r="AI299" s="805"/>
      <c r="AJ299" s="827"/>
      <c r="AK299" s="805"/>
      <c r="AL299" s="806"/>
      <c r="AM299" s="805"/>
      <c r="AN299" s="805"/>
      <c r="AO299" s="807"/>
      <c r="AP299" s="805"/>
      <c r="AQ299" s="805"/>
      <c r="AR299" s="807"/>
      <c r="AS299" s="807"/>
      <c r="AT299" s="805"/>
      <c r="AU299" s="805"/>
      <c r="AV299" s="807"/>
      <c r="AW299" s="802"/>
    </row>
    <row r="300" spans="1:49" s="3" customFormat="1" ht="56.25" hidden="1" customHeight="1" x14ac:dyDescent="0.25">
      <c r="A300" s="1012" t="s">
        <v>1628</v>
      </c>
      <c r="B300" s="258" t="s">
        <v>738</v>
      </c>
      <c r="C300" s="222"/>
      <c r="D300" s="219"/>
      <c r="E300" s="226" t="s">
        <v>488</v>
      </c>
      <c r="F300" s="53" t="s">
        <v>837</v>
      </c>
      <c r="G300" s="51" t="s">
        <v>489</v>
      </c>
      <c r="H300" s="52" t="s">
        <v>1170</v>
      </c>
      <c r="I300" s="53" t="s">
        <v>838</v>
      </c>
      <c r="J300" s="47" t="s">
        <v>1171</v>
      </c>
      <c r="K300" s="47" t="s">
        <v>490</v>
      </c>
      <c r="L300" s="54" t="s">
        <v>489</v>
      </c>
      <c r="M300" s="47" t="s">
        <v>1172</v>
      </c>
      <c r="N300" s="53" t="s">
        <v>838</v>
      </c>
      <c r="O300" s="47" t="s">
        <v>1171</v>
      </c>
      <c r="P300" s="47" t="s">
        <v>826</v>
      </c>
      <c r="Q300" s="47" t="s">
        <v>1173</v>
      </c>
      <c r="R300" s="47" t="s">
        <v>1174</v>
      </c>
      <c r="S300" s="47" t="s">
        <v>839</v>
      </c>
      <c r="T300" s="47" t="s">
        <v>1171</v>
      </c>
      <c r="U300" s="47" t="s">
        <v>1392</v>
      </c>
      <c r="V300" s="47" t="s">
        <v>841</v>
      </c>
      <c r="W300" s="231" t="s">
        <v>1173</v>
      </c>
      <c r="X300" s="47" t="s">
        <v>1394</v>
      </c>
      <c r="Y300" s="47" t="s">
        <v>839</v>
      </c>
      <c r="Z300" s="55"/>
      <c r="AA300" s="1"/>
      <c r="AB300" s="1"/>
      <c r="AC300" s="245"/>
      <c r="AD300" s="56"/>
      <c r="AF300" s="81"/>
      <c r="AG300" s="56"/>
      <c r="AH300" s="125"/>
      <c r="AI300" s="125"/>
      <c r="AJ300" s="125"/>
      <c r="AK300" s="125"/>
      <c r="AL300" s="127"/>
      <c r="AM300" s="125"/>
      <c r="AN300" s="125"/>
      <c r="AO300" s="128"/>
      <c r="AP300" s="125"/>
      <c r="AQ300" s="139"/>
      <c r="AR300" s="139"/>
      <c r="AS300" s="139"/>
      <c r="AT300" s="125"/>
      <c r="AU300" s="125"/>
      <c r="AV300" s="128"/>
      <c r="AW300" s="56"/>
    </row>
    <row r="301" spans="1:49" s="3" customFormat="1" ht="12" hidden="1" customHeight="1" x14ac:dyDescent="0.25">
      <c r="A301" s="1013"/>
      <c r="B301" s="36" t="s">
        <v>1175</v>
      </c>
      <c r="C301" s="222">
        <f>C308</f>
        <v>72.348051582088885</v>
      </c>
      <c r="D301" s="219">
        <f>C301*$D$5</f>
        <v>14.614306419581956</v>
      </c>
      <c r="E301" s="227" t="s">
        <v>1176</v>
      </c>
      <c r="F301" s="165"/>
      <c r="G301" s="58"/>
      <c r="H301" s="58"/>
      <c r="I301" s="2">
        <f>SUM(I302:I309)</f>
        <v>83.8536</v>
      </c>
      <c r="J301" s="59" t="s">
        <v>1176</v>
      </c>
      <c r="K301" s="169"/>
      <c r="L301" s="60"/>
      <c r="M301" s="60"/>
      <c r="N301" s="61">
        <f>SUM(N302:N309)</f>
        <v>8.4000000000000005E-2</v>
      </c>
      <c r="O301" s="60" t="s">
        <v>1176</v>
      </c>
      <c r="P301" s="60"/>
      <c r="Q301" s="62"/>
      <c r="R301" s="63"/>
      <c r="S301" s="61">
        <f>SUM(S302:S309)</f>
        <v>9.7215000000000007</v>
      </c>
      <c r="T301" s="61"/>
      <c r="U301" s="61"/>
      <c r="V301" s="61"/>
      <c r="W301" s="61"/>
      <c r="X301" s="61"/>
      <c r="Y301" s="61">
        <f>SUM(Y302:Y309)</f>
        <v>9.1999999999999998E-3</v>
      </c>
      <c r="Z301" s="64">
        <f>(C301+D301+I301+N301+S301+Y301)*$Z$5</f>
        <v>234.85375847519541</v>
      </c>
      <c r="AA301" s="65">
        <f>C301+D301+I301+N301+S301+Y301+Z301</f>
        <v>415.48441647686622</v>
      </c>
      <c r="AB301" s="66">
        <v>0.25</v>
      </c>
      <c r="AC301" s="244">
        <f>AA301*(1+AB301)</f>
        <v>519.35552059608278</v>
      </c>
      <c r="AD301" s="67"/>
      <c r="AF301" s="81"/>
      <c r="AG301" s="56"/>
      <c r="AH301" s="125"/>
      <c r="AI301" s="139"/>
      <c r="AJ301" s="140"/>
      <c r="AK301" s="141"/>
      <c r="AL301" s="127"/>
      <c r="AM301" s="142"/>
      <c r="AN301" s="143"/>
      <c r="AO301" s="142"/>
      <c r="AP301" s="139"/>
      <c r="AQ301" s="139"/>
      <c r="AR301" s="139"/>
      <c r="AS301" s="139"/>
      <c r="AT301" s="139"/>
      <c r="AU301" s="142"/>
      <c r="AV301" s="142"/>
      <c r="AW301" s="144"/>
    </row>
    <row r="302" spans="1:49" s="3" customFormat="1" ht="12.75" hidden="1" customHeight="1" x14ac:dyDescent="0.25">
      <c r="A302" s="1013"/>
      <c r="B302" s="50" t="s">
        <v>830</v>
      </c>
      <c r="C302" s="222"/>
      <c r="D302" s="220"/>
      <c r="E302" s="68" t="s">
        <v>1437</v>
      </c>
      <c r="F302" s="69" t="s">
        <v>1438</v>
      </c>
      <c r="G302" s="70">
        <v>0.74</v>
      </c>
      <c r="H302" s="69">
        <v>0.01</v>
      </c>
      <c r="I302" s="71">
        <f t="shared" ref="I302:I307" si="27">G302*H302</f>
        <v>7.4000000000000003E-3</v>
      </c>
      <c r="J302" s="59" t="s">
        <v>1291</v>
      </c>
      <c r="K302" s="61">
        <v>2</v>
      </c>
      <c r="L302" s="61">
        <v>640</v>
      </c>
      <c r="M302" s="61">
        <v>2</v>
      </c>
      <c r="N302" s="61">
        <v>0.05</v>
      </c>
      <c r="O302" s="60" t="s">
        <v>1239</v>
      </c>
      <c r="P302" s="60">
        <v>61189.5</v>
      </c>
      <c r="Q302" s="60">
        <v>19.670000000000002</v>
      </c>
      <c r="R302" s="60">
        <v>6513.87</v>
      </c>
      <c r="S302" s="60">
        <v>9.7215000000000007</v>
      </c>
      <c r="T302" s="239" t="s">
        <v>1435</v>
      </c>
      <c r="U302" s="240">
        <v>6785401.3499999996</v>
      </c>
      <c r="V302" s="241">
        <v>1.32E-2</v>
      </c>
      <c r="W302" s="239">
        <v>1508.3</v>
      </c>
      <c r="X302" s="61">
        <v>59.38</v>
      </c>
      <c r="Y302" s="60">
        <v>9.1999999999999998E-3</v>
      </c>
      <c r="Z302" s="60"/>
      <c r="AA302" s="1"/>
      <c r="AB302" s="1"/>
      <c r="AC302" s="245"/>
      <c r="AD302" s="56"/>
      <c r="AF302" s="151"/>
      <c r="AG302" s="56"/>
      <c r="AH302" s="125"/>
      <c r="AI302" s="125"/>
      <c r="AJ302" s="136"/>
      <c r="AK302" s="125"/>
      <c r="AL302" s="127"/>
      <c r="AM302" s="125"/>
      <c r="AN302" s="125"/>
      <c r="AO302" s="128"/>
      <c r="AP302" s="125"/>
      <c r="AQ302" s="125"/>
      <c r="AR302" s="128"/>
      <c r="AS302" s="128"/>
      <c r="AT302" s="125"/>
      <c r="AU302" s="125"/>
      <c r="AV302" s="128"/>
      <c r="AW302" s="56"/>
    </row>
    <row r="303" spans="1:49" s="3" customFormat="1" hidden="1" x14ac:dyDescent="0.25">
      <c r="A303" s="1013"/>
      <c r="B303" s="74" t="s">
        <v>1178</v>
      </c>
      <c r="C303" s="223">
        <f>C293</f>
        <v>38.717865870069311</v>
      </c>
      <c r="D303" s="220"/>
      <c r="E303" s="68" t="s">
        <v>1439</v>
      </c>
      <c r="F303" s="69" t="s">
        <v>1438</v>
      </c>
      <c r="G303" s="70">
        <v>0.27</v>
      </c>
      <c r="H303" s="69">
        <v>0.01</v>
      </c>
      <c r="I303" s="242">
        <f t="shared" si="27"/>
        <v>2.7000000000000001E-3</v>
      </c>
      <c r="J303" s="59" t="s">
        <v>1445</v>
      </c>
      <c r="K303" s="61">
        <v>2</v>
      </c>
      <c r="L303" s="61">
        <v>84</v>
      </c>
      <c r="M303" s="61">
        <v>2</v>
      </c>
      <c r="N303" s="61">
        <v>8.9999999999999993E-3</v>
      </c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1"/>
      <c r="AB303" s="1"/>
      <c r="AC303" s="245"/>
      <c r="AD303" s="56"/>
      <c r="AF303" s="151"/>
      <c r="AG303" s="56"/>
      <c r="AH303" s="125"/>
      <c r="AI303" s="125"/>
      <c r="AJ303" s="136"/>
      <c r="AK303" s="125"/>
      <c r="AL303" s="127"/>
      <c r="AM303" s="145"/>
      <c r="AN303" s="125"/>
      <c r="AO303" s="128"/>
      <c r="AP303" s="125"/>
      <c r="AQ303" s="125"/>
      <c r="AR303" s="128"/>
      <c r="AS303" s="128"/>
      <c r="AT303" s="125"/>
      <c r="AU303" s="125"/>
      <c r="AV303" s="128"/>
      <c r="AW303" s="56"/>
    </row>
    <row r="304" spans="1:49" s="3" customFormat="1" ht="12.75" hidden="1" customHeight="1" x14ac:dyDescent="0.25">
      <c r="A304" s="1013"/>
      <c r="B304" s="57" t="s">
        <v>1179</v>
      </c>
      <c r="C304" s="222">
        <f>C294</f>
        <v>22.420123808013045</v>
      </c>
      <c r="D304" s="220"/>
      <c r="E304" s="68" t="s">
        <v>1598</v>
      </c>
      <c r="F304" s="69" t="s">
        <v>1441</v>
      </c>
      <c r="G304" s="70">
        <v>4.4000000000000004</v>
      </c>
      <c r="H304" s="70">
        <v>1</v>
      </c>
      <c r="I304" s="71">
        <f t="shared" si="27"/>
        <v>4.4000000000000004</v>
      </c>
      <c r="J304" s="59" t="s">
        <v>1513</v>
      </c>
      <c r="K304" s="61">
        <v>2</v>
      </c>
      <c r="L304" s="61">
        <v>25</v>
      </c>
      <c r="M304" s="61">
        <v>0.5</v>
      </c>
      <c r="N304" s="61">
        <v>2.5000000000000001E-2</v>
      </c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1"/>
      <c r="AB304" s="1"/>
      <c r="AC304" s="245"/>
      <c r="AD304" s="56"/>
      <c r="AF304" s="151"/>
      <c r="AG304" s="56"/>
      <c r="AH304" s="125"/>
      <c r="AI304" s="125"/>
      <c r="AJ304" s="136"/>
      <c r="AK304" s="125"/>
      <c r="AL304" s="127"/>
      <c r="AM304" s="125"/>
      <c r="AN304" s="125"/>
      <c r="AO304" s="128"/>
      <c r="AP304" s="125"/>
      <c r="AQ304" s="125"/>
      <c r="AR304" s="128"/>
      <c r="AS304" s="128"/>
      <c r="AT304" s="125"/>
      <c r="AU304" s="125"/>
      <c r="AV304" s="128"/>
      <c r="AW304" s="56"/>
    </row>
    <row r="305" spans="1:49" s="3" customFormat="1" ht="12.75" hidden="1" customHeight="1" x14ac:dyDescent="0.25">
      <c r="A305" s="1013"/>
      <c r="B305" s="57" t="s">
        <v>831</v>
      </c>
      <c r="C305" s="224"/>
      <c r="D305" s="220"/>
      <c r="E305" s="68" t="s">
        <v>1599</v>
      </c>
      <c r="F305" s="69" t="s">
        <v>1441</v>
      </c>
      <c r="G305" s="70">
        <v>77.28</v>
      </c>
      <c r="H305" s="69">
        <v>1</v>
      </c>
      <c r="I305" s="71">
        <f t="shared" si="27"/>
        <v>77.28</v>
      </c>
      <c r="J305" s="59"/>
      <c r="K305" s="61"/>
      <c r="L305" s="61"/>
      <c r="M305" s="61"/>
      <c r="N305" s="61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1"/>
      <c r="AB305" s="1"/>
      <c r="AC305" s="245"/>
      <c r="AD305" s="56"/>
      <c r="AF305" s="151"/>
      <c r="AG305" s="56"/>
      <c r="AH305" s="125"/>
      <c r="AI305" s="125"/>
      <c r="AJ305" s="136"/>
      <c r="AK305" s="125"/>
      <c r="AL305" s="127"/>
      <c r="AM305" s="125"/>
      <c r="AN305" s="125"/>
      <c r="AO305" s="128"/>
      <c r="AP305" s="125"/>
      <c r="AQ305" s="125"/>
      <c r="AR305" s="128"/>
      <c r="AS305" s="128"/>
      <c r="AT305" s="125"/>
      <c r="AU305" s="125"/>
      <c r="AV305" s="128"/>
      <c r="AW305" s="56"/>
    </row>
    <row r="306" spans="1:49" s="3" customFormat="1" ht="12.75" hidden="1" customHeight="1" x14ac:dyDescent="0.25">
      <c r="A306" s="1013"/>
      <c r="B306" s="74" t="s">
        <v>1178</v>
      </c>
      <c r="C306" s="225">
        <v>1</v>
      </c>
      <c r="D306" s="220"/>
      <c r="E306" s="68" t="s">
        <v>1442</v>
      </c>
      <c r="F306" s="69" t="s">
        <v>1443</v>
      </c>
      <c r="G306" s="70">
        <v>419.5</v>
      </c>
      <c r="H306" s="69">
        <v>1E-3</v>
      </c>
      <c r="I306" s="71">
        <f t="shared" si="27"/>
        <v>0.41949999999999998</v>
      </c>
      <c r="J306" s="59"/>
      <c r="K306" s="61"/>
      <c r="L306" s="61"/>
      <c r="M306" s="61"/>
      <c r="N306" s="61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1"/>
      <c r="AB306" s="1"/>
      <c r="AC306" s="245"/>
      <c r="AD306" s="56"/>
      <c r="AF306" s="151"/>
      <c r="AG306" s="56"/>
      <c r="AH306" s="125"/>
      <c r="AI306" s="125"/>
      <c r="AJ306" s="146"/>
      <c r="AK306" s="125"/>
      <c r="AL306" s="127"/>
      <c r="AM306" s="125"/>
      <c r="AN306" s="125"/>
      <c r="AO306" s="128"/>
      <c r="AP306" s="125"/>
      <c r="AQ306" s="125"/>
      <c r="AR306" s="128"/>
      <c r="AS306" s="128"/>
      <c r="AT306" s="125"/>
      <c r="AU306" s="125"/>
      <c r="AV306" s="128"/>
      <c r="AW306" s="56"/>
    </row>
    <row r="307" spans="1:49" s="3" customFormat="1" ht="12.75" hidden="1" customHeight="1" x14ac:dyDescent="0.25">
      <c r="A307" s="1013"/>
      <c r="B307" s="57" t="s">
        <v>1179</v>
      </c>
      <c r="C307" s="225">
        <v>1.5</v>
      </c>
      <c r="D307" s="220"/>
      <c r="E307" s="68" t="s">
        <v>1444</v>
      </c>
      <c r="F307" s="69" t="s">
        <v>1443</v>
      </c>
      <c r="G307" s="70">
        <v>872</v>
      </c>
      <c r="H307" s="69">
        <v>2E-3</v>
      </c>
      <c r="I307" s="71">
        <f t="shared" si="27"/>
        <v>1.744</v>
      </c>
      <c r="J307" s="59"/>
      <c r="K307" s="61"/>
      <c r="L307" s="61"/>
      <c r="M307" s="61"/>
      <c r="N307" s="61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1"/>
      <c r="AB307" s="1"/>
      <c r="AC307" s="245"/>
      <c r="AD307" s="56"/>
      <c r="AF307" s="151"/>
      <c r="AG307" s="56"/>
      <c r="AH307" s="125"/>
      <c r="AI307" s="125"/>
      <c r="AJ307" s="146"/>
      <c r="AK307" s="125"/>
      <c r="AL307" s="127"/>
      <c r="AM307" s="125"/>
      <c r="AN307" s="125"/>
      <c r="AO307" s="128"/>
      <c r="AP307" s="125"/>
      <c r="AQ307" s="125"/>
      <c r="AR307" s="128"/>
      <c r="AS307" s="128"/>
      <c r="AT307" s="125"/>
      <c r="AU307" s="125"/>
      <c r="AV307" s="128"/>
      <c r="AW307" s="56"/>
    </row>
    <row r="308" spans="1:49" s="3" customFormat="1" ht="12.75" hidden="1" customHeight="1" x14ac:dyDescent="0.25">
      <c r="A308" s="1013"/>
      <c r="B308" s="79" t="s">
        <v>1181</v>
      </c>
      <c r="C308" s="222">
        <f>C303*C306+C304*C307</f>
        <v>72.348051582088885</v>
      </c>
      <c r="D308" s="220"/>
      <c r="E308" s="228"/>
      <c r="F308" s="166"/>
      <c r="G308" s="70"/>
      <c r="H308" s="69"/>
      <c r="I308" s="71"/>
      <c r="J308" s="59"/>
      <c r="K308" s="170"/>
      <c r="L308" s="76"/>
      <c r="M308" s="72"/>
      <c r="N308" s="61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1"/>
      <c r="AB308" s="1"/>
      <c r="AC308" s="245"/>
      <c r="AD308" s="56"/>
      <c r="AF308" s="151"/>
      <c r="AG308" s="56"/>
      <c r="AH308" s="125"/>
      <c r="AI308" s="125"/>
      <c r="AJ308" s="136"/>
      <c r="AK308" s="125"/>
      <c r="AL308" s="127"/>
      <c r="AM308" s="125"/>
      <c r="AN308" s="125"/>
      <c r="AO308" s="128"/>
      <c r="AP308" s="125"/>
      <c r="AQ308" s="125"/>
      <c r="AR308" s="128"/>
      <c r="AS308" s="128"/>
      <c r="AT308" s="125"/>
      <c r="AU308" s="125"/>
      <c r="AV308" s="128"/>
      <c r="AW308" s="56"/>
    </row>
    <row r="309" spans="1:49" s="3" customFormat="1" ht="13.5" hidden="1" customHeight="1" x14ac:dyDescent="0.25">
      <c r="A309" s="1014"/>
      <c r="B309" s="123"/>
      <c r="C309" s="225"/>
      <c r="D309" s="221"/>
      <c r="E309" s="228"/>
      <c r="F309" s="166"/>
      <c r="G309" s="70"/>
      <c r="H309" s="69"/>
      <c r="I309" s="71"/>
      <c r="J309" s="59"/>
      <c r="K309" s="170"/>
      <c r="L309" s="61"/>
      <c r="M309" s="72"/>
      <c r="N309" s="61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1"/>
      <c r="AB309" s="1"/>
      <c r="AC309" s="245"/>
      <c r="AD309" s="56"/>
      <c r="AF309" s="151"/>
      <c r="AG309" s="56"/>
      <c r="AH309" s="125"/>
      <c r="AI309" s="125"/>
      <c r="AJ309" s="146"/>
      <c r="AK309" s="125"/>
      <c r="AL309" s="127"/>
      <c r="AM309" s="125"/>
      <c r="AN309" s="125"/>
      <c r="AO309" s="128"/>
      <c r="AP309" s="125"/>
      <c r="AQ309" s="125"/>
      <c r="AR309" s="128"/>
      <c r="AS309" s="128"/>
      <c r="AT309" s="125"/>
      <c r="AU309" s="125"/>
      <c r="AV309" s="128"/>
      <c r="AW309" s="56"/>
    </row>
    <row r="310" spans="1:49" s="803" customFormat="1" ht="56.25" customHeight="1" x14ac:dyDescent="0.25">
      <c r="A310" s="1114" t="s">
        <v>1629</v>
      </c>
      <c r="B310" s="778" t="s">
        <v>739</v>
      </c>
      <c r="C310" s="799"/>
      <c r="D310" s="800"/>
      <c r="E310" s="801" t="s">
        <v>488</v>
      </c>
      <c r="F310" s="792" t="s">
        <v>837</v>
      </c>
      <c r="G310" s="778" t="s">
        <v>489</v>
      </c>
      <c r="H310" s="791" t="s">
        <v>1170</v>
      </c>
      <c r="I310" s="792" t="s">
        <v>838</v>
      </c>
      <c r="J310" s="793" t="s">
        <v>1171</v>
      </c>
      <c r="K310" s="793" t="s">
        <v>490</v>
      </c>
      <c r="L310" s="794" t="s">
        <v>489</v>
      </c>
      <c r="M310" s="793" t="s">
        <v>1172</v>
      </c>
      <c r="N310" s="792" t="s">
        <v>838</v>
      </c>
      <c r="O310" s="793" t="s">
        <v>1171</v>
      </c>
      <c r="P310" s="793" t="s">
        <v>826</v>
      </c>
      <c r="Q310" s="793" t="s">
        <v>1173</v>
      </c>
      <c r="R310" s="793" t="s">
        <v>1174</v>
      </c>
      <c r="S310" s="793" t="s">
        <v>839</v>
      </c>
      <c r="T310" s="793" t="s">
        <v>1171</v>
      </c>
      <c r="U310" s="793" t="s">
        <v>1392</v>
      </c>
      <c r="V310" s="793" t="s">
        <v>841</v>
      </c>
      <c r="W310" s="795" t="s">
        <v>1173</v>
      </c>
      <c r="X310" s="793" t="s">
        <v>1394</v>
      </c>
      <c r="Y310" s="793" t="s">
        <v>839</v>
      </c>
      <c r="Z310" s="796"/>
      <c r="AA310" s="755"/>
      <c r="AB310" s="755"/>
      <c r="AC310" s="773"/>
      <c r="AD310" s="802"/>
      <c r="AF310" s="804"/>
      <c r="AG310" s="802"/>
      <c r="AH310" s="805"/>
      <c r="AI310" s="805"/>
      <c r="AJ310" s="805"/>
      <c r="AK310" s="805"/>
      <c r="AL310" s="806"/>
      <c r="AM310" s="805"/>
      <c r="AN310" s="805"/>
      <c r="AO310" s="807"/>
      <c r="AP310" s="805"/>
      <c r="AQ310" s="808"/>
      <c r="AR310" s="808"/>
      <c r="AS310" s="808"/>
      <c r="AT310" s="805"/>
      <c r="AU310" s="805"/>
      <c r="AV310" s="807"/>
      <c r="AW310" s="802"/>
    </row>
    <row r="311" spans="1:49" s="803" customFormat="1" ht="12" customHeight="1" x14ac:dyDescent="0.25">
      <c r="A311" s="1115"/>
      <c r="B311" s="752" t="s">
        <v>1175</v>
      </c>
      <c r="C311" s="799">
        <f>C318</f>
        <v>72.348051582088885</v>
      </c>
      <c r="D311" s="800">
        <f>C311*$D$5</f>
        <v>14.614306419581956</v>
      </c>
      <c r="E311" s="809" t="s">
        <v>1176</v>
      </c>
      <c r="F311" s="810"/>
      <c r="G311" s="756"/>
      <c r="H311" s="756"/>
      <c r="I311" s="757">
        <f>SUM(I312:I319)</f>
        <v>83.8536</v>
      </c>
      <c r="J311" s="758" t="s">
        <v>1176</v>
      </c>
      <c r="K311" s="811"/>
      <c r="L311" s="759"/>
      <c r="M311" s="759"/>
      <c r="N311" s="760">
        <f>SUM(N312:N319)</f>
        <v>0.27418500869828294</v>
      </c>
      <c r="O311" s="759" t="s">
        <v>1176</v>
      </c>
      <c r="P311" s="759"/>
      <c r="Q311" s="812"/>
      <c r="R311" s="813"/>
      <c r="S311" s="760">
        <f>SUM(S312:S319)</f>
        <v>0.17977397070317422</v>
      </c>
      <c r="T311" s="760"/>
      <c r="U311" s="760"/>
      <c r="V311" s="760"/>
      <c r="W311" s="760"/>
      <c r="X311" s="760"/>
      <c r="Y311" s="760">
        <f>SUM(Y312:Y319)</f>
        <v>11.63319193706981</v>
      </c>
      <c r="Z311" s="762">
        <f>(C311+D311+I311+N311+S311+Y311)*$Z$5</f>
        <v>237.80837118927158</v>
      </c>
      <c r="AA311" s="763">
        <f>C311+D311+I311+N311+S311+Y311+Z311</f>
        <v>420.71148010741365</v>
      </c>
      <c r="AB311" s="764">
        <v>0.25</v>
      </c>
      <c r="AC311" s="765">
        <f>AA311*(1+AB311)</f>
        <v>525.88935013426703</v>
      </c>
      <c r="AD311" s="814"/>
      <c r="AF311" s="804"/>
      <c r="AG311" s="802"/>
      <c r="AH311" s="805"/>
      <c r="AI311" s="808"/>
      <c r="AJ311" s="815"/>
      <c r="AK311" s="816"/>
      <c r="AL311" s="806"/>
      <c r="AM311" s="817"/>
      <c r="AN311" s="818"/>
      <c r="AO311" s="817"/>
      <c r="AP311" s="808"/>
      <c r="AQ311" s="808"/>
      <c r="AR311" s="808"/>
      <c r="AS311" s="808"/>
      <c r="AT311" s="808"/>
      <c r="AU311" s="817"/>
      <c r="AV311" s="817"/>
      <c r="AW311" s="819"/>
    </row>
    <row r="312" spans="1:49" s="803" customFormat="1" ht="12.75" customHeight="1" x14ac:dyDescent="0.25">
      <c r="A312" s="1115"/>
      <c r="B312" s="766" t="s">
        <v>830</v>
      </c>
      <c r="C312" s="799"/>
      <c r="D312" s="820"/>
      <c r="E312" s="767" t="s">
        <v>1437</v>
      </c>
      <c r="F312" s="768" t="s">
        <v>1438</v>
      </c>
      <c r="G312" s="769">
        <v>0.74</v>
      </c>
      <c r="H312" s="768">
        <v>0.01</v>
      </c>
      <c r="I312" s="770">
        <f t="shared" ref="I312:I317" si="28">G312*H312</f>
        <v>7.4000000000000003E-3</v>
      </c>
      <c r="J312" s="758" t="s">
        <v>1291</v>
      </c>
      <c r="K312" s="771">
        <v>2</v>
      </c>
      <c r="L312" s="772">
        <v>750</v>
      </c>
      <c r="M312" s="771">
        <v>2</v>
      </c>
      <c r="N312" s="760">
        <f>L312/'Исп. коэффициенты'!E31*(C316+C317)</f>
        <v>0.23636638680886463</v>
      </c>
      <c r="O312" s="759" t="s">
        <v>2200</v>
      </c>
      <c r="P312" s="759">
        <v>7250</v>
      </c>
      <c r="Q312" s="759">
        <v>19.670000000000002</v>
      </c>
      <c r="R312" s="759">
        <f>P312*Q312%</f>
        <v>1426.075</v>
      </c>
      <c r="S312" s="759">
        <f>R312/'Исп. коэффициенты'!E31*C316</f>
        <v>0.17977397070317422</v>
      </c>
      <c r="T312" s="755" t="s">
        <v>1435</v>
      </c>
      <c r="U312" s="756">
        <v>6785401.3499999996</v>
      </c>
      <c r="V312" s="785">
        <f>'Исп. коэффициенты'!E124</f>
        <v>2978.5</v>
      </c>
      <c r="W312" s="761">
        <f>'Исп. коэффициенты'!D124</f>
        <v>1.3599999999999999E-2</v>
      </c>
      <c r="X312" s="760">
        <f>U312*W312</f>
        <v>92281.45835999999</v>
      </c>
      <c r="Y312" s="759">
        <f>X312/'Исп. коэффициенты'!E31*C316</f>
        <v>11.63319193706981</v>
      </c>
      <c r="Z312" s="759"/>
      <c r="AA312" s="755"/>
      <c r="AB312" s="755"/>
      <c r="AC312" s="773"/>
      <c r="AD312" s="802"/>
      <c r="AF312" s="821"/>
      <c r="AG312" s="802"/>
      <c r="AH312" s="805"/>
      <c r="AI312" s="805"/>
      <c r="AJ312" s="822"/>
      <c r="AK312" s="805"/>
      <c r="AL312" s="806"/>
      <c r="AM312" s="805"/>
      <c r="AN312" s="805"/>
      <c r="AO312" s="807"/>
      <c r="AP312" s="805"/>
      <c r="AQ312" s="805"/>
      <c r="AR312" s="807"/>
      <c r="AS312" s="807"/>
      <c r="AT312" s="805"/>
      <c r="AU312" s="805"/>
      <c r="AV312" s="807"/>
      <c r="AW312" s="802"/>
    </row>
    <row r="313" spans="1:49" s="803" customFormat="1" x14ac:dyDescent="0.25">
      <c r="A313" s="1115"/>
      <c r="B313" s="774" t="s">
        <v>1178</v>
      </c>
      <c r="C313" s="823">
        <f>C303</f>
        <v>38.717865870069311</v>
      </c>
      <c r="D313" s="820"/>
      <c r="E313" s="767" t="s">
        <v>1439</v>
      </c>
      <c r="F313" s="768" t="s">
        <v>1438</v>
      </c>
      <c r="G313" s="769">
        <v>0.27</v>
      </c>
      <c r="H313" s="768">
        <v>0.01</v>
      </c>
      <c r="I313" s="775">
        <f t="shared" si="28"/>
        <v>2.7000000000000001E-3</v>
      </c>
      <c r="J313" s="758" t="s">
        <v>1445</v>
      </c>
      <c r="K313" s="760">
        <v>2</v>
      </c>
      <c r="L313" s="776">
        <v>95</v>
      </c>
      <c r="M313" s="771">
        <v>2</v>
      </c>
      <c r="N313" s="760">
        <f>L313/'Исп. коэффициенты'!E31*(C316+C317)</f>
        <v>2.9939742329122852E-2</v>
      </c>
      <c r="O313" s="759"/>
      <c r="P313" s="759"/>
      <c r="Q313" s="759"/>
      <c r="R313" s="759"/>
      <c r="S313" s="759"/>
      <c r="T313" s="759"/>
      <c r="U313" s="759"/>
      <c r="V313" s="759"/>
      <c r="W313" s="759"/>
      <c r="X313" s="759"/>
      <c r="Y313" s="759"/>
      <c r="Z313" s="759"/>
      <c r="AA313" s="755"/>
      <c r="AB313" s="755"/>
      <c r="AC313" s="773"/>
      <c r="AD313" s="802"/>
      <c r="AF313" s="821"/>
      <c r="AG313" s="802"/>
      <c r="AH313" s="805"/>
      <c r="AI313" s="805"/>
      <c r="AJ313" s="822"/>
      <c r="AK313" s="805"/>
      <c r="AL313" s="806"/>
      <c r="AM313" s="824"/>
      <c r="AN313" s="805"/>
      <c r="AO313" s="807"/>
      <c r="AP313" s="805"/>
      <c r="AQ313" s="805"/>
      <c r="AR313" s="807"/>
      <c r="AS313" s="807"/>
      <c r="AT313" s="805"/>
      <c r="AU313" s="805"/>
      <c r="AV313" s="807"/>
      <c r="AW313" s="802"/>
    </row>
    <row r="314" spans="1:49" s="803" customFormat="1" ht="12.75" customHeight="1" x14ac:dyDescent="0.25">
      <c r="A314" s="1115"/>
      <c r="B314" s="754" t="s">
        <v>1179</v>
      </c>
      <c r="C314" s="799">
        <f>C304</f>
        <v>22.420123808013045</v>
      </c>
      <c r="D314" s="820"/>
      <c r="E314" s="767" t="s">
        <v>1598</v>
      </c>
      <c r="F314" s="768" t="s">
        <v>1441</v>
      </c>
      <c r="G314" s="769">
        <v>4.4000000000000004</v>
      </c>
      <c r="H314" s="769">
        <v>1</v>
      </c>
      <c r="I314" s="770">
        <f t="shared" si="28"/>
        <v>4.4000000000000004</v>
      </c>
      <c r="J314" s="758" t="s">
        <v>1513</v>
      </c>
      <c r="K314" s="760">
        <v>2</v>
      </c>
      <c r="L314" s="760">
        <v>25</v>
      </c>
      <c r="M314" s="771">
        <v>0.5</v>
      </c>
      <c r="N314" s="760">
        <f>L314/'Исп. коэффициенты'!E31*(C316+C317)</f>
        <v>7.8788795602954889E-3</v>
      </c>
      <c r="O314" s="759"/>
      <c r="P314" s="759"/>
      <c r="Q314" s="759"/>
      <c r="R314" s="759"/>
      <c r="S314" s="759"/>
      <c r="T314" s="759"/>
      <c r="U314" s="759"/>
      <c r="V314" s="759"/>
      <c r="W314" s="759"/>
      <c r="X314" s="759"/>
      <c r="Y314" s="759"/>
      <c r="Z314" s="759"/>
      <c r="AA314" s="755"/>
      <c r="AB314" s="755"/>
      <c r="AC314" s="773"/>
      <c r="AD314" s="802"/>
      <c r="AF314" s="821"/>
      <c r="AG314" s="802"/>
      <c r="AH314" s="805"/>
      <c r="AI314" s="805"/>
      <c r="AJ314" s="822"/>
      <c r="AK314" s="805"/>
      <c r="AL314" s="806"/>
      <c r="AM314" s="805"/>
      <c r="AN314" s="805"/>
      <c r="AO314" s="807"/>
      <c r="AP314" s="805"/>
      <c r="AQ314" s="805"/>
      <c r="AR314" s="807"/>
      <c r="AS314" s="807"/>
      <c r="AT314" s="805"/>
      <c r="AU314" s="805"/>
      <c r="AV314" s="807"/>
      <c r="AW314" s="802"/>
    </row>
    <row r="315" spans="1:49" s="803" customFormat="1" ht="12.75" customHeight="1" x14ac:dyDescent="0.25">
      <c r="A315" s="1115"/>
      <c r="B315" s="754" t="s">
        <v>831</v>
      </c>
      <c r="C315" s="825"/>
      <c r="D315" s="820"/>
      <c r="E315" s="767" t="s">
        <v>1599</v>
      </c>
      <c r="F315" s="768" t="s">
        <v>1441</v>
      </c>
      <c r="G315" s="769">
        <v>77.28</v>
      </c>
      <c r="H315" s="768">
        <v>1</v>
      </c>
      <c r="I315" s="770">
        <f t="shared" si="28"/>
        <v>77.28</v>
      </c>
      <c r="J315" s="758"/>
      <c r="K315" s="760"/>
      <c r="L315" s="760"/>
      <c r="M315" s="760"/>
      <c r="N315" s="760"/>
      <c r="O315" s="759"/>
      <c r="P315" s="759"/>
      <c r="Q315" s="759"/>
      <c r="R315" s="759"/>
      <c r="S315" s="759"/>
      <c r="T315" s="759"/>
      <c r="U315" s="759"/>
      <c r="V315" s="759"/>
      <c r="W315" s="759"/>
      <c r="X315" s="759"/>
      <c r="Y315" s="759"/>
      <c r="Z315" s="759"/>
      <c r="AA315" s="755"/>
      <c r="AB315" s="755"/>
      <c r="AC315" s="773"/>
      <c r="AD315" s="802"/>
      <c r="AF315" s="821"/>
      <c r="AG315" s="802"/>
      <c r="AH315" s="805"/>
      <c r="AI315" s="805"/>
      <c r="AJ315" s="822"/>
      <c r="AK315" s="805"/>
      <c r="AL315" s="806"/>
      <c r="AM315" s="805"/>
      <c r="AN315" s="805"/>
      <c r="AO315" s="807"/>
      <c r="AP315" s="805"/>
      <c r="AQ315" s="805"/>
      <c r="AR315" s="807"/>
      <c r="AS315" s="807"/>
      <c r="AT315" s="805"/>
      <c r="AU315" s="805"/>
      <c r="AV315" s="807"/>
      <c r="AW315" s="802"/>
    </row>
    <row r="316" spans="1:49" s="803" customFormat="1" ht="12.75" customHeight="1" x14ac:dyDescent="0.25">
      <c r="A316" s="1115"/>
      <c r="B316" s="774" t="s">
        <v>1178</v>
      </c>
      <c r="C316" s="826">
        <v>1</v>
      </c>
      <c r="D316" s="820"/>
      <c r="E316" s="767" t="s">
        <v>1442</v>
      </c>
      <c r="F316" s="768" t="s">
        <v>1443</v>
      </c>
      <c r="G316" s="769">
        <v>419.5</v>
      </c>
      <c r="H316" s="768">
        <v>1E-3</v>
      </c>
      <c r="I316" s="770">
        <f t="shared" si="28"/>
        <v>0.41949999999999998</v>
      </c>
      <c r="J316" s="758"/>
      <c r="K316" s="760"/>
      <c r="L316" s="760"/>
      <c r="M316" s="760"/>
      <c r="N316" s="760"/>
      <c r="O316" s="759"/>
      <c r="P316" s="759"/>
      <c r="Q316" s="759"/>
      <c r="R316" s="759"/>
      <c r="S316" s="759"/>
      <c r="T316" s="759"/>
      <c r="U316" s="759"/>
      <c r="V316" s="759"/>
      <c r="W316" s="759"/>
      <c r="X316" s="759"/>
      <c r="Y316" s="759"/>
      <c r="Z316" s="759"/>
      <c r="AA316" s="755"/>
      <c r="AB316" s="755"/>
      <c r="AC316" s="773"/>
      <c r="AD316" s="802"/>
      <c r="AF316" s="821"/>
      <c r="AG316" s="802"/>
      <c r="AH316" s="805"/>
      <c r="AI316" s="805"/>
      <c r="AJ316" s="827"/>
      <c r="AK316" s="805"/>
      <c r="AL316" s="806"/>
      <c r="AM316" s="805"/>
      <c r="AN316" s="805"/>
      <c r="AO316" s="807"/>
      <c r="AP316" s="805"/>
      <c r="AQ316" s="805"/>
      <c r="AR316" s="807"/>
      <c r="AS316" s="807"/>
      <c r="AT316" s="805"/>
      <c r="AU316" s="805"/>
      <c r="AV316" s="807"/>
      <c r="AW316" s="802"/>
    </row>
    <row r="317" spans="1:49" s="803" customFormat="1" ht="12.75" customHeight="1" x14ac:dyDescent="0.25">
      <c r="A317" s="1115"/>
      <c r="B317" s="754" t="s">
        <v>1179</v>
      </c>
      <c r="C317" s="826">
        <v>1.5</v>
      </c>
      <c r="D317" s="820"/>
      <c r="E317" s="767" t="s">
        <v>1444</v>
      </c>
      <c r="F317" s="768" t="s">
        <v>1443</v>
      </c>
      <c r="G317" s="769">
        <v>872</v>
      </c>
      <c r="H317" s="768">
        <v>2E-3</v>
      </c>
      <c r="I317" s="770">
        <f t="shared" si="28"/>
        <v>1.744</v>
      </c>
      <c r="J317" s="758"/>
      <c r="K317" s="760"/>
      <c r="L317" s="760"/>
      <c r="M317" s="760"/>
      <c r="N317" s="760"/>
      <c r="O317" s="759"/>
      <c r="P317" s="759"/>
      <c r="Q317" s="759"/>
      <c r="R317" s="759"/>
      <c r="S317" s="759"/>
      <c r="T317" s="759"/>
      <c r="U317" s="759"/>
      <c r="V317" s="759"/>
      <c r="W317" s="759"/>
      <c r="X317" s="759"/>
      <c r="Y317" s="759"/>
      <c r="Z317" s="759"/>
      <c r="AA317" s="755"/>
      <c r="AB317" s="755"/>
      <c r="AC317" s="773"/>
      <c r="AD317" s="802"/>
      <c r="AF317" s="821"/>
      <c r="AG317" s="802"/>
      <c r="AH317" s="805"/>
      <c r="AI317" s="805"/>
      <c r="AJ317" s="827"/>
      <c r="AK317" s="805"/>
      <c r="AL317" s="806"/>
      <c r="AM317" s="805"/>
      <c r="AN317" s="805"/>
      <c r="AO317" s="807"/>
      <c r="AP317" s="805"/>
      <c r="AQ317" s="805"/>
      <c r="AR317" s="807"/>
      <c r="AS317" s="807"/>
      <c r="AT317" s="805"/>
      <c r="AU317" s="805"/>
      <c r="AV317" s="807"/>
      <c r="AW317" s="802"/>
    </row>
    <row r="318" spans="1:49" s="803" customFormat="1" ht="12.75" customHeight="1" x14ac:dyDescent="0.25">
      <c r="A318" s="1115"/>
      <c r="B318" s="782" t="s">
        <v>1181</v>
      </c>
      <c r="C318" s="799">
        <f>C313*C316+C314*C317</f>
        <v>72.348051582088885</v>
      </c>
      <c r="D318" s="820"/>
      <c r="E318" s="780"/>
      <c r="F318" s="781"/>
      <c r="G318" s="769"/>
      <c r="H318" s="768"/>
      <c r="I318" s="770"/>
      <c r="J318" s="758"/>
      <c r="K318" s="828"/>
      <c r="L318" s="776"/>
      <c r="M318" s="771"/>
      <c r="N318" s="760"/>
      <c r="O318" s="759"/>
      <c r="P318" s="759"/>
      <c r="Q318" s="759"/>
      <c r="R318" s="759"/>
      <c r="S318" s="759"/>
      <c r="T318" s="759"/>
      <c r="U318" s="759"/>
      <c r="V318" s="759"/>
      <c r="W318" s="759"/>
      <c r="X318" s="759"/>
      <c r="Y318" s="759"/>
      <c r="Z318" s="759"/>
      <c r="AA318" s="755"/>
      <c r="AB318" s="755"/>
      <c r="AC318" s="773"/>
      <c r="AD318" s="802"/>
      <c r="AF318" s="821"/>
      <c r="AG318" s="802"/>
      <c r="AH318" s="805"/>
      <c r="AI318" s="805"/>
      <c r="AJ318" s="822"/>
      <c r="AK318" s="805"/>
      <c r="AL318" s="806"/>
      <c r="AM318" s="805"/>
      <c r="AN318" s="805"/>
      <c r="AO318" s="807"/>
      <c r="AP318" s="805"/>
      <c r="AQ318" s="805"/>
      <c r="AR318" s="807"/>
      <c r="AS318" s="807"/>
      <c r="AT318" s="805"/>
      <c r="AU318" s="805"/>
      <c r="AV318" s="807"/>
      <c r="AW318" s="802"/>
    </row>
    <row r="319" spans="1:49" s="803" customFormat="1" ht="13.5" customHeight="1" x14ac:dyDescent="0.25">
      <c r="A319" s="1116"/>
      <c r="B319" s="783"/>
      <c r="C319" s="826"/>
      <c r="D319" s="829"/>
      <c r="E319" s="780"/>
      <c r="F319" s="781"/>
      <c r="G319" s="769"/>
      <c r="H319" s="768"/>
      <c r="I319" s="770"/>
      <c r="J319" s="758"/>
      <c r="K319" s="828"/>
      <c r="L319" s="760"/>
      <c r="M319" s="771"/>
      <c r="N319" s="760"/>
      <c r="O319" s="759"/>
      <c r="P319" s="759"/>
      <c r="Q319" s="759"/>
      <c r="R319" s="759"/>
      <c r="S319" s="759"/>
      <c r="T319" s="759"/>
      <c r="U319" s="759"/>
      <c r="V319" s="759"/>
      <c r="W319" s="759"/>
      <c r="X319" s="759"/>
      <c r="Y319" s="759"/>
      <c r="Z319" s="759"/>
      <c r="AA319" s="755"/>
      <c r="AB319" s="755"/>
      <c r="AC319" s="773"/>
      <c r="AD319" s="802"/>
      <c r="AF319" s="821"/>
      <c r="AG319" s="802"/>
      <c r="AH319" s="805"/>
      <c r="AI319" s="805"/>
      <c r="AJ319" s="827"/>
      <c r="AK319" s="805"/>
      <c r="AL319" s="806"/>
      <c r="AM319" s="805"/>
      <c r="AN319" s="805"/>
      <c r="AO319" s="807"/>
      <c r="AP319" s="805"/>
      <c r="AQ319" s="805"/>
      <c r="AR319" s="807"/>
      <c r="AS319" s="807"/>
      <c r="AT319" s="805"/>
      <c r="AU319" s="805"/>
      <c r="AV319" s="807"/>
      <c r="AW319" s="802"/>
    </row>
    <row r="320" spans="1:49" s="803" customFormat="1" ht="56.25" customHeight="1" x14ac:dyDescent="0.25">
      <c r="A320" s="1114" t="s">
        <v>1631</v>
      </c>
      <c r="B320" s="778" t="s">
        <v>740</v>
      </c>
      <c r="C320" s="799"/>
      <c r="D320" s="800"/>
      <c r="E320" s="801" t="s">
        <v>488</v>
      </c>
      <c r="F320" s="792" t="s">
        <v>837</v>
      </c>
      <c r="G320" s="778" t="s">
        <v>489</v>
      </c>
      <c r="H320" s="791" t="s">
        <v>1170</v>
      </c>
      <c r="I320" s="792" t="s">
        <v>838</v>
      </c>
      <c r="J320" s="793" t="s">
        <v>1171</v>
      </c>
      <c r="K320" s="793" t="s">
        <v>490</v>
      </c>
      <c r="L320" s="794" t="s">
        <v>489</v>
      </c>
      <c r="M320" s="793" t="s">
        <v>1172</v>
      </c>
      <c r="N320" s="792" t="s">
        <v>838</v>
      </c>
      <c r="O320" s="793" t="s">
        <v>1171</v>
      </c>
      <c r="P320" s="793" t="s">
        <v>826</v>
      </c>
      <c r="Q320" s="793" t="s">
        <v>1173</v>
      </c>
      <c r="R320" s="793" t="s">
        <v>1174</v>
      </c>
      <c r="S320" s="793" t="s">
        <v>839</v>
      </c>
      <c r="T320" s="793" t="s">
        <v>1171</v>
      </c>
      <c r="U320" s="793" t="s">
        <v>1392</v>
      </c>
      <c r="V320" s="793" t="s">
        <v>841</v>
      </c>
      <c r="W320" s="795" t="s">
        <v>1173</v>
      </c>
      <c r="X320" s="793" t="s">
        <v>1394</v>
      </c>
      <c r="Y320" s="793" t="s">
        <v>839</v>
      </c>
      <c r="Z320" s="796"/>
      <c r="AA320" s="755"/>
      <c r="AB320" s="755"/>
      <c r="AC320" s="773"/>
      <c r="AD320" s="802"/>
      <c r="AF320" s="804"/>
      <c r="AG320" s="802"/>
      <c r="AH320" s="805"/>
      <c r="AI320" s="805"/>
      <c r="AJ320" s="805"/>
      <c r="AK320" s="805"/>
      <c r="AL320" s="806"/>
      <c r="AM320" s="805"/>
      <c r="AN320" s="805"/>
      <c r="AO320" s="807"/>
      <c r="AP320" s="805"/>
      <c r="AQ320" s="808"/>
      <c r="AR320" s="808"/>
      <c r="AS320" s="808"/>
      <c r="AT320" s="805"/>
      <c r="AU320" s="805"/>
      <c r="AV320" s="807"/>
      <c r="AW320" s="802"/>
    </row>
    <row r="321" spans="1:49" s="803" customFormat="1" ht="12" customHeight="1" x14ac:dyDescent="0.25">
      <c r="A321" s="1115"/>
      <c r="B321" s="752" t="s">
        <v>1175</v>
      </c>
      <c r="C321" s="799">
        <f>C328</f>
        <v>72.348051582088885</v>
      </c>
      <c r="D321" s="800">
        <f>C321*$D$5</f>
        <v>14.614306419581956</v>
      </c>
      <c r="E321" s="809" t="s">
        <v>1176</v>
      </c>
      <c r="F321" s="810"/>
      <c r="G321" s="756"/>
      <c r="H321" s="756"/>
      <c r="I321" s="757">
        <f>SUM(I322:I329)</f>
        <v>83.8536</v>
      </c>
      <c r="J321" s="758" t="s">
        <v>1176</v>
      </c>
      <c r="K321" s="811"/>
      <c r="L321" s="759"/>
      <c r="M321" s="759"/>
      <c r="N321" s="760">
        <f>SUM(N322:N329)</f>
        <v>0.27418500869828294</v>
      </c>
      <c r="O321" s="759" t="s">
        <v>1176</v>
      </c>
      <c r="P321" s="759"/>
      <c r="Q321" s="812"/>
      <c r="R321" s="813"/>
      <c r="S321" s="760">
        <f>SUM(S322:S329)</f>
        <v>0.17977397070317422</v>
      </c>
      <c r="T321" s="760"/>
      <c r="U321" s="760"/>
      <c r="V321" s="760"/>
      <c r="W321" s="760"/>
      <c r="X321" s="760"/>
      <c r="Y321" s="760">
        <f>SUM(Y322:Y329)</f>
        <v>11.63319193706981</v>
      </c>
      <c r="Z321" s="762">
        <f>(C321+D321+I321+N321+S321+Y321)*$Z$5</f>
        <v>237.80837118927158</v>
      </c>
      <c r="AA321" s="763">
        <f>C321+D321+I321+N321+S321+Y321+Z321</f>
        <v>420.71148010741365</v>
      </c>
      <c r="AB321" s="764">
        <v>0.25</v>
      </c>
      <c r="AC321" s="765">
        <f>AA321*(1+AB321)</f>
        <v>525.88935013426703</v>
      </c>
      <c r="AD321" s="814"/>
      <c r="AF321" s="804"/>
      <c r="AG321" s="802"/>
      <c r="AH321" s="805"/>
      <c r="AI321" s="808"/>
      <c r="AJ321" s="815"/>
      <c r="AK321" s="816"/>
      <c r="AL321" s="806"/>
      <c r="AM321" s="817"/>
      <c r="AN321" s="818"/>
      <c r="AO321" s="817"/>
      <c r="AP321" s="808"/>
      <c r="AQ321" s="808"/>
      <c r="AR321" s="808"/>
      <c r="AS321" s="808"/>
      <c r="AT321" s="808"/>
      <c r="AU321" s="817"/>
      <c r="AV321" s="817"/>
      <c r="AW321" s="819"/>
    </row>
    <row r="322" spans="1:49" s="803" customFormat="1" ht="12.75" customHeight="1" x14ac:dyDescent="0.25">
      <c r="A322" s="1115"/>
      <c r="B322" s="766" t="s">
        <v>830</v>
      </c>
      <c r="C322" s="799"/>
      <c r="D322" s="820"/>
      <c r="E322" s="767" t="s">
        <v>1437</v>
      </c>
      <c r="F322" s="768" t="s">
        <v>1438</v>
      </c>
      <c r="G322" s="769">
        <v>0.74</v>
      </c>
      <c r="H322" s="768">
        <v>0.01</v>
      </c>
      <c r="I322" s="770">
        <f t="shared" ref="I322:I327" si="29">G322*H322</f>
        <v>7.4000000000000003E-3</v>
      </c>
      <c r="J322" s="758" t="s">
        <v>1291</v>
      </c>
      <c r="K322" s="771">
        <v>2</v>
      </c>
      <c r="L322" s="772">
        <v>750</v>
      </c>
      <c r="M322" s="771">
        <v>2</v>
      </c>
      <c r="N322" s="760">
        <f>L322/'Исп. коэффициенты'!E31*(C326+C327)</f>
        <v>0.23636638680886463</v>
      </c>
      <c r="O322" s="759" t="s">
        <v>2200</v>
      </c>
      <c r="P322" s="759">
        <v>7250</v>
      </c>
      <c r="Q322" s="759">
        <v>19.670000000000002</v>
      </c>
      <c r="R322" s="759">
        <f>P322*Q322%</f>
        <v>1426.075</v>
      </c>
      <c r="S322" s="759">
        <f>R322/'Исп. коэффициенты'!E31*C326</f>
        <v>0.17977397070317422</v>
      </c>
      <c r="T322" s="755" t="s">
        <v>1435</v>
      </c>
      <c r="U322" s="756">
        <v>6785401.3499999996</v>
      </c>
      <c r="V322" s="785">
        <f>'Исп. коэффициенты'!E124</f>
        <v>2978.5</v>
      </c>
      <c r="W322" s="761">
        <f>'Исп. коэффициенты'!D124</f>
        <v>1.3599999999999999E-2</v>
      </c>
      <c r="X322" s="760">
        <f>U322*W322</f>
        <v>92281.45835999999</v>
      </c>
      <c r="Y322" s="759">
        <f>X322/'Исп. коэффициенты'!E31*C326</f>
        <v>11.63319193706981</v>
      </c>
      <c r="Z322" s="759"/>
      <c r="AA322" s="755"/>
      <c r="AB322" s="755"/>
      <c r="AC322" s="773"/>
      <c r="AD322" s="802"/>
      <c r="AF322" s="821"/>
      <c r="AG322" s="802"/>
      <c r="AH322" s="805"/>
      <c r="AI322" s="805"/>
      <c r="AJ322" s="822"/>
      <c r="AK322" s="805"/>
      <c r="AL322" s="806"/>
      <c r="AM322" s="805"/>
      <c r="AN322" s="805"/>
      <c r="AO322" s="807"/>
      <c r="AP322" s="805"/>
      <c r="AQ322" s="805"/>
      <c r="AR322" s="807"/>
      <c r="AS322" s="807"/>
      <c r="AT322" s="805"/>
      <c r="AU322" s="805"/>
      <c r="AV322" s="807"/>
      <c r="AW322" s="802"/>
    </row>
    <row r="323" spans="1:49" s="803" customFormat="1" x14ac:dyDescent="0.25">
      <c r="A323" s="1115"/>
      <c r="B323" s="774" t="s">
        <v>1178</v>
      </c>
      <c r="C323" s="823">
        <f>C313</f>
        <v>38.717865870069311</v>
      </c>
      <c r="D323" s="820"/>
      <c r="E323" s="767" t="s">
        <v>1439</v>
      </c>
      <c r="F323" s="768" t="s">
        <v>1438</v>
      </c>
      <c r="G323" s="769">
        <v>0.27</v>
      </c>
      <c r="H323" s="768">
        <v>0.01</v>
      </c>
      <c r="I323" s="775">
        <f t="shared" si="29"/>
        <v>2.7000000000000001E-3</v>
      </c>
      <c r="J323" s="758" t="s">
        <v>1445</v>
      </c>
      <c r="K323" s="760">
        <v>2</v>
      </c>
      <c r="L323" s="776">
        <v>95</v>
      </c>
      <c r="M323" s="771">
        <v>2</v>
      </c>
      <c r="N323" s="760">
        <f>L323/'Исп. коэффициенты'!E31*(C326+C327)</f>
        <v>2.9939742329122852E-2</v>
      </c>
      <c r="O323" s="759"/>
      <c r="P323" s="759"/>
      <c r="Q323" s="759"/>
      <c r="R323" s="759"/>
      <c r="S323" s="759"/>
      <c r="T323" s="759"/>
      <c r="U323" s="759"/>
      <c r="V323" s="759"/>
      <c r="W323" s="759"/>
      <c r="X323" s="759"/>
      <c r="Y323" s="759"/>
      <c r="Z323" s="759"/>
      <c r="AA323" s="755"/>
      <c r="AB323" s="755"/>
      <c r="AC323" s="773"/>
      <c r="AD323" s="802"/>
      <c r="AF323" s="821"/>
      <c r="AG323" s="802"/>
      <c r="AH323" s="805"/>
      <c r="AI323" s="805"/>
      <c r="AJ323" s="822"/>
      <c r="AK323" s="805"/>
      <c r="AL323" s="806"/>
      <c r="AM323" s="824"/>
      <c r="AN323" s="805"/>
      <c r="AO323" s="807"/>
      <c r="AP323" s="805"/>
      <c r="AQ323" s="805"/>
      <c r="AR323" s="807"/>
      <c r="AS323" s="807"/>
      <c r="AT323" s="805"/>
      <c r="AU323" s="805"/>
      <c r="AV323" s="807"/>
      <c r="AW323" s="802"/>
    </row>
    <row r="324" spans="1:49" s="803" customFormat="1" ht="12.75" customHeight="1" x14ac:dyDescent="0.25">
      <c r="A324" s="1115"/>
      <c r="B324" s="754" t="s">
        <v>1179</v>
      </c>
      <c r="C324" s="799">
        <f>C314</f>
        <v>22.420123808013045</v>
      </c>
      <c r="D324" s="820"/>
      <c r="E324" s="767" t="s">
        <v>1598</v>
      </c>
      <c r="F324" s="768" t="s">
        <v>1441</v>
      </c>
      <c r="G324" s="769">
        <v>4.4000000000000004</v>
      </c>
      <c r="H324" s="769">
        <v>1</v>
      </c>
      <c r="I324" s="770">
        <f t="shared" si="29"/>
        <v>4.4000000000000004</v>
      </c>
      <c r="J324" s="758" t="s">
        <v>1513</v>
      </c>
      <c r="K324" s="760">
        <v>2</v>
      </c>
      <c r="L324" s="760">
        <v>25</v>
      </c>
      <c r="M324" s="771">
        <v>0.5</v>
      </c>
      <c r="N324" s="760">
        <f>L324/'Исп. коэффициенты'!E31*(C326+C327)</f>
        <v>7.8788795602954889E-3</v>
      </c>
      <c r="O324" s="759"/>
      <c r="P324" s="759"/>
      <c r="Q324" s="759"/>
      <c r="R324" s="759"/>
      <c r="S324" s="759"/>
      <c r="T324" s="759"/>
      <c r="U324" s="759"/>
      <c r="V324" s="759"/>
      <c r="W324" s="759"/>
      <c r="X324" s="759"/>
      <c r="Y324" s="759"/>
      <c r="Z324" s="759"/>
      <c r="AA324" s="755"/>
      <c r="AB324" s="755"/>
      <c r="AC324" s="773"/>
      <c r="AD324" s="802"/>
      <c r="AF324" s="821"/>
      <c r="AG324" s="802"/>
      <c r="AH324" s="805"/>
      <c r="AI324" s="805"/>
      <c r="AJ324" s="822"/>
      <c r="AK324" s="805"/>
      <c r="AL324" s="806"/>
      <c r="AM324" s="805"/>
      <c r="AN324" s="805"/>
      <c r="AO324" s="807"/>
      <c r="AP324" s="805"/>
      <c r="AQ324" s="805"/>
      <c r="AR324" s="807"/>
      <c r="AS324" s="807"/>
      <c r="AT324" s="805"/>
      <c r="AU324" s="805"/>
      <c r="AV324" s="807"/>
      <c r="AW324" s="802"/>
    </row>
    <row r="325" spans="1:49" s="803" customFormat="1" ht="12.75" customHeight="1" x14ac:dyDescent="0.25">
      <c r="A325" s="1115"/>
      <c r="B325" s="754" t="s">
        <v>831</v>
      </c>
      <c r="C325" s="825"/>
      <c r="D325" s="820"/>
      <c r="E325" s="767" t="s">
        <v>1599</v>
      </c>
      <c r="F325" s="768" t="s">
        <v>1441</v>
      </c>
      <c r="G325" s="769">
        <v>77.28</v>
      </c>
      <c r="H325" s="768">
        <v>1</v>
      </c>
      <c r="I325" s="770">
        <f t="shared" si="29"/>
        <v>77.28</v>
      </c>
      <c r="J325" s="758"/>
      <c r="K325" s="760"/>
      <c r="L325" s="760"/>
      <c r="M325" s="760"/>
      <c r="N325" s="760"/>
      <c r="O325" s="759"/>
      <c r="P325" s="759"/>
      <c r="Q325" s="759"/>
      <c r="R325" s="759"/>
      <c r="S325" s="759"/>
      <c r="T325" s="759"/>
      <c r="U325" s="759"/>
      <c r="V325" s="759"/>
      <c r="W325" s="759"/>
      <c r="X325" s="759"/>
      <c r="Y325" s="759"/>
      <c r="Z325" s="759"/>
      <c r="AA325" s="755"/>
      <c r="AB325" s="755"/>
      <c r="AC325" s="773"/>
      <c r="AD325" s="802"/>
      <c r="AF325" s="821"/>
      <c r="AG325" s="802"/>
      <c r="AH325" s="805"/>
      <c r="AI325" s="805"/>
      <c r="AJ325" s="822"/>
      <c r="AK325" s="805"/>
      <c r="AL325" s="806"/>
      <c r="AM325" s="805"/>
      <c r="AN325" s="805"/>
      <c r="AO325" s="807"/>
      <c r="AP325" s="805"/>
      <c r="AQ325" s="805"/>
      <c r="AR325" s="807"/>
      <c r="AS325" s="807"/>
      <c r="AT325" s="805"/>
      <c r="AU325" s="805"/>
      <c r="AV325" s="807"/>
      <c r="AW325" s="802"/>
    </row>
    <row r="326" spans="1:49" s="803" customFormat="1" ht="12.75" customHeight="1" x14ac:dyDescent="0.25">
      <c r="A326" s="1115"/>
      <c r="B326" s="774" t="s">
        <v>1178</v>
      </c>
      <c r="C326" s="826">
        <v>1</v>
      </c>
      <c r="D326" s="820"/>
      <c r="E326" s="767" t="s">
        <v>1442</v>
      </c>
      <c r="F326" s="768" t="s">
        <v>1443</v>
      </c>
      <c r="G326" s="769">
        <v>419.5</v>
      </c>
      <c r="H326" s="768">
        <v>1E-3</v>
      </c>
      <c r="I326" s="770">
        <f t="shared" si="29"/>
        <v>0.41949999999999998</v>
      </c>
      <c r="J326" s="758"/>
      <c r="K326" s="760"/>
      <c r="L326" s="760"/>
      <c r="M326" s="760"/>
      <c r="N326" s="760"/>
      <c r="O326" s="759"/>
      <c r="P326" s="759"/>
      <c r="Q326" s="759"/>
      <c r="R326" s="759"/>
      <c r="S326" s="759"/>
      <c r="T326" s="759"/>
      <c r="U326" s="759"/>
      <c r="V326" s="759"/>
      <c r="W326" s="759"/>
      <c r="X326" s="759"/>
      <c r="Y326" s="759"/>
      <c r="Z326" s="759"/>
      <c r="AA326" s="755"/>
      <c r="AB326" s="755"/>
      <c r="AC326" s="773"/>
      <c r="AD326" s="802"/>
      <c r="AF326" s="821"/>
      <c r="AG326" s="802"/>
      <c r="AH326" s="805"/>
      <c r="AI326" s="805"/>
      <c r="AJ326" s="827"/>
      <c r="AK326" s="805"/>
      <c r="AL326" s="806"/>
      <c r="AM326" s="805"/>
      <c r="AN326" s="805"/>
      <c r="AO326" s="807"/>
      <c r="AP326" s="805"/>
      <c r="AQ326" s="805"/>
      <c r="AR326" s="807"/>
      <c r="AS326" s="807"/>
      <c r="AT326" s="805"/>
      <c r="AU326" s="805"/>
      <c r="AV326" s="807"/>
      <c r="AW326" s="802"/>
    </row>
    <row r="327" spans="1:49" s="803" customFormat="1" ht="12.75" customHeight="1" x14ac:dyDescent="0.25">
      <c r="A327" s="1115"/>
      <c r="B327" s="754" t="s">
        <v>1179</v>
      </c>
      <c r="C327" s="826">
        <v>1.5</v>
      </c>
      <c r="D327" s="820"/>
      <c r="E327" s="767" t="s">
        <v>1444</v>
      </c>
      <c r="F327" s="768" t="s">
        <v>1443</v>
      </c>
      <c r="G327" s="769">
        <v>872</v>
      </c>
      <c r="H327" s="768">
        <v>2E-3</v>
      </c>
      <c r="I327" s="770">
        <f t="shared" si="29"/>
        <v>1.744</v>
      </c>
      <c r="J327" s="758"/>
      <c r="K327" s="760"/>
      <c r="L327" s="760"/>
      <c r="M327" s="760"/>
      <c r="N327" s="760"/>
      <c r="O327" s="759"/>
      <c r="P327" s="759"/>
      <c r="Q327" s="759"/>
      <c r="R327" s="759"/>
      <c r="S327" s="759"/>
      <c r="T327" s="759"/>
      <c r="U327" s="759"/>
      <c r="V327" s="759"/>
      <c r="W327" s="759"/>
      <c r="X327" s="759"/>
      <c r="Y327" s="759"/>
      <c r="Z327" s="759"/>
      <c r="AA327" s="755"/>
      <c r="AB327" s="755"/>
      <c r="AC327" s="773"/>
      <c r="AD327" s="802"/>
      <c r="AF327" s="821"/>
      <c r="AG327" s="802"/>
      <c r="AH327" s="805"/>
      <c r="AI327" s="805"/>
      <c r="AJ327" s="827"/>
      <c r="AK327" s="805"/>
      <c r="AL327" s="806"/>
      <c r="AM327" s="805"/>
      <c r="AN327" s="805"/>
      <c r="AO327" s="807"/>
      <c r="AP327" s="805"/>
      <c r="AQ327" s="805"/>
      <c r="AR327" s="807"/>
      <c r="AS327" s="807"/>
      <c r="AT327" s="805"/>
      <c r="AU327" s="805"/>
      <c r="AV327" s="807"/>
      <c r="AW327" s="802"/>
    </row>
    <row r="328" spans="1:49" s="803" customFormat="1" ht="12.75" customHeight="1" x14ac:dyDescent="0.25">
      <c r="A328" s="1115"/>
      <c r="B328" s="782" t="s">
        <v>1181</v>
      </c>
      <c r="C328" s="799">
        <f>C323*C326+C324*C327</f>
        <v>72.348051582088885</v>
      </c>
      <c r="D328" s="820"/>
      <c r="E328" s="780"/>
      <c r="F328" s="781"/>
      <c r="G328" s="769"/>
      <c r="H328" s="768"/>
      <c r="I328" s="770"/>
      <c r="J328" s="758"/>
      <c r="K328" s="828"/>
      <c r="L328" s="776"/>
      <c r="M328" s="771"/>
      <c r="N328" s="760"/>
      <c r="O328" s="759"/>
      <c r="P328" s="759"/>
      <c r="Q328" s="759"/>
      <c r="R328" s="759"/>
      <c r="S328" s="759"/>
      <c r="T328" s="759"/>
      <c r="U328" s="759"/>
      <c r="V328" s="759"/>
      <c r="W328" s="759"/>
      <c r="X328" s="759"/>
      <c r="Y328" s="759"/>
      <c r="Z328" s="759"/>
      <c r="AA328" s="755"/>
      <c r="AB328" s="755"/>
      <c r="AC328" s="773"/>
      <c r="AD328" s="802"/>
      <c r="AF328" s="821"/>
      <c r="AG328" s="802"/>
      <c r="AH328" s="805"/>
      <c r="AI328" s="805"/>
      <c r="AJ328" s="822"/>
      <c r="AK328" s="805"/>
      <c r="AL328" s="806"/>
      <c r="AM328" s="805"/>
      <c r="AN328" s="805"/>
      <c r="AO328" s="807"/>
      <c r="AP328" s="805"/>
      <c r="AQ328" s="805"/>
      <c r="AR328" s="807"/>
      <c r="AS328" s="807"/>
      <c r="AT328" s="805"/>
      <c r="AU328" s="805"/>
      <c r="AV328" s="807"/>
      <c r="AW328" s="802"/>
    </row>
    <row r="329" spans="1:49" s="803" customFormat="1" ht="13.5" customHeight="1" x14ac:dyDescent="0.25">
      <c r="A329" s="1116"/>
      <c r="B329" s="783"/>
      <c r="C329" s="826"/>
      <c r="D329" s="829"/>
      <c r="E329" s="780"/>
      <c r="F329" s="781"/>
      <c r="G329" s="769"/>
      <c r="H329" s="768"/>
      <c r="I329" s="770"/>
      <c r="J329" s="758"/>
      <c r="K329" s="828"/>
      <c r="L329" s="760"/>
      <c r="M329" s="771"/>
      <c r="N329" s="760"/>
      <c r="O329" s="759"/>
      <c r="P329" s="759"/>
      <c r="Q329" s="759"/>
      <c r="R329" s="759"/>
      <c r="S329" s="759"/>
      <c r="T329" s="759"/>
      <c r="U329" s="759"/>
      <c r="V329" s="759"/>
      <c r="W329" s="759"/>
      <c r="X329" s="759"/>
      <c r="Y329" s="759"/>
      <c r="Z329" s="759"/>
      <c r="AA329" s="755"/>
      <c r="AB329" s="755"/>
      <c r="AC329" s="773"/>
      <c r="AD329" s="802"/>
      <c r="AF329" s="821"/>
      <c r="AG329" s="802"/>
      <c r="AH329" s="805"/>
      <c r="AI329" s="805"/>
      <c r="AJ329" s="827"/>
      <c r="AK329" s="805"/>
      <c r="AL329" s="806"/>
      <c r="AM329" s="805"/>
      <c r="AN329" s="805"/>
      <c r="AO329" s="807"/>
      <c r="AP329" s="805"/>
      <c r="AQ329" s="805"/>
      <c r="AR329" s="807"/>
      <c r="AS329" s="807"/>
      <c r="AT329" s="805"/>
      <c r="AU329" s="805"/>
      <c r="AV329" s="807"/>
      <c r="AW329" s="802"/>
    </row>
    <row r="330" spans="1:49" s="803" customFormat="1" ht="56.25" customHeight="1" x14ac:dyDescent="0.25">
      <c r="A330" s="1114" t="s">
        <v>1632</v>
      </c>
      <c r="B330" s="778" t="s">
        <v>741</v>
      </c>
      <c r="C330" s="799"/>
      <c r="D330" s="800"/>
      <c r="E330" s="801" t="s">
        <v>488</v>
      </c>
      <c r="F330" s="792" t="s">
        <v>837</v>
      </c>
      <c r="G330" s="778" t="s">
        <v>489</v>
      </c>
      <c r="H330" s="791" t="s">
        <v>1170</v>
      </c>
      <c r="I330" s="792" t="s">
        <v>838</v>
      </c>
      <c r="J330" s="793" t="s">
        <v>1171</v>
      </c>
      <c r="K330" s="793" t="s">
        <v>490</v>
      </c>
      <c r="L330" s="794" t="s">
        <v>489</v>
      </c>
      <c r="M330" s="793" t="s">
        <v>1172</v>
      </c>
      <c r="N330" s="792" t="s">
        <v>838</v>
      </c>
      <c r="O330" s="793" t="s">
        <v>1171</v>
      </c>
      <c r="P330" s="793" t="s">
        <v>826</v>
      </c>
      <c r="Q330" s="793" t="s">
        <v>1173</v>
      </c>
      <c r="R330" s="793" t="s">
        <v>1174</v>
      </c>
      <c r="S330" s="793" t="s">
        <v>839</v>
      </c>
      <c r="T330" s="793" t="s">
        <v>1171</v>
      </c>
      <c r="U330" s="793" t="s">
        <v>1392</v>
      </c>
      <c r="V330" s="793" t="s">
        <v>841</v>
      </c>
      <c r="W330" s="795" t="s">
        <v>1173</v>
      </c>
      <c r="X330" s="793" t="s">
        <v>1394</v>
      </c>
      <c r="Y330" s="793" t="s">
        <v>839</v>
      </c>
      <c r="Z330" s="796"/>
      <c r="AA330" s="755"/>
      <c r="AB330" s="755"/>
      <c r="AC330" s="773"/>
      <c r="AD330" s="802"/>
      <c r="AF330" s="804"/>
      <c r="AG330" s="802"/>
      <c r="AH330" s="805"/>
      <c r="AI330" s="805"/>
      <c r="AJ330" s="805"/>
      <c r="AK330" s="805"/>
      <c r="AL330" s="806"/>
      <c r="AM330" s="805"/>
      <c r="AN330" s="805"/>
      <c r="AO330" s="807"/>
      <c r="AP330" s="805"/>
      <c r="AQ330" s="808"/>
      <c r="AR330" s="808"/>
      <c r="AS330" s="808"/>
      <c r="AT330" s="805"/>
      <c r="AU330" s="805"/>
      <c r="AV330" s="807"/>
      <c r="AW330" s="802"/>
    </row>
    <row r="331" spans="1:49" s="803" customFormat="1" ht="12" customHeight="1" x14ac:dyDescent="0.25">
      <c r="A331" s="1115"/>
      <c r="B331" s="752" t="s">
        <v>1175</v>
      </c>
      <c r="C331" s="799">
        <f>C338</f>
        <v>133.48604126017125</v>
      </c>
      <c r="D331" s="800">
        <f>C331*$D$5</f>
        <v>26.964180334554595</v>
      </c>
      <c r="E331" s="809" t="s">
        <v>1176</v>
      </c>
      <c r="F331" s="810"/>
      <c r="G331" s="756"/>
      <c r="H331" s="756"/>
      <c r="I331" s="757">
        <f>SUM(I332:I339)</f>
        <v>83.8536</v>
      </c>
      <c r="J331" s="758" t="s">
        <v>1176</v>
      </c>
      <c r="K331" s="811"/>
      <c r="L331" s="759"/>
      <c r="M331" s="759"/>
      <c r="N331" s="760">
        <f>SUM(N332:N339)</f>
        <v>0.49353301565690938</v>
      </c>
      <c r="O331" s="759" t="s">
        <v>1176</v>
      </c>
      <c r="P331" s="759"/>
      <c r="Q331" s="812"/>
      <c r="R331" s="813"/>
      <c r="S331" s="760">
        <f>SUM(S332:S339)</f>
        <v>0.35954794140634844</v>
      </c>
      <c r="T331" s="760"/>
      <c r="U331" s="760"/>
      <c r="V331" s="760"/>
      <c r="W331" s="760"/>
      <c r="X331" s="760"/>
      <c r="Y331" s="760">
        <f>SUM(Y332:Y339)</f>
        <v>23.266383874139621</v>
      </c>
      <c r="Z331" s="762">
        <f>(C331+D331+I331+N331+S331+Y331)*$Z$5</f>
        <v>349.00065347052077</v>
      </c>
      <c r="AA331" s="763">
        <f>C331+D331+I331+N331+S331+Y331+Z331</f>
        <v>617.4239398964495</v>
      </c>
      <c r="AB331" s="764">
        <v>0.25</v>
      </c>
      <c r="AC331" s="765">
        <f>AA331*(1+AB331)</f>
        <v>771.7799248705619</v>
      </c>
      <c r="AD331" s="814"/>
      <c r="AF331" s="804"/>
      <c r="AG331" s="802"/>
      <c r="AH331" s="805"/>
      <c r="AI331" s="808"/>
      <c r="AJ331" s="815"/>
      <c r="AK331" s="816"/>
      <c r="AL331" s="806"/>
      <c r="AM331" s="817"/>
      <c r="AN331" s="818"/>
      <c r="AO331" s="817"/>
      <c r="AP331" s="808"/>
      <c r="AQ331" s="808"/>
      <c r="AR331" s="808"/>
      <c r="AS331" s="808"/>
      <c r="AT331" s="808"/>
      <c r="AU331" s="817"/>
      <c r="AV331" s="817"/>
      <c r="AW331" s="819"/>
    </row>
    <row r="332" spans="1:49" s="803" customFormat="1" ht="12.75" customHeight="1" x14ac:dyDescent="0.25">
      <c r="A332" s="1115"/>
      <c r="B332" s="766" t="s">
        <v>830</v>
      </c>
      <c r="C332" s="799"/>
      <c r="D332" s="820"/>
      <c r="E332" s="767" t="s">
        <v>1437</v>
      </c>
      <c r="F332" s="768" t="s">
        <v>1438</v>
      </c>
      <c r="G332" s="769">
        <v>0.74</v>
      </c>
      <c r="H332" s="768">
        <v>0.01</v>
      </c>
      <c r="I332" s="770">
        <f t="shared" ref="I332:I337" si="30">G332*H332</f>
        <v>7.4000000000000003E-3</v>
      </c>
      <c r="J332" s="758" t="s">
        <v>1291</v>
      </c>
      <c r="K332" s="771">
        <v>2</v>
      </c>
      <c r="L332" s="772">
        <v>750</v>
      </c>
      <c r="M332" s="771">
        <v>2</v>
      </c>
      <c r="N332" s="760">
        <f>L332/'Исп. коэффициенты'!E31*(C336+C337)</f>
        <v>0.42545949625595636</v>
      </c>
      <c r="O332" s="759" t="s">
        <v>2200</v>
      </c>
      <c r="P332" s="759">
        <v>7250</v>
      </c>
      <c r="Q332" s="759">
        <v>19.670000000000002</v>
      </c>
      <c r="R332" s="759">
        <f>P332*Q332%</f>
        <v>1426.075</v>
      </c>
      <c r="S332" s="759">
        <f>R332/'Исп. коэффициенты'!E31*C336</f>
        <v>0.35954794140634844</v>
      </c>
      <c r="T332" s="755" t="s">
        <v>1435</v>
      </c>
      <c r="U332" s="756">
        <v>6785401.3499999996</v>
      </c>
      <c r="V332" s="785">
        <f>'Исп. коэффициенты'!E124</f>
        <v>2978.5</v>
      </c>
      <c r="W332" s="761">
        <f>'Исп. коэффициенты'!D124</f>
        <v>1.3599999999999999E-2</v>
      </c>
      <c r="X332" s="760">
        <f>U332*W332</f>
        <v>92281.45835999999</v>
      </c>
      <c r="Y332" s="759">
        <f>X332/'Исп. коэффициенты'!E31*C336</f>
        <v>23.266383874139621</v>
      </c>
      <c r="Z332" s="759"/>
      <c r="AA332" s="755"/>
      <c r="AB332" s="755"/>
      <c r="AC332" s="773"/>
      <c r="AD332" s="802"/>
      <c r="AF332" s="821"/>
      <c r="AG332" s="802"/>
      <c r="AH332" s="805"/>
      <c r="AI332" s="805"/>
      <c r="AJ332" s="822"/>
      <c r="AK332" s="805"/>
      <c r="AL332" s="806"/>
      <c r="AM332" s="805"/>
      <c r="AN332" s="805"/>
      <c r="AO332" s="807"/>
      <c r="AP332" s="805"/>
      <c r="AQ332" s="805"/>
      <c r="AR332" s="807"/>
      <c r="AS332" s="807"/>
      <c r="AT332" s="805"/>
      <c r="AU332" s="805"/>
      <c r="AV332" s="807"/>
      <c r="AW332" s="802"/>
    </row>
    <row r="333" spans="1:49" s="803" customFormat="1" x14ac:dyDescent="0.25">
      <c r="A333" s="1115"/>
      <c r="B333" s="774" t="s">
        <v>1178</v>
      </c>
      <c r="C333" s="823">
        <f>C323</f>
        <v>38.717865870069311</v>
      </c>
      <c r="D333" s="820"/>
      <c r="E333" s="767" t="s">
        <v>1439</v>
      </c>
      <c r="F333" s="768" t="s">
        <v>1438</v>
      </c>
      <c r="G333" s="769">
        <v>0.27</v>
      </c>
      <c r="H333" s="768">
        <v>0.01</v>
      </c>
      <c r="I333" s="775">
        <f t="shared" si="30"/>
        <v>2.7000000000000001E-3</v>
      </c>
      <c r="J333" s="758" t="s">
        <v>1445</v>
      </c>
      <c r="K333" s="760">
        <v>2</v>
      </c>
      <c r="L333" s="776">
        <v>95</v>
      </c>
      <c r="M333" s="771">
        <v>2</v>
      </c>
      <c r="N333" s="760">
        <f>L333/'Исп. коэффициенты'!E31*(C336+C337)</f>
        <v>5.3891536192421138E-2</v>
      </c>
      <c r="O333" s="759"/>
      <c r="P333" s="759"/>
      <c r="Q333" s="759"/>
      <c r="R333" s="759"/>
      <c r="S333" s="759"/>
      <c r="T333" s="759"/>
      <c r="U333" s="759"/>
      <c r="V333" s="759"/>
      <c r="W333" s="759"/>
      <c r="X333" s="759"/>
      <c r="Y333" s="759"/>
      <c r="Z333" s="759"/>
      <c r="AA333" s="755"/>
      <c r="AB333" s="755"/>
      <c r="AC333" s="773"/>
      <c r="AD333" s="802"/>
      <c r="AF333" s="821"/>
      <c r="AG333" s="802"/>
      <c r="AH333" s="805"/>
      <c r="AI333" s="805"/>
      <c r="AJ333" s="822"/>
      <c r="AK333" s="805"/>
      <c r="AL333" s="806"/>
      <c r="AM333" s="824"/>
      <c r="AN333" s="805"/>
      <c r="AO333" s="807"/>
      <c r="AP333" s="805"/>
      <c r="AQ333" s="805"/>
      <c r="AR333" s="807"/>
      <c r="AS333" s="807"/>
      <c r="AT333" s="805"/>
      <c r="AU333" s="805"/>
      <c r="AV333" s="807"/>
      <c r="AW333" s="802"/>
    </row>
    <row r="334" spans="1:49" s="803" customFormat="1" ht="12.75" customHeight="1" x14ac:dyDescent="0.25">
      <c r="A334" s="1115"/>
      <c r="B334" s="754" t="s">
        <v>1179</v>
      </c>
      <c r="C334" s="799">
        <f>C324</f>
        <v>22.420123808013045</v>
      </c>
      <c r="D334" s="820"/>
      <c r="E334" s="767" t="s">
        <v>1598</v>
      </c>
      <c r="F334" s="768" t="s">
        <v>1441</v>
      </c>
      <c r="G334" s="769">
        <v>4.4000000000000004</v>
      </c>
      <c r="H334" s="769">
        <v>1</v>
      </c>
      <c r="I334" s="770">
        <f t="shared" si="30"/>
        <v>4.4000000000000004</v>
      </c>
      <c r="J334" s="758" t="s">
        <v>1513</v>
      </c>
      <c r="K334" s="760">
        <v>2</v>
      </c>
      <c r="L334" s="760">
        <v>25</v>
      </c>
      <c r="M334" s="771">
        <v>0.5</v>
      </c>
      <c r="N334" s="760">
        <f>L334/'Исп. коэффициенты'!E31*(C336+C337)</f>
        <v>1.418198320853188E-2</v>
      </c>
      <c r="O334" s="759"/>
      <c r="P334" s="759"/>
      <c r="Q334" s="759"/>
      <c r="R334" s="759"/>
      <c r="S334" s="759"/>
      <c r="T334" s="759"/>
      <c r="U334" s="759"/>
      <c r="V334" s="759"/>
      <c r="W334" s="759"/>
      <c r="X334" s="759"/>
      <c r="Y334" s="759"/>
      <c r="Z334" s="759"/>
      <c r="AA334" s="755"/>
      <c r="AB334" s="755"/>
      <c r="AC334" s="773"/>
      <c r="AD334" s="802"/>
      <c r="AF334" s="821"/>
      <c r="AG334" s="802"/>
      <c r="AH334" s="805"/>
      <c r="AI334" s="805"/>
      <c r="AJ334" s="822"/>
      <c r="AK334" s="805"/>
      <c r="AL334" s="806"/>
      <c r="AM334" s="805"/>
      <c r="AN334" s="805"/>
      <c r="AO334" s="807"/>
      <c r="AP334" s="805"/>
      <c r="AQ334" s="805"/>
      <c r="AR334" s="807"/>
      <c r="AS334" s="807"/>
      <c r="AT334" s="805"/>
      <c r="AU334" s="805"/>
      <c r="AV334" s="807"/>
      <c r="AW334" s="802"/>
    </row>
    <row r="335" spans="1:49" s="803" customFormat="1" ht="12.75" customHeight="1" x14ac:dyDescent="0.25">
      <c r="A335" s="1115"/>
      <c r="B335" s="754" t="s">
        <v>831</v>
      </c>
      <c r="C335" s="825"/>
      <c r="D335" s="820"/>
      <c r="E335" s="767" t="s">
        <v>1599</v>
      </c>
      <c r="F335" s="768" t="s">
        <v>1441</v>
      </c>
      <c r="G335" s="769">
        <v>77.28</v>
      </c>
      <c r="H335" s="768">
        <v>1</v>
      </c>
      <c r="I335" s="770">
        <f t="shared" si="30"/>
        <v>77.28</v>
      </c>
      <c r="J335" s="758"/>
      <c r="K335" s="760"/>
      <c r="L335" s="760"/>
      <c r="M335" s="760"/>
      <c r="N335" s="760"/>
      <c r="O335" s="759"/>
      <c r="P335" s="759"/>
      <c r="Q335" s="759"/>
      <c r="R335" s="759"/>
      <c r="S335" s="759"/>
      <c r="T335" s="759"/>
      <c r="U335" s="759"/>
      <c r="V335" s="759"/>
      <c r="W335" s="759"/>
      <c r="X335" s="759"/>
      <c r="Y335" s="759"/>
      <c r="Z335" s="759"/>
      <c r="AA335" s="755"/>
      <c r="AB335" s="755"/>
      <c r="AC335" s="773"/>
      <c r="AD335" s="802"/>
      <c r="AF335" s="821"/>
      <c r="AG335" s="802"/>
      <c r="AH335" s="805"/>
      <c r="AI335" s="805"/>
      <c r="AJ335" s="822"/>
      <c r="AK335" s="805"/>
      <c r="AL335" s="806"/>
      <c r="AM335" s="805"/>
      <c r="AN335" s="805"/>
      <c r="AO335" s="807"/>
      <c r="AP335" s="805"/>
      <c r="AQ335" s="805"/>
      <c r="AR335" s="807"/>
      <c r="AS335" s="807"/>
      <c r="AT335" s="805"/>
      <c r="AU335" s="805"/>
      <c r="AV335" s="807"/>
      <c r="AW335" s="802"/>
    </row>
    <row r="336" spans="1:49" s="803" customFormat="1" ht="12.75" customHeight="1" x14ac:dyDescent="0.25">
      <c r="A336" s="1115"/>
      <c r="B336" s="774" t="s">
        <v>1178</v>
      </c>
      <c r="C336" s="826">
        <v>2</v>
      </c>
      <c r="D336" s="820"/>
      <c r="E336" s="767" t="s">
        <v>1442</v>
      </c>
      <c r="F336" s="768" t="s">
        <v>1443</v>
      </c>
      <c r="G336" s="769">
        <v>419.5</v>
      </c>
      <c r="H336" s="768">
        <v>1E-3</v>
      </c>
      <c r="I336" s="770">
        <f t="shared" si="30"/>
        <v>0.41949999999999998</v>
      </c>
      <c r="J336" s="758"/>
      <c r="K336" s="760"/>
      <c r="L336" s="760"/>
      <c r="M336" s="760"/>
      <c r="N336" s="760"/>
      <c r="O336" s="759"/>
      <c r="P336" s="759"/>
      <c r="Q336" s="759"/>
      <c r="R336" s="759"/>
      <c r="S336" s="759"/>
      <c r="T336" s="759"/>
      <c r="U336" s="759"/>
      <c r="V336" s="759"/>
      <c r="W336" s="759"/>
      <c r="X336" s="759"/>
      <c r="Y336" s="759"/>
      <c r="Z336" s="759"/>
      <c r="AA336" s="755"/>
      <c r="AB336" s="755"/>
      <c r="AC336" s="773"/>
      <c r="AD336" s="802"/>
      <c r="AF336" s="821"/>
      <c r="AG336" s="802"/>
      <c r="AH336" s="805"/>
      <c r="AI336" s="805"/>
      <c r="AJ336" s="827"/>
      <c r="AK336" s="805"/>
      <c r="AL336" s="806"/>
      <c r="AM336" s="805"/>
      <c r="AN336" s="805"/>
      <c r="AO336" s="807"/>
      <c r="AP336" s="805"/>
      <c r="AQ336" s="805"/>
      <c r="AR336" s="807"/>
      <c r="AS336" s="807"/>
      <c r="AT336" s="805"/>
      <c r="AU336" s="805"/>
      <c r="AV336" s="807"/>
      <c r="AW336" s="802"/>
    </row>
    <row r="337" spans="1:49" s="803" customFormat="1" ht="12.75" customHeight="1" x14ac:dyDescent="0.25">
      <c r="A337" s="1115"/>
      <c r="B337" s="754" t="s">
        <v>1179</v>
      </c>
      <c r="C337" s="826">
        <v>2.5</v>
      </c>
      <c r="D337" s="820"/>
      <c r="E337" s="767" t="s">
        <v>1444</v>
      </c>
      <c r="F337" s="768" t="s">
        <v>1443</v>
      </c>
      <c r="G337" s="769">
        <v>872</v>
      </c>
      <c r="H337" s="768">
        <v>2E-3</v>
      </c>
      <c r="I337" s="770">
        <f t="shared" si="30"/>
        <v>1.744</v>
      </c>
      <c r="J337" s="758"/>
      <c r="K337" s="760"/>
      <c r="L337" s="760"/>
      <c r="M337" s="760"/>
      <c r="N337" s="760"/>
      <c r="O337" s="759"/>
      <c r="P337" s="759"/>
      <c r="Q337" s="759"/>
      <c r="R337" s="759"/>
      <c r="S337" s="759"/>
      <c r="T337" s="759"/>
      <c r="U337" s="759"/>
      <c r="V337" s="759"/>
      <c r="W337" s="759"/>
      <c r="X337" s="759"/>
      <c r="Y337" s="759"/>
      <c r="Z337" s="759"/>
      <c r="AA337" s="755"/>
      <c r="AB337" s="755"/>
      <c r="AC337" s="773"/>
      <c r="AD337" s="802"/>
      <c r="AF337" s="821"/>
      <c r="AG337" s="802"/>
      <c r="AH337" s="805"/>
      <c r="AI337" s="805"/>
      <c r="AJ337" s="827"/>
      <c r="AK337" s="805"/>
      <c r="AL337" s="806"/>
      <c r="AM337" s="805"/>
      <c r="AN337" s="805"/>
      <c r="AO337" s="807"/>
      <c r="AP337" s="805"/>
      <c r="AQ337" s="805"/>
      <c r="AR337" s="807"/>
      <c r="AS337" s="807"/>
      <c r="AT337" s="805"/>
      <c r="AU337" s="805"/>
      <c r="AV337" s="807"/>
      <c r="AW337" s="802"/>
    </row>
    <row r="338" spans="1:49" s="803" customFormat="1" ht="12.75" customHeight="1" x14ac:dyDescent="0.25">
      <c r="A338" s="1115"/>
      <c r="B338" s="782" t="s">
        <v>1181</v>
      </c>
      <c r="C338" s="799">
        <f>C333*C336+C334*C337</f>
        <v>133.48604126017125</v>
      </c>
      <c r="D338" s="820"/>
      <c r="E338" s="780"/>
      <c r="F338" s="781"/>
      <c r="G338" s="769"/>
      <c r="H338" s="768"/>
      <c r="I338" s="770"/>
      <c r="J338" s="758"/>
      <c r="K338" s="828"/>
      <c r="L338" s="776"/>
      <c r="M338" s="771"/>
      <c r="N338" s="760"/>
      <c r="O338" s="759"/>
      <c r="P338" s="759"/>
      <c r="Q338" s="759"/>
      <c r="R338" s="759"/>
      <c r="S338" s="759"/>
      <c r="T338" s="759"/>
      <c r="U338" s="759"/>
      <c r="V338" s="759"/>
      <c r="W338" s="759"/>
      <c r="X338" s="759"/>
      <c r="Y338" s="759"/>
      <c r="Z338" s="759"/>
      <c r="AA338" s="755"/>
      <c r="AB338" s="755"/>
      <c r="AC338" s="773"/>
      <c r="AD338" s="802"/>
      <c r="AF338" s="821"/>
      <c r="AG338" s="802"/>
      <c r="AH338" s="805"/>
      <c r="AI338" s="805"/>
      <c r="AJ338" s="822"/>
      <c r="AK338" s="805"/>
      <c r="AL338" s="806"/>
      <c r="AM338" s="805"/>
      <c r="AN338" s="805"/>
      <c r="AO338" s="807"/>
      <c r="AP338" s="805"/>
      <c r="AQ338" s="805"/>
      <c r="AR338" s="807"/>
      <c r="AS338" s="807"/>
      <c r="AT338" s="805"/>
      <c r="AU338" s="805"/>
      <c r="AV338" s="807"/>
      <c r="AW338" s="802"/>
    </row>
    <row r="339" spans="1:49" s="803" customFormat="1" ht="13.5" customHeight="1" x14ac:dyDescent="0.25">
      <c r="A339" s="1116"/>
      <c r="B339" s="783"/>
      <c r="C339" s="826"/>
      <c r="D339" s="829"/>
      <c r="E339" s="780"/>
      <c r="F339" s="781"/>
      <c r="G339" s="769"/>
      <c r="H339" s="768"/>
      <c r="I339" s="770"/>
      <c r="J339" s="758"/>
      <c r="K339" s="828"/>
      <c r="L339" s="760"/>
      <c r="M339" s="771"/>
      <c r="N339" s="760"/>
      <c r="O339" s="759"/>
      <c r="P339" s="759"/>
      <c r="Q339" s="759"/>
      <c r="R339" s="759"/>
      <c r="S339" s="759"/>
      <c r="T339" s="759"/>
      <c r="U339" s="759"/>
      <c r="V339" s="759"/>
      <c r="W339" s="759"/>
      <c r="X339" s="759"/>
      <c r="Y339" s="759"/>
      <c r="Z339" s="759"/>
      <c r="AA339" s="755"/>
      <c r="AB339" s="755"/>
      <c r="AC339" s="773"/>
      <c r="AD339" s="802"/>
      <c r="AF339" s="821"/>
      <c r="AG339" s="802"/>
      <c r="AH339" s="805"/>
      <c r="AI339" s="805"/>
      <c r="AJ339" s="827"/>
      <c r="AK339" s="805"/>
      <c r="AL339" s="806"/>
      <c r="AM339" s="805"/>
      <c r="AN339" s="805"/>
      <c r="AO339" s="807"/>
      <c r="AP339" s="805"/>
      <c r="AQ339" s="805"/>
      <c r="AR339" s="807"/>
      <c r="AS339" s="807"/>
      <c r="AT339" s="805"/>
      <c r="AU339" s="805"/>
      <c r="AV339" s="807"/>
      <c r="AW339" s="802"/>
    </row>
    <row r="340" spans="1:49" s="3" customFormat="1" ht="56.25" hidden="1" customHeight="1" x14ac:dyDescent="0.25">
      <c r="A340" s="1012" t="s">
        <v>1633</v>
      </c>
      <c r="B340" s="258" t="s">
        <v>742</v>
      </c>
      <c r="C340" s="222"/>
      <c r="D340" s="219"/>
      <c r="E340" s="226" t="s">
        <v>488</v>
      </c>
      <c r="F340" s="53" t="s">
        <v>837</v>
      </c>
      <c r="G340" s="51" t="s">
        <v>489</v>
      </c>
      <c r="H340" s="52" t="s">
        <v>1170</v>
      </c>
      <c r="I340" s="53" t="s">
        <v>838</v>
      </c>
      <c r="J340" s="47" t="s">
        <v>1171</v>
      </c>
      <c r="K340" s="47" t="s">
        <v>490</v>
      </c>
      <c r="L340" s="54" t="s">
        <v>489</v>
      </c>
      <c r="M340" s="47" t="s">
        <v>1172</v>
      </c>
      <c r="N340" s="53" t="s">
        <v>838</v>
      </c>
      <c r="O340" s="47" t="s">
        <v>1171</v>
      </c>
      <c r="P340" s="47" t="s">
        <v>826</v>
      </c>
      <c r="Q340" s="47" t="s">
        <v>1173</v>
      </c>
      <c r="R340" s="47" t="s">
        <v>1174</v>
      </c>
      <c r="S340" s="47" t="s">
        <v>839</v>
      </c>
      <c r="T340" s="47" t="s">
        <v>1171</v>
      </c>
      <c r="U340" s="47" t="s">
        <v>1392</v>
      </c>
      <c r="V340" s="47" t="s">
        <v>841</v>
      </c>
      <c r="W340" s="231" t="s">
        <v>1173</v>
      </c>
      <c r="X340" s="47" t="s">
        <v>1394</v>
      </c>
      <c r="Y340" s="47" t="s">
        <v>839</v>
      </c>
      <c r="Z340" s="55"/>
      <c r="AA340" s="1"/>
      <c r="AB340" s="1"/>
      <c r="AC340" s="245"/>
      <c r="AD340" s="56"/>
      <c r="AF340" s="81"/>
      <c r="AG340" s="56"/>
      <c r="AH340" s="125"/>
      <c r="AI340" s="125"/>
      <c r="AJ340" s="125"/>
      <c r="AK340" s="125"/>
      <c r="AL340" s="127"/>
      <c r="AM340" s="125"/>
      <c r="AN340" s="125"/>
      <c r="AO340" s="128"/>
      <c r="AP340" s="125"/>
      <c r="AQ340" s="139"/>
      <c r="AR340" s="139"/>
      <c r="AS340" s="139"/>
      <c r="AT340" s="125"/>
      <c r="AU340" s="125"/>
      <c r="AV340" s="128"/>
      <c r="AW340" s="56"/>
    </row>
    <row r="341" spans="1:49" s="3" customFormat="1" ht="12" hidden="1" customHeight="1" x14ac:dyDescent="0.25">
      <c r="A341" s="1013"/>
      <c r="B341" s="36" t="s">
        <v>1175</v>
      </c>
      <c r="C341" s="222">
        <f>C348</f>
        <v>72.348051582088885</v>
      </c>
      <c r="D341" s="219">
        <f>C341*$D$5</f>
        <v>14.614306419581956</v>
      </c>
      <c r="E341" s="227" t="s">
        <v>1176</v>
      </c>
      <c r="F341" s="165"/>
      <c r="G341" s="58"/>
      <c r="H341" s="58"/>
      <c r="I341" s="2">
        <f>SUM(I342:I349)</f>
        <v>83.8536</v>
      </c>
      <c r="J341" s="59" t="s">
        <v>1176</v>
      </c>
      <c r="K341" s="169"/>
      <c r="L341" s="60"/>
      <c r="M341" s="60"/>
      <c r="N341" s="61">
        <f>SUM(N342:N349)</f>
        <v>8.4000000000000005E-2</v>
      </c>
      <c r="O341" s="60" t="s">
        <v>1176</v>
      </c>
      <c r="P341" s="60"/>
      <c r="Q341" s="62"/>
      <c r="R341" s="63"/>
      <c r="S341" s="61">
        <f>SUM(S342:S349)</f>
        <v>9.7215000000000007</v>
      </c>
      <c r="T341" s="61"/>
      <c r="U341" s="61"/>
      <c r="V341" s="61"/>
      <c r="W341" s="61"/>
      <c r="X341" s="61"/>
      <c r="Y341" s="61">
        <f>SUM(Y342:Y349)</f>
        <v>9.1999999999999998E-3</v>
      </c>
      <c r="Z341" s="64">
        <f>(C341+D341+I341+N341+S341+Y341)*$Z$5</f>
        <v>234.85375847519541</v>
      </c>
      <c r="AA341" s="65">
        <f>C341+D341+I341+N341+S341+Y341+Z341</f>
        <v>415.48441647686622</v>
      </c>
      <c r="AB341" s="66">
        <v>0.25</v>
      </c>
      <c r="AC341" s="244">
        <f>AA341*(1+AB341)</f>
        <v>519.35552059608278</v>
      </c>
      <c r="AD341" s="67"/>
      <c r="AF341" s="81"/>
      <c r="AG341" s="56"/>
      <c r="AH341" s="125"/>
      <c r="AI341" s="139"/>
      <c r="AJ341" s="140"/>
      <c r="AK341" s="141"/>
      <c r="AL341" s="127"/>
      <c r="AM341" s="142"/>
      <c r="AN341" s="143"/>
      <c r="AO341" s="142"/>
      <c r="AP341" s="139"/>
      <c r="AQ341" s="139"/>
      <c r="AR341" s="139"/>
      <c r="AS341" s="139"/>
      <c r="AT341" s="139"/>
      <c r="AU341" s="142"/>
      <c r="AV341" s="142"/>
      <c r="AW341" s="144"/>
    </row>
    <row r="342" spans="1:49" s="3" customFormat="1" ht="12.75" hidden="1" customHeight="1" x14ac:dyDescent="0.25">
      <c r="A342" s="1013"/>
      <c r="B342" s="50" t="s">
        <v>830</v>
      </c>
      <c r="C342" s="222"/>
      <c r="D342" s="220"/>
      <c r="E342" s="68" t="s">
        <v>1437</v>
      </c>
      <c r="F342" s="69" t="s">
        <v>1438</v>
      </c>
      <c r="G342" s="70">
        <v>0.74</v>
      </c>
      <c r="H342" s="69">
        <v>0.01</v>
      </c>
      <c r="I342" s="71">
        <f t="shared" ref="I342:I347" si="31">G342*H342</f>
        <v>7.4000000000000003E-3</v>
      </c>
      <c r="J342" s="59" t="s">
        <v>1291</v>
      </c>
      <c r="K342" s="61">
        <v>2</v>
      </c>
      <c r="L342" s="61">
        <v>640</v>
      </c>
      <c r="M342" s="61">
        <v>2</v>
      </c>
      <c r="N342" s="61">
        <v>0.05</v>
      </c>
      <c r="O342" s="60" t="s">
        <v>1239</v>
      </c>
      <c r="P342" s="60">
        <v>61189.5</v>
      </c>
      <c r="Q342" s="60">
        <v>19.670000000000002</v>
      </c>
      <c r="R342" s="60">
        <v>6513.87</v>
      </c>
      <c r="S342" s="60">
        <v>9.7215000000000007</v>
      </c>
      <c r="T342" s="239" t="s">
        <v>1435</v>
      </c>
      <c r="U342" s="240">
        <v>6785401.3499999996</v>
      </c>
      <c r="V342" s="241">
        <v>1.32E-2</v>
      </c>
      <c r="W342" s="239">
        <v>1508.3</v>
      </c>
      <c r="X342" s="61">
        <v>59.38</v>
      </c>
      <c r="Y342" s="60">
        <v>9.1999999999999998E-3</v>
      </c>
      <c r="Z342" s="60"/>
      <c r="AA342" s="1"/>
      <c r="AB342" s="1"/>
      <c r="AC342" s="245"/>
      <c r="AD342" s="56"/>
      <c r="AF342" s="151"/>
      <c r="AG342" s="56"/>
      <c r="AH342" s="125"/>
      <c r="AI342" s="125"/>
      <c r="AJ342" s="136"/>
      <c r="AK342" s="125"/>
      <c r="AL342" s="127"/>
      <c r="AM342" s="125"/>
      <c r="AN342" s="125"/>
      <c r="AO342" s="128"/>
      <c r="AP342" s="125"/>
      <c r="AQ342" s="125"/>
      <c r="AR342" s="128"/>
      <c r="AS342" s="128"/>
      <c r="AT342" s="125"/>
      <c r="AU342" s="125"/>
      <c r="AV342" s="128"/>
      <c r="AW342" s="56"/>
    </row>
    <row r="343" spans="1:49" s="3" customFormat="1" hidden="1" x14ac:dyDescent="0.25">
      <c r="A343" s="1013"/>
      <c r="B343" s="74" t="s">
        <v>1178</v>
      </c>
      <c r="C343" s="223">
        <f>C333</f>
        <v>38.717865870069311</v>
      </c>
      <c r="D343" s="220"/>
      <c r="E343" s="68" t="s">
        <v>1439</v>
      </c>
      <c r="F343" s="69" t="s">
        <v>1438</v>
      </c>
      <c r="G343" s="70">
        <v>0.27</v>
      </c>
      <c r="H343" s="69">
        <v>0.01</v>
      </c>
      <c r="I343" s="242">
        <f t="shared" si="31"/>
        <v>2.7000000000000001E-3</v>
      </c>
      <c r="J343" s="59" t="s">
        <v>1445</v>
      </c>
      <c r="K343" s="61">
        <v>2</v>
      </c>
      <c r="L343" s="61">
        <v>84</v>
      </c>
      <c r="M343" s="61">
        <v>2</v>
      </c>
      <c r="N343" s="61">
        <v>8.9999999999999993E-3</v>
      </c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1"/>
      <c r="AB343" s="1"/>
      <c r="AC343" s="245"/>
      <c r="AD343" s="56"/>
      <c r="AF343" s="151"/>
      <c r="AG343" s="56"/>
      <c r="AH343" s="125"/>
      <c r="AI343" s="125"/>
      <c r="AJ343" s="136"/>
      <c r="AK343" s="125"/>
      <c r="AL343" s="127"/>
      <c r="AM343" s="145"/>
      <c r="AN343" s="125"/>
      <c r="AO343" s="128"/>
      <c r="AP343" s="125"/>
      <c r="AQ343" s="125"/>
      <c r="AR343" s="128"/>
      <c r="AS343" s="128"/>
      <c r="AT343" s="125"/>
      <c r="AU343" s="125"/>
      <c r="AV343" s="128"/>
      <c r="AW343" s="56"/>
    </row>
    <row r="344" spans="1:49" s="3" customFormat="1" ht="12.75" hidden="1" customHeight="1" x14ac:dyDescent="0.25">
      <c r="A344" s="1013"/>
      <c r="B344" s="57" t="s">
        <v>1179</v>
      </c>
      <c r="C344" s="222">
        <f>C334</f>
        <v>22.420123808013045</v>
      </c>
      <c r="D344" s="220"/>
      <c r="E344" s="68" t="s">
        <v>1598</v>
      </c>
      <c r="F344" s="69" t="s">
        <v>1441</v>
      </c>
      <c r="G344" s="70">
        <v>4.4000000000000004</v>
      </c>
      <c r="H344" s="70">
        <v>1</v>
      </c>
      <c r="I344" s="71">
        <f t="shared" si="31"/>
        <v>4.4000000000000004</v>
      </c>
      <c r="J344" s="59" t="s">
        <v>1513</v>
      </c>
      <c r="K344" s="61">
        <v>2</v>
      </c>
      <c r="L344" s="61">
        <v>25</v>
      </c>
      <c r="M344" s="61">
        <v>0.5</v>
      </c>
      <c r="N344" s="61">
        <v>2.5000000000000001E-2</v>
      </c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1"/>
      <c r="AB344" s="1"/>
      <c r="AC344" s="245"/>
      <c r="AD344" s="56"/>
      <c r="AF344" s="151"/>
      <c r="AG344" s="56"/>
      <c r="AH344" s="125"/>
      <c r="AI344" s="125"/>
      <c r="AJ344" s="136"/>
      <c r="AK344" s="125"/>
      <c r="AL344" s="127"/>
      <c r="AM344" s="125"/>
      <c r="AN344" s="125"/>
      <c r="AO344" s="128"/>
      <c r="AP344" s="125"/>
      <c r="AQ344" s="125"/>
      <c r="AR344" s="128"/>
      <c r="AS344" s="128"/>
      <c r="AT344" s="125"/>
      <c r="AU344" s="125"/>
      <c r="AV344" s="128"/>
      <c r="AW344" s="56"/>
    </row>
    <row r="345" spans="1:49" s="3" customFormat="1" ht="12.75" hidden="1" customHeight="1" x14ac:dyDescent="0.25">
      <c r="A345" s="1013"/>
      <c r="B345" s="57" t="s">
        <v>831</v>
      </c>
      <c r="C345" s="224"/>
      <c r="D345" s="220"/>
      <c r="E345" s="68" t="s">
        <v>1599</v>
      </c>
      <c r="F345" s="69" t="s">
        <v>1441</v>
      </c>
      <c r="G345" s="70">
        <v>77.28</v>
      </c>
      <c r="H345" s="69">
        <v>1</v>
      </c>
      <c r="I345" s="71">
        <f t="shared" si="31"/>
        <v>77.28</v>
      </c>
      <c r="J345" s="59"/>
      <c r="K345" s="61"/>
      <c r="L345" s="61"/>
      <c r="M345" s="61"/>
      <c r="N345" s="61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1"/>
      <c r="AB345" s="1"/>
      <c r="AC345" s="245"/>
      <c r="AD345" s="56"/>
      <c r="AF345" s="151"/>
      <c r="AG345" s="56"/>
      <c r="AH345" s="125"/>
      <c r="AI345" s="125"/>
      <c r="AJ345" s="136"/>
      <c r="AK345" s="125"/>
      <c r="AL345" s="127"/>
      <c r="AM345" s="125"/>
      <c r="AN345" s="125"/>
      <c r="AO345" s="128"/>
      <c r="AP345" s="125"/>
      <c r="AQ345" s="125"/>
      <c r="AR345" s="128"/>
      <c r="AS345" s="128"/>
      <c r="AT345" s="125"/>
      <c r="AU345" s="125"/>
      <c r="AV345" s="128"/>
      <c r="AW345" s="56"/>
    </row>
    <row r="346" spans="1:49" s="3" customFormat="1" ht="12.75" hidden="1" customHeight="1" x14ac:dyDescent="0.25">
      <c r="A346" s="1013"/>
      <c r="B346" s="74" t="s">
        <v>1178</v>
      </c>
      <c r="C346" s="225">
        <v>1</v>
      </c>
      <c r="D346" s="220"/>
      <c r="E346" s="68" t="s">
        <v>1442</v>
      </c>
      <c r="F346" s="69" t="s">
        <v>1443</v>
      </c>
      <c r="G346" s="70">
        <v>419.5</v>
      </c>
      <c r="H346" s="69">
        <v>1E-3</v>
      </c>
      <c r="I346" s="71">
        <f t="shared" si="31"/>
        <v>0.41949999999999998</v>
      </c>
      <c r="J346" s="59"/>
      <c r="K346" s="61"/>
      <c r="L346" s="61"/>
      <c r="M346" s="61"/>
      <c r="N346" s="61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1"/>
      <c r="AB346" s="1"/>
      <c r="AC346" s="245"/>
      <c r="AD346" s="56"/>
      <c r="AF346" s="151"/>
      <c r="AG346" s="56"/>
      <c r="AH346" s="125"/>
      <c r="AI346" s="125"/>
      <c r="AJ346" s="146"/>
      <c r="AK346" s="125"/>
      <c r="AL346" s="127"/>
      <c r="AM346" s="125"/>
      <c r="AN346" s="125"/>
      <c r="AO346" s="128"/>
      <c r="AP346" s="125"/>
      <c r="AQ346" s="125"/>
      <c r="AR346" s="128"/>
      <c r="AS346" s="128"/>
      <c r="AT346" s="125"/>
      <c r="AU346" s="125"/>
      <c r="AV346" s="128"/>
      <c r="AW346" s="56"/>
    </row>
    <row r="347" spans="1:49" s="3" customFormat="1" ht="12.75" hidden="1" customHeight="1" x14ac:dyDescent="0.25">
      <c r="A347" s="1013"/>
      <c r="B347" s="57" t="s">
        <v>1179</v>
      </c>
      <c r="C347" s="225">
        <v>1.5</v>
      </c>
      <c r="D347" s="220"/>
      <c r="E347" s="68" t="s">
        <v>1444</v>
      </c>
      <c r="F347" s="69" t="s">
        <v>1443</v>
      </c>
      <c r="G347" s="70">
        <v>872</v>
      </c>
      <c r="H347" s="69">
        <v>2E-3</v>
      </c>
      <c r="I347" s="71">
        <f t="shared" si="31"/>
        <v>1.744</v>
      </c>
      <c r="J347" s="59"/>
      <c r="K347" s="61"/>
      <c r="L347" s="61"/>
      <c r="M347" s="61"/>
      <c r="N347" s="61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1"/>
      <c r="AB347" s="1"/>
      <c r="AC347" s="245"/>
      <c r="AD347" s="56"/>
      <c r="AF347" s="151"/>
      <c r="AG347" s="56"/>
      <c r="AH347" s="125"/>
      <c r="AI347" s="125"/>
      <c r="AJ347" s="146"/>
      <c r="AK347" s="125"/>
      <c r="AL347" s="127"/>
      <c r="AM347" s="125"/>
      <c r="AN347" s="125"/>
      <c r="AO347" s="128"/>
      <c r="AP347" s="125"/>
      <c r="AQ347" s="125"/>
      <c r="AR347" s="128"/>
      <c r="AS347" s="128"/>
      <c r="AT347" s="125"/>
      <c r="AU347" s="125"/>
      <c r="AV347" s="128"/>
      <c r="AW347" s="56"/>
    </row>
    <row r="348" spans="1:49" s="3" customFormat="1" ht="12.75" hidden="1" customHeight="1" x14ac:dyDescent="0.25">
      <c r="A348" s="1013"/>
      <c r="B348" s="79" t="s">
        <v>1181</v>
      </c>
      <c r="C348" s="222">
        <f>C343*C346+C344*C347</f>
        <v>72.348051582088885</v>
      </c>
      <c r="D348" s="220"/>
      <c r="E348" s="228"/>
      <c r="F348" s="166"/>
      <c r="G348" s="70"/>
      <c r="H348" s="69"/>
      <c r="I348" s="71"/>
      <c r="J348" s="59"/>
      <c r="K348" s="170"/>
      <c r="L348" s="76"/>
      <c r="M348" s="72"/>
      <c r="N348" s="61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1"/>
      <c r="AB348" s="1"/>
      <c r="AC348" s="245"/>
      <c r="AD348" s="56"/>
      <c r="AF348" s="151"/>
      <c r="AG348" s="56"/>
      <c r="AH348" s="125"/>
      <c r="AI348" s="125"/>
      <c r="AJ348" s="136"/>
      <c r="AK348" s="125"/>
      <c r="AL348" s="127"/>
      <c r="AM348" s="125"/>
      <c r="AN348" s="125"/>
      <c r="AO348" s="128"/>
      <c r="AP348" s="125"/>
      <c r="AQ348" s="125"/>
      <c r="AR348" s="128"/>
      <c r="AS348" s="128"/>
      <c r="AT348" s="125"/>
      <c r="AU348" s="125"/>
      <c r="AV348" s="128"/>
      <c r="AW348" s="56"/>
    </row>
    <row r="349" spans="1:49" s="3" customFormat="1" ht="13.5" hidden="1" customHeight="1" x14ac:dyDescent="0.25">
      <c r="A349" s="1014"/>
      <c r="B349" s="123"/>
      <c r="C349" s="225"/>
      <c r="D349" s="221"/>
      <c r="E349" s="228"/>
      <c r="F349" s="166"/>
      <c r="G349" s="70"/>
      <c r="H349" s="69"/>
      <c r="I349" s="71"/>
      <c r="J349" s="59"/>
      <c r="K349" s="170"/>
      <c r="L349" s="61"/>
      <c r="M349" s="72"/>
      <c r="N349" s="61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1"/>
      <c r="AB349" s="1"/>
      <c r="AC349" s="245"/>
      <c r="AD349" s="56"/>
      <c r="AF349" s="151"/>
      <c r="AG349" s="56"/>
      <c r="AH349" s="125"/>
      <c r="AI349" s="125"/>
      <c r="AJ349" s="146"/>
      <c r="AK349" s="125"/>
      <c r="AL349" s="127"/>
      <c r="AM349" s="125"/>
      <c r="AN349" s="125"/>
      <c r="AO349" s="128"/>
      <c r="AP349" s="125"/>
      <c r="AQ349" s="125"/>
      <c r="AR349" s="128"/>
      <c r="AS349" s="128"/>
      <c r="AT349" s="125"/>
      <c r="AU349" s="125"/>
      <c r="AV349" s="128"/>
      <c r="AW349" s="56"/>
    </row>
    <row r="350" spans="1:49" s="803" customFormat="1" ht="56.25" customHeight="1" x14ac:dyDescent="0.25">
      <c r="A350" s="1114" t="s">
        <v>1634</v>
      </c>
      <c r="B350" s="778" t="s">
        <v>743</v>
      </c>
      <c r="C350" s="799"/>
      <c r="D350" s="800"/>
      <c r="E350" s="801" t="s">
        <v>488</v>
      </c>
      <c r="F350" s="792" t="s">
        <v>837</v>
      </c>
      <c r="G350" s="778" t="s">
        <v>489</v>
      </c>
      <c r="H350" s="791" t="s">
        <v>1170</v>
      </c>
      <c r="I350" s="792" t="s">
        <v>838</v>
      </c>
      <c r="J350" s="793" t="s">
        <v>1171</v>
      </c>
      <c r="K350" s="793" t="s">
        <v>490</v>
      </c>
      <c r="L350" s="794" t="s">
        <v>489</v>
      </c>
      <c r="M350" s="793" t="s">
        <v>1172</v>
      </c>
      <c r="N350" s="792" t="s">
        <v>838</v>
      </c>
      <c r="O350" s="793" t="s">
        <v>1171</v>
      </c>
      <c r="P350" s="793" t="s">
        <v>826</v>
      </c>
      <c r="Q350" s="793" t="s">
        <v>1173</v>
      </c>
      <c r="R350" s="793" t="s">
        <v>1174</v>
      </c>
      <c r="S350" s="793" t="s">
        <v>839</v>
      </c>
      <c r="T350" s="793" t="s">
        <v>1171</v>
      </c>
      <c r="U350" s="793" t="s">
        <v>1392</v>
      </c>
      <c r="V350" s="793" t="s">
        <v>841</v>
      </c>
      <c r="W350" s="795" t="s">
        <v>1173</v>
      </c>
      <c r="X350" s="793" t="s">
        <v>1394</v>
      </c>
      <c r="Y350" s="793" t="s">
        <v>839</v>
      </c>
      <c r="Z350" s="796"/>
      <c r="AA350" s="755"/>
      <c r="AB350" s="755"/>
      <c r="AC350" s="773"/>
      <c r="AD350" s="802"/>
      <c r="AF350" s="804"/>
      <c r="AG350" s="802"/>
      <c r="AH350" s="805"/>
      <c r="AI350" s="805"/>
      <c r="AJ350" s="805"/>
      <c r="AK350" s="805"/>
      <c r="AL350" s="806"/>
      <c r="AM350" s="805"/>
      <c r="AN350" s="805"/>
      <c r="AO350" s="807"/>
      <c r="AP350" s="805"/>
      <c r="AQ350" s="808"/>
      <c r="AR350" s="808"/>
      <c r="AS350" s="808"/>
      <c r="AT350" s="805"/>
      <c r="AU350" s="805"/>
      <c r="AV350" s="807"/>
      <c r="AW350" s="802"/>
    </row>
    <row r="351" spans="1:49" s="803" customFormat="1" ht="12" customHeight="1" x14ac:dyDescent="0.25">
      <c r="A351" s="1115"/>
      <c r="B351" s="752" t="s">
        <v>1175</v>
      </c>
      <c r="C351" s="799">
        <f>C358</f>
        <v>72.348051582088885</v>
      </c>
      <c r="D351" s="800">
        <f>C351*$D$5</f>
        <v>14.614306419581956</v>
      </c>
      <c r="E351" s="809" t="s">
        <v>1176</v>
      </c>
      <c r="F351" s="810"/>
      <c r="G351" s="756"/>
      <c r="H351" s="756"/>
      <c r="I351" s="757">
        <f>SUM(I352:I359)</f>
        <v>83.8536</v>
      </c>
      <c r="J351" s="758" t="s">
        <v>1176</v>
      </c>
      <c r="K351" s="811"/>
      <c r="L351" s="759"/>
      <c r="M351" s="759"/>
      <c r="N351" s="760">
        <f>SUM(N352:N359)</f>
        <v>0.27418500869828294</v>
      </c>
      <c r="O351" s="759" t="s">
        <v>1176</v>
      </c>
      <c r="P351" s="759"/>
      <c r="Q351" s="812"/>
      <c r="R351" s="813"/>
      <c r="S351" s="760">
        <f>SUM(S352:S359)</f>
        <v>0.17977397070317422</v>
      </c>
      <c r="T351" s="760"/>
      <c r="U351" s="760"/>
      <c r="V351" s="760"/>
      <c r="W351" s="760"/>
      <c r="X351" s="760"/>
      <c r="Y351" s="760">
        <f>SUM(Y352:Y359)</f>
        <v>11.63319193706981</v>
      </c>
      <c r="Z351" s="762">
        <f>(C351+D351+I351+N351+S351+Y351)*$Z$5</f>
        <v>237.80837118927158</v>
      </c>
      <c r="AA351" s="763">
        <f>C351+D351+I351+N351+S351+Y351+Z351</f>
        <v>420.71148010741365</v>
      </c>
      <c r="AB351" s="764">
        <v>0.25</v>
      </c>
      <c r="AC351" s="765">
        <f>AA351*(1+AB351)</f>
        <v>525.88935013426703</v>
      </c>
      <c r="AD351" s="814"/>
      <c r="AF351" s="804"/>
      <c r="AG351" s="802"/>
      <c r="AH351" s="805"/>
      <c r="AI351" s="808"/>
      <c r="AJ351" s="815"/>
      <c r="AK351" s="816"/>
      <c r="AL351" s="806"/>
      <c r="AM351" s="817"/>
      <c r="AN351" s="818"/>
      <c r="AO351" s="817"/>
      <c r="AP351" s="808"/>
      <c r="AQ351" s="808"/>
      <c r="AR351" s="808"/>
      <c r="AS351" s="808"/>
      <c r="AT351" s="808"/>
      <c r="AU351" s="817"/>
      <c r="AV351" s="817"/>
      <c r="AW351" s="819"/>
    </row>
    <row r="352" spans="1:49" s="803" customFormat="1" ht="12.75" customHeight="1" x14ac:dyDescent="0.25">
      <c r="A352" s="1115"/>
      <c r="B352" s="766" t="s">
        <v>830</v>
      </c>
      <c r="C352" s="799"/>
      <c r="D352" s="820"/>
      <c r="E352" s="767" t="s">
        <v>1437</v>
      </c>
      <c r="F352" s="768" t="s">
        <v>1438</v>
      </c>
      <c r="G352" s="769">
        <v>0.74</v>
      </c>
      <c r="H352" s="768">
        <v>0.01</v>
      </c>
      <c r="I352" s="770">
        <f t="shared" ref="I352:I357" si="32">G352*H352</f>
        <v>7.4000000000000003E-3</v>
      </c>
      <c r="J352" s="758" t="s">
        <v>1291</v>
      </c>
      <c r="K352" s="771">
        <v>2</v>
      </c>
      <c r="L352" s="772">
        <v>750</v>
      </c>
      <c r="M352" s="771">
        <v>2</v>
      </c>
      <c r="N352" s="760">
        <f>L352/'Исп. коэффициенты'!E31*(C356+C357)</f>
        <v>0.23636638680886463</v>
      </c>
      <c r="O352" s="759" t="s">
        <v>2200</v>
      </c>
      <c r="P352" s="759">
        <v>7250</v>
      </c>
      <c r="Q352" s="759">
        <v>19.670000000000002</v>
      </c>
      <c r="R352" s="759">
        <f>P352*Q352%</f>
        <v>1426.075</v>
      </c>
      <c r="S352" s="759">
        <f>R352/'Исп. коэффициенты'!E31*C356</f>
        <v>0.17977397070317422</v>
      </c>
      <c r="T352" s="755" t="s">
        <v>1435</v>
      </c>
      <c r="U352" s="756">
        <v>6785401.3499999996</v>
      </c>
      <c r="V352" s="785">
        <f>'Исп. коэффициенты'!E124</f>
        <v>2978.5</v>
      </c>
      <c r="W352" s="761">
        <f>'Исп. коэффициенты'!D124</f>
        <v>1.3599999999999999E-2</v>
      </c>
      <c r="X352" s="760">
        <f>U352*W352</f>
        <v>92281.45835999999</v>
      </c>
      <c r="Y352" s="759">
        <f>X352/'Исп. коэффициенты'!E31*C356</f>
        <v>11.63319193706981</v>
      </c>
      <c r="Z352" s="759"/>
      <c r="AA352" s="755"/>
      <c r="AB352" s="755"/>
      <c r="AC352" s="773"/>
      <c r="AD352" s="802"/>
      <c r="AF352" s="821"/>
      <c r="AG352" s="802"/>
      <c r="AH352" s="805"/>
      <c r="AI352" s="805"/>
      <c r="AJ352" s="822"/>
      <c r="AK352" s="805"/>
      <c r="AL352" s="806"/>
      <c r="AM352" s="805"/>
      <c r="AN352" s="805"/>
      <c r="AO352" s="807"/>
      <c r="AP352" s="805"/>
      <c r="AQ352" s="805"/>
      <c r="AR352" s="807"/>
      <c r="AS352" s="807"/>
      <c r="AT352" s="805"/>
      <c r="AU352" s="805"/>
      <c r="AV352" s="807"/>
      <c r="AW352" s="802"/>
    </row>
    <row r="353" spans="1:49" s="803" customFormat="1" x14ac:dyDescent="0.25">
      <c r="A353" s="1115"/>
      <c r="B353" s="774" t="s">
        <v>1178</v>
      </c>
      <c r="C353" s="823">
        <f>C343</f>
        <v>38.717865870069311</v>
      </c>
      <c r="D353" s="820"/>
      <c r="E353" s="767" t="s">
        <v>1439</v>
      </c>
      <c r="F353" s="768" t="s">
        <v>1438</v>
      </c>
      <c r="G353" s="769">
        <v>0.27</v>
      </c>
      <c r="H353" s="768">
        <v>0.01</v>
      </c>
      <c r="I353" s="775">
        <f t="shared" si="32"/>
        <v>2.7000000000000001E-3</v>
      </c>
      <c r="J353" s="758" t="s">
        <v>1445</v>
      </c>
      <c r="K353" s="760">
        <v>2</v>
      </c>
      <c r="L353" s="776">
        <v>95</v>
      </c>
      <c r="M353" s="771">
        <v>2</v>
      </c>
      <c r="N353" s="760">
        <f>L353/'Исп. коэффициенты'!E31*(C356+C357)</f>
        <v>2.9939742329122852E-2</v>
      </c>
      <c r="O353" s="759"/>
      <c r="P353" s="759"/>
      <c r="Q353" s="759"/>
      <c r="R353" s="759"/>
      <c r="S353" s="759"/>
      <c r="T353" s="759"/>
      <c r="U353" s="759"/>
      <c r="V353" s="759"/>
      <c r="W353" s="759"/>
      <c r="X353" s="759"/>
      <c r="Y353" s="759"/>
      <c r="Z353" s="759"/>
      <c r="AA353" s="755"/>
      <c r="AB353" s="755"/>
      <c r="AC353" s="773"/>
      <c r="AD353" s="802"/>
      <c r="AF353" s="821"/>
      <c r="AG353" s="802"/>
      <c r="AH353" s="805"/>
      <c r="AI353" s="805"/>
      <c r="AJ353" s="822"/>
      <c r="AK353" s="805"/>
      <c r="AL353" s="806"/>
      <c r="AM353" s="824"/>
      <c r="AN353" s="805"/>
      <c r="AO353" s="807"/>
      <c r="AP353" s="805"/>
      <c r="AQ353" s="805"/>
      <c r="AR353" s="807"/>
      <c r="AS353" s="807"/>
      <c r="AT353" s="805"/>
      <c r="AU353" s="805"/>
      <c r="AV353" s="807"/>
      <c r="AW353" s="802"/>
    </row>
    <row r="354" spans="1:49" s="803" customFormat="1" ht="12.75" customHeight="1" x14ac:dyDescent="0.25">
      <c r="A354" s="1115"/>
      <c r="B354" s="754" t="s">
        <v>1179</v>
      </c>
      <c r="C354" s="799">
        <f>C344</f>
        <v>22.420123808013045</v>
      </c>
      <c r="D354" s="820"/>
      <c r="E354" s="767" t="s">
        <v>1598</v>
      </c>
      <c r="F354" s="768" t="s">
        <v>1441</v>
      </c>
      <c r="G354" s="769">
        <v>4.4000000000000004</v>
      </c>
      <c r="H354" s="769">
        <v>1</v>
      </c>
      <c r="I354" s="770">
        <f t="shared" si="32"/>
        <v>4.4000000000000004</v>
      </c>
      <c r="J354" s="758" t="s">
        <v>1513</v>
      </c>
      <c r="K354" s="760">
        <v>2</v>
      </c>
      <c r="L354" s="760">
        <v>25</v>
      </c>
      <c r="M354" s="771">
        <v>0.5</v>
      </c>
      <c r="N354" s="760">
        <f>L354/'Исп. коэффициенты'!E31*(C356+C357)</f>
        <v>7.8788795602954889E-3</v>
      </c>
      <c r="O354" s="759"/>
      <c r="P354" s="759"/>
      <c r="Q354" s="759"/>
      <c r="R354" s="759"/>
      <c r="S354" s="759"/>
      <c r="T354" s="759"/>
      <c r="U354" s="759"/>
      <c r="V354" s="759"/>
      <c r="W354" s="759"/>
      <c r="X354" s="759"/>
      <c r="Y354" s="759"/>
      <c r="Z354" s="759"/>
      <c r="AA354" s="755"/>
      <c r="AB354" s="755"/>
      <c r="AC354" s="773"/>
      <c r="AD354" s="802"/>
      <c r="AF354" s="821"/>
      <c r="AG354" s="802"/>
      <c r="AH354" s="805"/>
      <c r="AI354" s="805"/>
      <c r="AJ354" s="822"/>
      <c r="AK354" s="805"/>
      <c r="AL354" s="806"/>
      <c r="AM354" s="805"/>
      <c r="AN354" s="805"/>
      <c r="AO354" s="807"/>
      <c r="AP354" s="805"/>
      <c r="AQ354" s="805"/>
      <c r="AR354" s="807"/>
      <c r="AS354" s="807"/>
      <c r="AT354" s="805"/>
      <c r="AU354" s="805"/>
      <c r="AV354" s="807"/>
      <c r="AW354" s="802"/>
    </row>
    <row r="355" spans="1:49" s="803" customFormat="1" ht="12.75" customHeight="1" x14ac:dyDescent="0.25">
      <c r="A355" s="1115"/>
      <c r="B355" s="754" t="s">
        <v>831</v>
      </c>
      <c r="C355" s="825"/>
      <c r="D355" s="820"/>
      <c r="E355" s="767" t="s">
        <v>1599</v>
      </c>
      <c r="F355" s="768" t="s">
        <v>1441</v>
      </c>
      <c r="G355" s="769">
        <v>77.28</v>
      </c>
      <c r="H355" s="768">
        <v>1</v>
      </c>
      <c r="I355" s="770">
        <f t="shared" si="32"/>
        <v>77.28</v>
      </c>
      <c r="J355" s="758"/>
      <c r="K355" s="760"/>
      <c r="L355" s="760"/>
      <c r="M355" s="760"/>
      <c r="N355" s="760"/>
      <c r="O355" s="759"/>
      <c r="P355" s="759"/>
      <c r="Q355" s="759"/>
      <c r="R355" s="759"/>
      <c r="S355" s="759"/>
      <c r="T355" s="759"/>
      <c r="U355" s="759"/>
      <c r="V355" s="759"/>
      <c r="W355" s="759"/>
      <c r="X355" s="759"/>
      <c r="Y355" s="759"/>
      <c r="Z355" s="759"/>
      <c r="AA355" s="755"/>
      <c r="AB355" s="755"/>
      <c r="AC355" s="773"/>
      <c r="AD355" s="802"/>
      <c r="AF355" s="821"/>
      <c r="AG355" s="802"/>
      <c r="AH355" s="805"/>
      <c r="AI355" s="805"/>
      <c r="AJ355" s="822"/>
      <c r="AK355" s="805"/>
      <c r="AL355" s="806"/>
      <c r="AM355" s="805"/>
      <c r="AN355" s="805"/>
      <c r="AO355" s="807"/>
      <c r="AP355" s="805"/>
      <c r="AQ355" s="805"/>
      <c r="AR355" s="807"/>
      <c r="AS355" s="807"/>
      <c r="AT355" s="805"/>
      <c r="AU355" s="805"/>
      <c r="AV355" s="807"/>
      <c r="AW355" s="802"/>
    </row>
    <row r="356" spans="1:49" s="803" customFormat="1" ht="12.75" customHeight="1" x14ac:dyDescent="0.25">
      <c r="A356" s="1115"/>
      <c r="B356" s="774" t="s">
        <v>1178</v>
      </c>
      <c r="C356" s="826">
        <v>1</v>
      </c>
      <c r="D356" s="820"/>
      <c r="E356" s="767" t="s">
        <v>1442</v>
      </c>
      <c r="F356" s="768" t="s">
        <v>1443</v>
      </c>
      <c r="G356" s="769">
        <v>419.5</v>
      </c>
      <c r="H356" s="768">
        <v>1E-3</v>
      </c>
      <c r="I356" s="770">
        <f t="shared" si="32"/>
        <v>0.41949999999999998</v>
      </c>
      <c r="J356" s="758"/>
      <c r="K356" s="760"/>
      <c r="L356" s="760"/>
      <c r="M356" s="760"/>
      <c r="N356" s="760"/>
      <c r="O356" s="759"/>
      <c r="P356" s="759"/>
      <c r="Q356" s="759"/>
      <c r="R356" s="759"/>
      <c r="S356" s="759"/>
      <c r="T356" s="759"/>
      <c r="U356" s="759"/>
      <c r="V356" s="759"/>
      <c r="W356" s="759"/>
      <c r="X356" s="759"/>
      <c r="Y356" s="759"/>
      <c r="Z356" s="759"/>
      <c r="AA356" s="755"/>
      <c r="AB356" s="755"/>
      <c r="AC356" s="773"/>
      <c r="AD356" s="802"/>
      <c r="AF356" s="821"/>
      <c r="AG356" s="802"/>
      <c r="AH356" s="805"/>
      <c r="AI356" s="805"/>
      <c r="AJ356" s="827"/>
      <c r="AK356" s="805"/>
      <c r="AL356" s="806"/>
      <c r="AM356" s="805"/>
      <c r="AN356" s="805"/>
      <c r="AO356" s="807"/>
      <c r="AP356" s="805"/>
      <c r="AQ356" s="805"/>
      <c r="AR356" s="807"/>
      <c r="AS356" s="807"/>
      <c r="AT356" s="805"/>
      <c r="AU356" s="805"/>
      <c r="AV356" s="807"/>
      <c r="AW356" s="802"/>
    </row>
    <row r="357" spans="1:49" s="803" customFormat="1" ht="12.75" customHeight="1" x14ac:dyDescent="0.25">
      <c r="A357" s="1115"/>
      <c r="B357" s="754" t="s">
        <v>1179</v>
      </c>
      <c r="C357" s="826">
        <v>1.5</v>
      </c>
      <c r="D357" s="820"/>
      <c r="E357" s="767" t="s">
        <v>1444</v>
      </c>
      <c r="F357" s="768" t="s">
        <v>1443</v>
      </c>
      <c r="G357" s="769">
        <v>872</v>
      </c>
      <c r="H357" s="768">
        <v>2E-3</v>
      </c>
      <c r="I357" s="770">
        <f t="shared" si="32"/>
        <v>1.744</v>
      </c>
      <c r="J357" s="758"/>
      <c r="K357" s="760"/>
      <c r="L357" s="760"/>
      <c r="M357" s="760"/>
      <c r="N357" s="760"/>
      <c r="O357" s="759"/>
      <c r="P357" s="759"/>
      <c r="Q357" s="759"/>
      <c r="R357" s="759"/>
      <c r="S357" s="759"/>
      <c r="T357" s="759"/>
      <c r="U357" s="759"/>
      <c r="V357" s="759"/>
      <c r="W357" s="759"/>
      <c r="X357" s="759"/>
      <c r="Y357" s="759"/>
      <c r="Z357" s="759"/>
      <c r="AA357" s="755"/>
      <c r="AB357" s="755"/>
      <c r="AC357" s="773"/>
      <c r="AD357" s="802"/>
      <c r="AF357" s="821"/>
      <c r="AG357" s="802"/>
      <c r="AH357" s="805"/>
      <c r="AI357" s="805"/>
      <c r="AJ357" s="827"/>
      <c r="AK357" s="805"/>
      <c r="AL357" s="806"/>
      <c r="AM357" s="805"/>
      <c r="AN357" s="805"/>
      <c r="AO357" s="807"/>
      <c r="AP357" s="805"/>
      <c r="AQ357" s="805"/>
      <c r="AR357" s="807"/>
      <c r="AS357" s="807"/>
      <c r="AT357" s="805"/>
      <c r="AU357" s="805"/>
      <c r="AV357" s="807"/>
      <c r="AW357" s="802"/>
    </row>
    <row r="358" spans="1:49" s="803" customFormat="1" ht="12.75" customHeight="1" x14ac:dyDescent="0.25">
      <c r="A358" s="1115"/>
      <c r="B358" s="782" t="s">
        <v>1181</v>
      </c>
      <c r="C358" s="799">
        <f>C353*C356+C354*C357</f>
        <v>72.348051582088885</v>
      </c>
      <c r="D358" s="820"/>
      <c r="E358" s="780"/>
      <c r="F358" s="781"/>
      <c r="G358" s="769"/>
      <c r="H358" s="768"/>
      <c r="I358" s="770"/>
      <c r="J358" s="758"/>
      <c r="K358" s="828"/>
      <c r="L358" s="776"/>
      <c r="M358" s="771"/>
      <c r="N358" s="760"/>
      <c r="O358" s="759"/>
      <c r="P358" s="759"/>
      <c r="Q358" s="759"/>
      <c r="R358" s="759"/>
      <c r="S358" s="759"/>
      <c r="T358" s="759"/>
      <c r="U358" s="759"/>
      <c r="V358" s="759"/>
      <c r="W358" s="759"/>
      <c r="X358" s="759"/>
      <c r="Y358" s="759"/>
      <c r="Z358" s="759"/>
      <c r="AA358" s="755"/>
      <c r="AB358" s="755"/>
      <c r="AC358" s="773"/>
      <c r="AD358" s="802"/>
      <c r="AF358" s="821"/>
      <c r="AG358" s="802"/>
      <c r="AH358" s="805"/>
      <c r="AI358" s="805"/>
      <c r="AJ358" s="822"/>
      <c r="AK358" s="805"/>
      <c r="AL358" s="806"/>
      <c r="AM358" s="805"/>
      <c r="AN358" s="805"/>
      <c r="AO358" s="807"/>
      <c r="AP358" s="805"/>
      <c r="AQ358" s="805"/>
      <c r="AR358" s="807"/>
      <c r="AS358" s="807"/>
      <c r="AT358" s="805"/>
      <c r="AU358" s="805"/>
      <c r="AV358" s="807"/>
      <c r="AW358" s="802"/>
    </row>
    <row r="359" spans="1:49" s="803" customFormat="1" ht="13.5" customHeight="1" x14ac:dyDescent="0.25">
      <c r="A359" s="1116"/>
      <c r="B359" s="783"/>
      <c r="C359" s="826"/>
      <c r="D359" s="829"/>
      <c r="E359" s="780"/>
      <c r="F359" s="781"/>
      <c r="G359" s="769"/>
      <c r="H359" s="768"/>
      <c r="I359" s="770"/>
      <c r="J359" s="758"/>
      <c r="K359" s="828"/>
      <c r="L359" s="760"/>
      <c r="M359" s="771"/>
      <c r="N359" s="760"/>
      <c r="O359" s="759"/>
      <c r="P359" s="759"/>
      <c r="Q359" s="759"/>
      <c r="R359" s="759"/>
      <c r="S359" s="759"/>
      <c r="T359" s="759"/>
      <c r="U359" s="759"/>
      <c r="V359" s="759"/>
      <c r="W359" s="759"/>
      <c r="X359" s="759"/>
      <c r="Y359" s="759"/>
      <c r="Z359" s="759"/>
      <c r="AA359" s="755"/>
      <c r="AB359" s="755"/>
      <c r="AC359" s="773"/>
      <c r="AD359" s="802"/>
      <c r="AF359" s="821"/>
      <c r="AG359" s="802"/>
      <c r="AH359" s="805"/>
      <c r="AI359" s="805"/>
      <c r="AJ359" s="827"/>
      <c r="AK359" s="805"/>
      <c r="AL359" s="806"/>
      <c r="AM359" s="805"/>
      <c r="AN359" s="805"/>
      <c r="AO359" s="807"/>
      <c r="AP359" s="805"/>
      <c r="AQ359" s="805"/>
      <c r="AR359" s="807"/>
      <c r="AS359" s="807"/>
      <c r="AT359" s="805"/>
      <c r="AU359" s="805"/>
      <c r="AV359" s="807"/>
      <c r="AW359" s="802"/>
    </row>
    <row r="360" spans="1:49" s="803" customFormat="1" ht="56.25" customHeight="1" x14ac:dyDescent="0.25">
      <c r="A360" s="1114" t="s">
        <v>1635</v>
      </c>
      <c r="B360" s="778" t="s">
        <v>744</v>
      </c>
      <c r="C360" s="799"/>
      <c r="D360" s="800"/>
      <c r="E360" s="801" t="s">
        <v>488</v>
      </c>
      <c r="F360" s="792" t="s">
        <v>837</v>
      </c>
      <c r="G360" s="778" t="s">
        <v>489</v>
      </c>
      <c r="H360" s="791" t="s">
        <v>1170</v>
      </c>
      <c r="I360" s="792" t="s">
        <v>838</v>
      </c>
      <c r="J360" s="793" t="s">
        <v>1171</v>
      </c>
      <c r="K360" s="793" t="s">
        <v>490</v>
      </c>
      <c r="L360" s="794" t="s">
        <v>489</v>
      </c>
      <c r="M360" s="793" t="s">
        <v>1172</v>
      </c>
      <c r="N360" s="792" t="s">
        <v>838</v>
      </c>
      <c r="O360" s="793" t="s">
        <v>1171</v>
      </c>
      <c r="P360" s="793" t="s">
        <v>826</v>
      </c>
      <c r="Q360" s="793" t="s">
        <v>1173</v>
      </c>
      <c r="R360" s="793" t="s">
        <v>1174</v>
      </c>
      <c r="S360" s="793" t="s">
        <v>839</v>
      </c>
      <c r="T360" s="793" t="s">
        <v>1171</v>
      </c>
      <c r="U360" s="793" t="s">
        <v>1392</v>
      </c>
      <c r="V360" s="793" t="s">
        <v>841</v>
      </c>
      <c r="W360" s="795" t="s">
        <v>1173</v>
      </c>
      <c r="X360" s="793" t="s">
        <v>1394</v>
      </c>
      <c r="Y360" s="793" t="s">
        <v>839</v>
      </c>
      <c r="Z360" s="796"/>
      <c r="AA360" s="755"/>
      <c r="AB360" s="755"/>
      <c r="AC360" s="773"/>
      <c r="AD360" s="802"/>
      <c r="AF360" s="804"/>
      <c r="AG360" s="802"/>
      <c r="AH360" s="805"/>
      <c r="AI360" s="805"/>
      <c r="AJ360" s="805"/>
      <c r="AK360" s="805"/>
      <c r="AL360" s="806"/>
      <c r="AM360" s="805"/>
      <c r="AN360" s="805"/>
      <c r="AO360" s="807"/>
      <c r="AP360" s="805"/>
      <c r="AQ360" s="808"/>
      <c r="AR360" s="808"/>
      <c r="AS360" s="808"/>
      <c r="AT360" s="805"/>
      <c r="AU360" s="805"/>
      <c r="AV360" s="807"/>
      <c r="AW360" s="802"/>
    </row>
    <row r="361" spans="1:49" s="803" customFormat="1" ht="12" customHeight="1" x14ac:dyDescent="0.25">
      <c r="A361" s="1115"/>
      <c r="B361" s="752" t="s">
        <v>1175</v>
      </c>
      <c r="C361" s="799">
        <f>C368</f>
        <v>133.48604126017125</v>
      </c>
      <c r="D361" s="800">
        <f>C361*$D$5</f>
        <v>26.964180334554595</v>
      </c>
      <c r="E361" s="809" t="s">
        <v>1176</v>
      </c>
      <c r="F361" s="810"/>
      <c r="G361" s="756"/>
      <c r="H361" s="756"/>
      <c r="I361" s="757">
        <f>SUM(I362:I369)</f>
        <v>83.8536</v>
      </c>
      <c r="J361" s="758" t="s">
        <v>1176</v>
      </c>
      <c r="K361" s="811"/>
      <c r="L361" s="759"/>
      <c r="M361" s="759"/>
      <c r="N361" s="760">
        <f>SUM(N362:N369)</f>
        <v>0.49353301565690938</v>
      </c>
      <c r="O361" s="759" t="s">
        <v>1176</v>
      </c>
      <c r="P361" s="759"/>
      <c r="Q361" s="812"/>
      <c r="R361" s="813"/>
      <c r="S361" s="760">
        <f>SUM(S362:S369)</f>
        <v>0.35954794140634844</v>
      </c>
      <c r="T361" s="760"/>
      <c r="U361" s="760"/>
      <c r="V361" s="760"/>
      <c r="W361" s="760"/>
      <c r="X361" s="760"/>
      <c r="Y361" s="760">
        <f>SUM(Y362:Y369)</f>
        <v>23.266383874139621</v>
      </c>
      <c r="Z361" s="762">
        <f>(C361+D361+I361+N361+S361+Y361)*$Z$5</f>
        <v>349.00065347052077</v>
      </c>
      <c r="AA361" s="763">
        <f>C361+D361+I361+N361+S361+Y361+Z361</f>
        <v>617.4239398964495</v>
      </c>
      <c r="AB361" s="764">
        <v>0.25</v>
      </c>
      <c r="AC361" s="765">
        <f>AA361*(1+AB361)</f>
        <v>771.7799248705619</v>
      </c>
      <c r="AD361" s="814"/>
      <c r="AF361" s="804"/>
      <c r="AG361" s="802"/>
      <c r="AH361" s="805"/>
      <c r="AI361" s="808"/>
      <c r="AJ361" s="815"/>
      <c r="AK361" s="816"/>
      <c r="AL361" s="806"/>
      <c r="AM361" s="817"/>
      <c r="AN361" s="818"/>
      <c r="AO361" s="817"/>
      <c r="AP361" s="808"/>
      <c r="AQ361" s="808"/>
      <c r="AR361" s="808"/>
      <c r="AS361" s="808"/>
      <c r="AT361" s="808"/>
      <c r="AU361" s="817"/>
      <c r="AV361" s="817"/>
      <c r="AW361" s="819"/>
    </row>
    <row r="362" spans="1:49" s="803" customFormat="1" ht="12.75" customHeight="1" x14ac:dyDescent="0.25">
      <c r="A362" s="1115"/>
      <c r="B362" s="766" t="s">
        <v>830</v>
      </c>
      <c r="C362" s="799"/>
      <c r="D362" s="820"/>
      <c r="E362" s="767" t="s">
        <v>1437</v>
      </c>
      <c r="F362" s="768" t="s">
        <v>1438</v>
      </c>
      <c r="G362" s="769">
        <v>0.74</v>
      </c>
      <c r="H362" s="768">
        <v>0.01</v>
      </c>
      <c r="I362" s="770">
        <f t="shared" ref="I362:I367" si="33">G362*H362</f>
        <v>7.4000000000000003E-3</v>
      </c>
      <c r="J362" s="758" t="s">
        <v>1291</v>
      </c>
      <c r="K362" s="771">
        <v>2</v>
      </c>
      <c r="L362" s="772">
        <v>750</v>
      </c>
      <c r="M362" s="771">
        <v>2</v>
      </c>
      <c r="N362" s="760">
        <f>L362/'Исп. коэффициенты'!E31*(C366+C367)</f>
        <v>0.42545949625595636</v>
      </c>
      <c r="O362" s="759" t="s">
        <v>2200</v>
      </c>
      <c r="P362" s="759">
        <v>7250</v>
      </c>
      <c r="Q362" s="759">
        <v>19.670000000000002</v>
      </c>
      <c r="R362" s="759">
        <f>P362*Q362%</f>
        <v>1426.075</v>
      </c>
      <c r="S362" s="759">
        <f>R362/'Исп. коэффициенты'!E31*C366</f>
        <v>0.35954794140634844</v>
      </c>
      <c r="T362" s="755" t="s">
        <v>1435</v>
      </c>
      <c r="U362" s="756">
        <v>6785401.3499999996</v>
      </c>
      <c r="V362" s="785">
        <f>'Исп. коэффициенты'!E124</f>
        <v>2978.5</v>
      </c>
      <c r="W362" s="761">
        <f>'Исп. коэффициенты'!D124</f>
        <v>1.3599999999999999E-2</v>
      </c>
      <c r="X362" s="760">
        <f>U362*W362</f>
        <v>92281.45835999999</v>
      </c>
      <c r="Y362" s="759">
        <f>X362/'Исп. коэффициенты'!E31*C366</f>
        <v>23.266383874139621</v>
      </c>
      <c r="Z362" s="759"/>
      <c r="AA362" s="755"/>
      <c r="AB362" s="755"/>
      <c r="AC362" s="773"/>
      <c r="AD362" s="802"/>
      <c r="AF362" s="821"/>
      <c r="AG362" s="802"/>
      <c r="AH362" s="805"/>
      <c r="AI362" s="805"/>
      <c r="AJ362" s="822"/>
      <c r="AK362" s="805"/>
      <c r="AL362" s="806"/>
      <c r="AM362" s="805"/>
      <c r="AN362" s="805"/>
      <c r="AO362" s="807"/>
      <c r="AP362" s="805"/>
      <c r="AQ362" s="805"/>
      <c r="AR362" s="807"/>
      <c r="AS362" s="807"/>
      <c r="AT362" s="805"/>
      <c r="AU362" s="805"/>
      <c r="AV362" s="807"/>
      <c r="AW362" s="802"/>
    </row>
    <row r="363" spans="1:49" s="803" customFormat="1" x14ac:dyDescent="0.25">
      <c r="A363" s="1115"/>
      <c r="B363" s="774" t="s">
        <v>1178</v>
      </c>
      <c r="C363" s="823">
        <f>C353</f>
        <v>38.717865870069311</v>
      </c>
      <c r="D363" s="820"/>
      <c r="E363" s="767" t="s">
        <v>1439</v>
      </c>
      <c r="F363" s="768" t="s">
        <v>1438</v>
      </c>
      <c r="G363" s="769">
        <v>0.27</v>
      </c>
      <c r="H363" s="768">
        <v>0.01</v>
      </c>
      <c r="I363" s="775">
        <f t="shared" si="33"/>
        <v>2.7000000000000001E-3</v>
      </c>
      <c r="J363" s="758" t="s">
        <v>1445</v>
      </c>
      <c r="K363" s="760">
        <v>2</v>
      </c>
      <c r="L363" s="776">
        <v>95</v>
      </c>
      <c r="M363" s="771">
        <v>2</v>
      </c>
      <c r="N363" s="760">
        <f>L363/'Исп. коэффициенты'!E31*(C366+C367)</f>
        <v>5.3891536192421138E-2</v>
      </c>
      <c r="O363" s="759"/>
      <c r="P363" s="759"/>
      <c r="Q363" s="759"/>
      <c r="R363" s="759"/>
      <c r="S363" s="759"/>
      <c r="T363" s="759"/>
      <c r="U363" s="759"/>
      <c r="V363" s="759"/>
      <c r="W363" s="759"/>
      <c r="X363" s="759"/>
      <c r="Y363" s="759"/>
      <c r="Z363" s="759"/>
      <c r="AA363" s="755"/>
      <c r="AB363" s="755"/>
      <c r="AC363" s="773"/>
      <c r="AD363" s="802"/>
      <c r="AF363" s="821"/>
      <c r="AG363" s="802"/>
      <c r="AH363" s="805"/>
      <c r="AI363" s="805"/>
      <c r="AJ363" s="822"/>
      <c r="AK363" s="805"/>
      <c r="AL363" s="806"/>
      <c r="AM363" s="824"/>
      <c r="AN363" s="805"/>
      <c r="AO363" s="807"/>
      <c r="AP363" s="805"/>
      <c r="AQ363" s="805"/>
      <c r="AR363" s="807"/>
      <c r="AS363" s="807"/>
      <c r="AT363" s="805"/>
      <c r="AU363" s="805"/>
      <c r="AV363" s="807"/>
      <c r="AW363" s="802"/>
    </row>
    <row r="364" spans="1:49" s="803" customFormat="1" ht="12.75" customHeight="1" x14ac:dyDescent="0.25">
      <c r="A364" s="1115"/>
      <c r="B364" s="754" t="s">
        <v>1179</v>
      </c>
      <c r="C364" s="799">
        <f>C354</f>
        <v>22.420123808013045</v>
      </c>
      <c r="D364" s="820"/>
      <c r="E364" s="767" t="s">
        <v>1598</v>
      </c>
      <c r="F364" s="768" t="s">
        <v>1441</v>
      </c>
      <c r="G364" s="769">
        <v>4.4000000000000004</v>
      </c>
      <c r="H364" s="769">
        <v>1</v>
      </c>
      <c r="I364" s="770">
        <f t="shared" si="33"/>
        <v>4.4000000000000004</v>
      </c>
      <c r="J364" s="758" t="s">
        <v>1513</v>
      </c>
      <c r="K364" s="760">
        <v>2</v>
      </c>
      <c r="L364" s="760">
        <v>25</v>
      </c>
      <c r="M364" s="771">
        <v>0.5</v>
      </c>
      <c r="N364" s="760">
        <f>L364/'Исп. коэффициенты'!E31*(C366+C367)</f>
        <v>1.418198320853188E-2</v>
      </c>
      <c r="O364" s="759"/>
      <c r="P364" s="759"/>
      <c r="Q364" s="759"/>
      <c r="R364" s="759"/>
      <c r="S364" s="759"/>
      <c r="T364" s="759"/>
      <c r="U364" s="759"/>
      <c r="V364" s="759"/>
      <c r="W364" s="759"/>
      <c r="X364" s="759"/>
      <c r="Y364" s="759"/>
      <c r="Z364" s="759"/>
      <c r="AA364" s="755"/>
      <c r="AB364" s="755"/>
      <c r="AC364" s="773"/>
      <c r="AD364" s="802"/>
      <c r="AF364" s="821"/>
      <c r="AG364" s="802"/>
      <c r="AH364" s="805"/>
      <c r="AI364" s="805"/>
      <c r="AJ364" s="822"/>
      <c r="AK364" s="805"/>
      <c r="AL364" s="806"/>
      <c r="AM364" s="805"/>
      <c r="AN364" s="805"/>
      <c r="AO364" s="807"/>
      <c r="AP364" s="805"/>
      <c r="AQ364" s="805"/>
      <c r="AR364" s="807"/>
      <c r="AS364" s="807"/>
      <c r="AT364" s="805"/>
      <c r="AU364" s="805"/>
      <c r="AV364" s="807"/>
      <c r="AW364" s="802"/>
    </row>
    <row r="365" spans="1:49" s="803" customFormat="1" ht="12.75" customHeight="1" x14ac:dyDescent="0.25">
      <c r="A365" s="1115"/>
      <c r="B365" s="754" t="s">
        <v>831</v>
      </c>
      <c r="C365" s="825"/>
      <c r="D365" s="820"/>
      <c r="E365" s="767" t="s">
        <v>1599</v>
      </c>
      <c r="F365" s="768" t="s">
        <v>1441</v>
      </c>
      <c r="G365" s="769">
        <v>77.28</v>
      </c>
      <c r="H365" s="768">
        <v>1</v>
      </c>
      <c r="I365" s="770">
        <f t="shared" si="33"/>
        <v>77.28</v>
      </c>
      <c r="J365" s="758"/>
      <c r="K365" s="760"/>
      <c r="L365" s="760"/>
      <c r="M365" s="760"/>
      <c r="N365" s="760"/>
      <c r="O365" s="759"/>
      <c r="P365" s="759"/>
      <c r="Q365" s="759"/>
      <c r="R365" s="759"/>
      <c r="S365" s="759"/>
      <c r="T365" s="759"/>
      <c r="U365" s="759"/>
      <c r="V365" s="759"/>
      <c r="W365" s="759"/>
      <c r="X365" s="759"/>
      <c r="Y365" s="759"/>
      <c r="Z365" s="759"/>
      <c r="AA365" s="755"/>
      <c r="AB365" s="755"/>
      <c r="AC365" s="773"/>
      <c r="AD365" s="802"/>
      <c r="AF365" s="821"/>
      <c r="AG365" s="802"/>
      <c r="AH365" s="805"/>
      <c r="AI365" s="805"/>
      <c r="AJ365" s="822"/>
      <c r="AK365" s="805"/>
      <c r="AL365" s="806"/>
      <c r="AM365" s="805"/>
      <c r="AN365" s="805"/>
      <c r="AO365" s="807"/>
      <c r="AP365" s="805"/>
      <c r="AQ365" s="805"/>
      <c r="AR365" s="807"/>
      <c r="AS365" s="807"/>
      <c r="AT365" s="805"/>
      <c r="AU365" s="805"/>
      <c r="AV365" s="807"/>
      <c r="AW365" s="802"/>
    </row>
    <row r="366" spans="1:49" s="803" customFormat="1" ht="12.75" customHeight="1" x14ac:dyDescent="0.25">
      <c r="A366" s="1115"/>
      <c r="B366" s="774" t="s">
        <v>1178</v>
      </c>
      <c r="C366" s="826">
        <v>2</v>
      </c>
      <c r="D366" s="820"/>
      <c r="E366" s="767" t="s">
        <v>1442</v>
      </c>
      <c r="F366" s="768" t="s">
        <v>1443</v>
      </c>
      <c r="G366" s="769">
        <v>419.5</v>
      </c>
      <c r="H366" s="768">
        <v>1E-3</v>
      </c>
      <c r="I366" s="770">
        <f t="shared" si="33"/>
        <v>0.41949999999999998</v>
      </c>
      <c r="J366" s="758"/>
      <c r="K366" s="760"/>
      <c r="L366" s="760"/>
      <c r="M366" s="760"/>
      <c r="N366" s="760"/>
      <c r="O366" s="759"/>
      <c r="P366" s="759"/>
      <c r="Q366" s="759"/>
      <c r="R366" s="759"/>
      <c r="S366" s="759"/>
      <c r="T366" s="759"/>
      <c r="U366" s="759"/>
      <c r="V366" s="759"/>
      <c r="W366" s="759"/>
      <c r="X366" s="759"/>
      <c r="Y366" s="759"/>
      <c r="Z366" s="759"/>
      <c r="AA366" s="755"/>
      <c r="AB366" s="755"/>
      <c r="AC366" s="773"/>
      <c r="AD366" s="802"/>
      <c r="AF366" s="821"/>
      <c r="AG366" s="802"/>
      <c r="AH366" s="805"/>
      <c r="AI366" s="805"/>
      <c r="AJ366" s="827"/>
      <c r="AK366" s="805"/>
      <c r="AL366" s="806"/>
      <c r="AM366" s="805"/>
      <c r="AN366" s="805"/>
      <c r="AO366" s="807"/>
      <c r="AP366" s="805"/>
      <c r="AQ366" s="805"/>
      <c r="AR366" s="807"/>
      <c r="AS366" s="807"/>
      <c r="AT366" s="805"/>
      <c r="AU366" s="805"/>
      <c r="AV366" s="807"/>
      <c r="AW366" s="802"/>
    </row>
    <row r="367" spans="1:49" s="803" customFormat="1" ht="12.75" customHeight="1" x14ac:dyDescent="0.25">
      <c r="A367" s="1115"/>
      <c r="B367" s="754" t="s">
        <v>1179</v>
      </c>
      <c r="C367" s="826">
        <v>2.5</v>
      </c>
      <c r="D367" s="820"/>
      <c r="E367" s="767" t="s">
        <v>1444</v>
      </c>
      <c r="F367" s="768" t="s">
        <v>1443</v>
      </c>
      <c r="G367" s="769">
        <v>872</v>
      </c>
      <c r="H367" s="768">
        <v>2E-3</v>
      </c>
      <c r="I367" s="770">
        <f t="shared" si="33"/>
        <v>1.744</v>
      </c>
      <c r="J367" s="758"/>
      <c r="K367" s="760"/>
      <c r="L367" s="760"/>
      <c r="M367" s="760"/>
      <c r="N367" s="760"/>
      <c r="O367" s="759"/>
      <c r="P367" s="759"/>
      <c r="Q367" s="759"/>
      <c r="R367" s="759"/>
      <c r="S367" s="759"/>
      <c r="T367" s="759"/>
      <c r="U367" s="759"/>
      <c r="V367" s="759"/>
      <c r="W367" s="759"/>
      <c r="X367" s="759"/>
      <c r="Y367" s="759"/>
      <c r="Z367" s="759"/>
      <c r="AA367" s="755"/>
      <c r="AB367" s="755"/>
      <c r="AC367" s="773"/>
      <c r="AD367" s="802"/>
      <c r="AF367" s="821"/>
      <c r="AG367" s="802"/>
      <c r="AH367" s="805"/>
      <c r="AI367" s="805"/>
      <c r="AJ367" s="827"/>
      <c r="AK367" s="805"/>
      <c r="AL367" s="806"/>
      <c r="AM367" s="805"/>
      <c r="AN367" s="805"/>
      <c r="AO367" s="807"/>
      <c r="AP367" s="805"/>
      <c r="AQ367" s="805"/>
      <c r="AR367" s="807"/>
      <c r="AS367" s="807"/>
      <c r="AT367" s="805"/>
      <c r="AU367" s="805"/>
      <c r="AV367" s="807"/>
      <c r="AW367" s="802"/>
    </row>
    <row r="368" spans="1:49" s="803" customFormat="1" ht="12.75" customHeight="1" x14ac:dyDescent="0.25">
      <c r="A368" s="1115"/>
      <c r="B368" s="782" t="s">
        <v>1181</v>
      </c>
      <c r="C368" s="799">
        <f>C363*C366+C364*C367</f>
        <v>133.48604126017125</v>
      </c>
      <c r="D368" s="820"/>
      <c r="E368" s="780"/>
      <c r="F368" s="781"/>
      <c r="G368" s="769"/>
      <c r="H368" s="768"/>
      <c r="I368" s="770"/>
      <c r="J368" s="758"/>
      <c r="K368" s="828"/>
      <c r="L368" s="776"/>
      <c r="M368" s="771"/>
      <c r="N368" s="760"/>
      <c r="O368" s="759"/>
      <c r="P368" s="759"/>
      <c r="Q368" s="759"/>
      <c r="R368" s="759"/>
      <c r="S368" s="759"/>
      <c r="T368" s="759"/>
      <c r="U368" s="759"/>
      <c r="V368" s="759"/>
      <c r="W368" s="759"/>
      <c r="X368" s="759"/>
      <c r="Y368" s="759"/>
      <c r="Z368" s="759"/>
      <c r="AA368" s="755"/>
      <c r="AB368" s="755"/>
      <c r="AC368" s="773"/>
      <c r="AD368" s="802"/>
      <c r="AF368" s="821"/>
      <c r="AG368" s="802"/>
      <c r="AH368" s="805"/>
      <c r="AI368" s="805"/>
      <c r="AJ368" s="822"/>
      <c r="AK368" s="805"/>
      <c r="AL368" s="806"/>
      <c r="AM368" s="805"/>
      <c r="AN368" s="805"/>
      <c r="AO368" s="807"/>
      <c r="AP368" s="805"/>
      <c r="AQ368" s="805"/>
      <c r="AR368" s="807"/>
      <c r="AS368" s="807"/>
      <c r="AT368" s="805"/>
      <c r="AU368" s="805"/>
      <c r="AV368" s="807"/>
      <c r="AW368" s="802"/>
    </row>
    <row r="369" spans="1:49" s="803" customFormat="1" ht="13.5" customHeight="1" x14ac:dyDescent="0.25">
      <c r="A369" s="1116"/>
      <c r="B369" s="783"/>
      <c r="C369" s="826"/>
      <c r="D369" s="829"/>
      <c r="E369" s="780"/>
      <c r="F369" s="781"/>
      <c r="G369" s="769"/>
      <c r="H369" s="768"/>
      <c r="I369" s="770"/>
      <c r="J369" s="758"/>
      <c r="K369" s="828"/>
      <c r="L369" s="760"/>
      <c r="M369" s="771"/>
      <c r="N369" s="760"/>
      <c r="O369" s="759"/>
      <c r="P369" s="759"/>
      <c r="Q369" s="759"/>
      <c r="R369" s="759"/>
      <c r="S369" s="759"/>
      <c r="T369" s="759"/>
      <c r="U369" s="759"/>
      <c r="V369" s="759"/>
      <c r="W369" s="759"/>
      <c r="X369" s="759"/>
      <c r="Y369" s="759"/>
      <c r="Z369" s="759"/>
      <c r="AA369" s="755"/>
      <c r="AB369" s="755"/>
      <c r="AC369" s="773"/>
      <c r="AD369" s="802"/>
      <c r="AF369" s="821"/>
      <c r="AG369" s="802"/>
      <c r="AH369" s="805"/>
      <c r="AI369" s="805"/>
      <c r="AJ369" s="827"/>
      <c r="AK369" s="805"/>
      <c r="AL369" s="806"/>
      <c r="AM369" s="805"/>
      <c r="AN369" s="805"/>
      <c r="AO369" s="807"/>
      <c r="AP369" s="805"/>
      <c r="AQ369" s="805"/>
      <c r="AR369" s="807"/>
      <c r="AS369" s="807"/>
      <c r="AT369" s="805"/>
      <c r="AU369" s="805"/>
      <c r="AV369" s="807"/>
      <c r="AW369" s="802"/>
    </row>
    <row r="370" spans="1:49" s="3" customFormat="1" ht="56.25" hidden="1" customHeight="1" x14ac:dyDescent="0.25">
      <c r="A370" s="1012" t="s">
        <v>745</v>
      </c>
      <c r="B370" s="258" t="s">
        <v>746</v>
      </c>
      <c r="C370" s="222"/>
      <c r="D370" s="219"/>
      <c r="E370" s="226" t="s">
        <v>488</v>
      </c>
      <c r="F370" s="53" t="s">
        <v>837</v>
      </c>
      <c r="G370" s="51" t="s">
        <v>489</v>
      </c>
      <c r="H370" s="52" t="s">
        <v>1170</v>
      </c>
      <c r="I370" s="53" t="s">
        <v>838</v>
      </c>
      <c r="J370" s="47" t="s">
        <v>1171</v>
      </c>
      <c r="K370" s="47" t="s">
        <v>490</v>
      </c>
      <c r="L370" s="54" t="s">
        <v>489</v>
      </c>
      <c r="M370" s="47" t="s">
        <v>1172</v>
      </c>
      <c r="N370" s="53" t="s">
        <v>838</v>
      </c>
      <c r="O370" s="47" t="s">
        <v>1171</v>
      </c>
      <c r="P370" s="47" t="s">
        <v>826</v>
      </c>
      <c r="Q370" s="47" t="s">
        <v>1173</v>
      </c>
      <c r="R370" s="47" t="s">
        <v>1174</v>
      </c>
      <c r="S370" s="47" t="s">
        <v>839</v>
      </c>
      <c r="T370" s="47" t="s">
        <v>1171</v>
      </c>
      <c r="U370" s="47" t="s">
        <v>1392</v>
      </c>
      <c r="V370" s="47" t="s">
        <v>841</v>
      </c>
      <c r="W370" s="231" t="s">
        <v>1173</v>
      </c>
      <c r="X370" s="47" t="s">
        <v>1394</v>
      </c>
      <c r="Y370" s="47" t="s">
        <v>839</v>
      </c>
      <c r="Z370" s="55"/>
      <c r="AA370" s="1"/>
      <c r="AB370" s="1"/>
      <c r="AC370" s="245"/>
      <c r="AD370" s="56"/>
      <c r="AF370" s="81"/>
      <c r="AG370" s="56"/>
      <c r="AH370" s="125"/>
      <c r="AI370" s="125"/>
      <c r="AJ370" s="125"/>
      <c r="AK370" s="125"/>
      <c r="AL370" s="127"/>
      <c r="AM370" s="125"/>
      <c r="AN370" s="125"/>
      <c r="AO370" s="128"/>
      <c r="AP370" s="125"/>
      <c r="AQ370" s="139"/>
      <c r="AR370" s="139"/>
      <c r="AS370" s="139"/>
      <c r="AT370" s="125"/>
      <c r="AU370" s="125"/>
      <c r="AV370" s="128"/>
      <c r="AW370" s="56"/>
    </row>
    <row r="371" spans="1:49" s="3" customFormat="1" ht="12" hidden="1" customHeight="1" x14ac:dyDescent="0.25">
      <c r="A371" s="1013"/>
      <c r="B371" s="36" t="s">
        <v>1175</v>
      </c>
      <c r="C371" s="222">
        <f>C378</f>
        <v>72.348051582088885</v>
      </c>
      <c r="D371" s="219">
        <f>C371*$D$5</f>
        <v>14.614306419581956</v>
      </c>
      <c r="E371" s="227" t="s">
        <v>1176</v>
      </c>
      <c r="F371" s="165"/>
      <c r="G371" s="58"/>
      <c r="H371" s="58"/>
      <c r="I371" s="2">
        <f>SUM(I372:I379)</f>
        <v>83.8536</v>
      </c>
      <c r="J371" s="59" t="s">
        <v>1176</v>
      </c>
      <c r="K371" s="169"/>
      <c r="L371" s="60"/>
      <c r="M371" s="60"/>
      <c r="N371" s="61">
        <f>SUM(N372:N379)</f>
        <v>8.4000000000000005E-2</v>
      </c>
      <c r="O371" s="60" t="s">
        <v>1176</v>
      </c>
      <c r="P371" s="60"/>
      <c r="Q371" s="62"/>
      <c r="R371" s="63"/>
      <c r="S371" s="61">
        <f>SUM(S372:S379)</f>
        <v>9.7215000000000007</v>
      </c>
      <c r="T371" s="61"/>
      <c r="U371" s="61"/>
      <c r="V371" s="61"/>
      <c r="W371" s="61"/>
      <c r="X371" s="61"/>
      <c r="Y371" s="61">
        <f>SUM(Y372:Y379)</f>
        <v>9.1999999999999998E-3</v>
      </c>
      <c r="Z371" s="64">
        <f>(C371+D371+I371+N371+Y371+S371)*$Z$5</f>
        <v>234.85375847519541</v>
      </c>
      <c r="AA371" s="65">
        <f>C371+D371+I371+N371+S371+Y371+Z371</f>
        <v>415.48441647686622</v>
      </c>
      <c r="AB371" s="66">
        <v>0.25</v>
      </c>
      <c r="AC371" s="244">
        <f>AA371*(1+AB371)</f>
        <v>519.35552059608278</v>
      </c>
      <c r="AD371" s="67"/>
      <c r="AF371" s="81"/>
      <c r="AG371" s="56"/>
      <c r="AH371" s="125"/>
      <c r="AI371" s="139"/>
      <c r="AJ371" s="140"/>
      <c r="AK371" s="141"/>
      <c r="AL371" s="127"/>
      <c r="AM371" s="142"/>
      <c r="AN371" s="143"/>
      <c r="AO371" s="142"/>
      <c r="AP371" s="139"/>
      <c r="AQ371" s="139"/>
      <c r="AR371" s="139"/>
      <c r="AS371" s="139"/>
      <c r="AT371" s="139"/>
      <c r="AU371" s="142"/>
      <c r="AV371" s="142"/>
      <c r="AW371" s="144"/>
    </row>
    <row r="372" spans="1:49" s="3" customFormat="1" ht="12.75" hidden="1" customHeight="1" x14ac:dyDescent="0.25">
      <c r="A372" s="1013"/>
      <c r="B372" s="50" t="s">
        <v>830</v>
      </c>
      <c r="C372" s="222"/>
      <c r="D372" s="220"/>
      <c r="E372" s="68" t="s">
        <v>1437</v>
      </c>
      <c r="F372" s="69" t="s">
        <v>1438</v>
      </c>
      <c r="G372" s="70">
        <v>0.74</v>
      </c>
      <c r="H372" s="69">
        <v>0.01</v>
      </c>
      <c r="I372" s="71">
        <f t="shared" ref="I372:I377" si="34">G372*H372</f>
        <v>7.4000000000000003E-3</v>
      </c>
      <c r="J372" s="59" t="s">
        <v>1291</v>
      </c>
      <c r="K372" s="61">
        <v>2</v>
      </c>
      <c r="L372" s="61">
        <v>640</v>
      </c>
      <c r="M372" s="61">
        <v>2</v>
      </c>
      <c r="N372" s="61">
        <v>0.05</v>
      </c>
      <c r="O372" s="60" t="s">
        <v>1239</v>
      </c>
      <c r="P372" s="60">
        <v>61189.5</v>
      </c>
      <c r="Q372" s="60">
        <v>19.670000000000002</v>
      </c>
      <c r="R372" s="60">
        <v>6513.87</v>
      </c>
      <c r="S372" s="60">
        <v>9.7215000000000007</v>
      </c>
      <c r="T372" s="239" t="s">
        <v>1435</v>
      </c>
      <c r="U372" s="240">
        <v>6785401.3499999996</v>
      </c>
      <c r="V372" s="241">
        <v>1.32E-2</v>
      </c>
      <c r="W372" s="239">
        <v>1508.3</v>
      </c>
      <c r="X372" s="61">
        <v>59.38</v>
      </c>
      <c r="Y372" s="60">
        <v>9.1999999999999998E-3</v>
      </c>
      <c r="Z372" s="60"/>
      <c r="AA372" s="1"/>
      <c r="AB372" s="1"/>
      <c r="AC372" s="245"/>
      <c r="AD372" s="56"/>
      <c r="AF372" s="151"/>
      <c r="AG372" s="56"/>
      <c r="AH372" s="125"/>
      <c r="AI372" s="125"/>
      <c r="AJ372" s="136"/>
      <c r="AK372" s="125"/>
      <c r="AL372" s="127"/>
      <c r="AM372" s="125"/>
      <c r="AN372" s="125"/>
      <c r="AO372" s="128"/>
      <c r="AP372" s="125"/>
      <c r="AQ372" s="125"/>
      <c r="AR372" s="128"/>
      <c r="AS372" s="128"/>
      <c r="AT372" s="125"/>
      <c r="AU372" s="125"/>
      <c r="AV372" s="128"/>
      <c r="AW372" s="56"/>
    </row>
    <row r="373" spans="1:49" s="3" customFormat="1" hidden="1" x14ac:dyDescent="0.25">
      <c r="A373" s="1013"/>
      <c r="B373" s="74" t="s">
        <v>1178</v>
      </c>
      <c r="C373" s="223">
        <f>C363</f>
        <v>38.717865870069311</v>
      </c>
      <c r="D373" s="220"/>
      <c r="E373" s="68" t="s">
        <v>1439</v>
      </c>
      <c r="F373" s="69" t="s">
        <v>1438</v>
      </c>
      <c r="G373" s="70">
        <v>0.27</v>
      </c>
      <c r="H373" s="69">
        <v>0.01</v>
      </c>
      <c r="I373" s="242">
        <f t="shared" si="34"/>
        <v>2.7000000000000001E-3</v>
      </c>
      <c r="J373" s="59" t="s">
        <v>1445</v>
      </c>
      <c r="K373" s="61">
        <v>2</v>
      </c>
      <c r="L373" s="61">
        <v>84</v>
      </c>
      <c r="M373" s="61">
        <v>2</v>
      </c>
      <c r="N373" s="61">
        <v>8.9999999999999993E-3</v>
      </c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1"/>
      <c r="AB373" s="1"/>
      <c r="AC373" s="245"/>
      <c r="AD373" s="56"/>
      <c r="AF373" s="151"/>
      <c r="AG373" s="56"/>
      <c r="AH373" s="125"/>
      <c r="AI373" s="125"/>
      <c r="AJ373" s="136"/>
      <c r="AK373" s="125"/>
      <c r="AL373" s="127"/>
      <c r="AM373" s="145"/>
      <c r="AN373" s="125"/>
      <c r="AO373" s="128"/>
      <c r="AP373" s="125"/>
      <c r="AQ373" s="125"/>
      <c r="AR373" s="128"/>
      <c r="AS373" s="128"/>
      <c r="AT373" s="125"/>
      <c r="AU373" s="125"/>
      <c r="AV373" s="128"/>
      <c r="AW373" s="56"/>
    </row>
    <row r="374" spans="1:49" s="3" customFormat="1" ht="12.75" hidden="1" customHeight="1" x14ac:dyDescent="0.25">
      <c r="A374" s="1013"/>
      <c r="B374" s="57" t="s">
        <v>1179</v>
      </c>
      <c r="C374" s="222">
        <f>C364</f>
        <v>22.420123808013045</v>
      </c>
      <c r="D374" s="220"/>
      <c r="E374" s="68" t="s">
        <v>1598</v>
      </c>
      <c r="F374" s="69" t="s">
        <v>1441</v>
      </c>
      <c r="G374" s="70">
        <v>4.4000000000000004</v>
      </c>
      <c r="H374" s="70">
        <v>1</v>
      </c>
      <c r="I374" s="71">
        <f t="shared" si="34"/>
        <v>4.4000000000000004</v>
      </c>
      <c r="J374" s="59" t="s">
        <v>1513</v>
      </c>
      <c r="K374" s="61">
        <v>2</v>
      </c>
      <c r="L374" s="61">
        <v>25</v>
      </c>
      <c r="M374" s="61">
        <v>0.5</v>
      </c>
      <c r="N374" s="61">
        <v>2.5000000000000001E-2</v>
      </c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1"/>
      <c r="AB374" s="1"/>
      <c r="AC374" s="245"/>
      <c r="AD374" s="56"/>
      <c r="AF374" s="151"/>
      <c r="AG374" s="56"/>
      <c r="AH374" s="125"/>
      <c r="AI374" s="125"/>
      <c r="AJ374" s="136"/>
      <c r="AK374" s="125"/>
      <c r="AL374" s="127"/>
      <c r="AM374" s="125"/>
      <c r="AN374" s="125"/>
      <c r="AO374" s="128"/>
      <c r="AP374" s="125"/>
      <c r="AQ374" s="125"/>
      <c r="AR374" s="128"/>
      <c r="AS374" s="128"/>
      <c r="AT374" s="125"/>
      <c r="AU374" s="125"/>
      <c r="AV374" s="128"/>
      <c r="AW374" s="56"/>
    </row>
    <row r="375" spans="1:49" s="3" customFormat="1" ht="12.75" hidden="1" customHeight="1" x14ac:dyDescent="0.25">
      <c r="A375" s="1013"/>
      <c r="B375" s="57" t="s">
        <v>831</v>
      </c>
      <c r="C375" s="224"/>
      <c r="D375" s="220"/>
      <c r="E375" s="68" t="s">
        <v>1599</v>
      </c>
      <c r="F375" s="69" t="s">
        <v>1441</v>
      </c>
      <c r="G375" s="70">
        <v>77.28</v>
      </c>
      <c r="H375" s="69">
        <v>1</v>
      </c>
      <c r="I375" s="71">
        <f t="shared" si="34"/>
        <v>77.28</v>
      </c>
      <c r="J375" s="59"/>
      <c r="K375" s="61"/>
      <c r="L375" s="61"/>
      <c r="M375" s="61"/>
      <c r="N375" s="61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1"/>
      <c r="AB375" s="1"/>
      <c r="AC375" s="245"/>
      <c r="AD375" s="56"/>
      <c r="AF375" s="151"/>
      <c r="AG375" s="56"/>
      <c r="AH375" s="125"/>
      <c r="AI375" s="125"/>
      <c r="AJ375" s="136"/>
      <c r="AK375" s="125"/>
      <c r="AL375" s="127"/>
      <c r="AM375" s="125"/>
      <c r="AN375" s="125"/>
      <c r="AO375" s="128"/>
      <c r="AP375" s="125"/>
      <c r="AQ375" s="125"/>
      <c r="AR375" s="128"/>
      <c r="AS375" s="128"/>
      <c r="AT375" s="125"/>
      <c r="AU375" s="125"/>
      <c r="AV375" s="128"/>
      <c r="AW375" s="56"/>
    </row>
    <row r="376" spans="1:49" s="3" customFormat="1" ht="12.75" hidden="1" customHeight="1" x14ac:dyDescent="0.25">
      <c r="A376" s="1013"/>
      <c r="B376" s="74" t="s">
        <v>1178</v>
      </c>
      <c r="C376" s="225">
        <v>1</v>
      </c>
      <c r="D376" s="220"/>
      <c r="E376" s="68" t="s">
        <v>1442</v>
      </c>
      <c r="F376" s="69" t="s">
        <v>1443</v>
      </c>
      <c r="G376" s="70">
        <v>419.5</v>
      </c>
      <c r="H376" s="69">
        <v>1E-3</v>
      </c>
      <c r="I376" s="71">
        <f t="shared" si="34"/>
        <v>0.41949999999999998</v>
      </c>
      <c r="J376" s="59"/>
      <c r="K376" s="61"/>
      <c r="L376" s="61"/>
      <c r="M376" s="61"/>
      <c r="N376" s="61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1"/>
      <c r="AB376" s="1"/>
      <c r="AC376" s="245"/>
      <c r="AD376" s="56"/>
      <c r="AF376" s="151"/>
      <c r="AG376" s="56"/>
      <c r="AH376" s="125"/>
      <c r="AI376" s="125"/>
      <c r="AJ376" s="146"/>
      <c r="AK376" s="125"/>
      <c r="AL376" s="127"/>
      <c r="AM376" s="125"/>
      <c r="AN376" s="125"/>
      <c r="AO376" s="128"/>
      <c r="AP376" s="125"/>
      <c r="AQ376" s="125"/>
      <c r="AR376" s="128"/>
      <c r="AS376" s="128"/>
      <c r="AT376" s="125"/>
      <c r="AU376" s="125"/>
      <c r="AV376" s="128"/>
      <c r="AW376" s="56"/>
    </row>
    <row r="377" spans="1:49" s="3" customFormat="1" ht="12.75" hidden="1" customHeight="1" x14ac:dyDescent="0.25">
      <c r="A377" s="1013"/>
      <c r="B377" s="57" t="s">
        <v>1179</v>
      </c>
      <c r="C377" s="225">
        <v>1.5</v>
      </c>
      <c r="D377" s="220"/>
      <c r="E377" s="68" t="s">
        <v>1444</v>
      </c>
      <c r="F377" s="69" t="s">
        <v>1443</v>
      </c>
      <c r="G377" s="70">
        <v>872</v>
      </c>
      <c r="H377" s="69">
        <v>2E-3</v>
      </c>
      <c r="I377" s="71">
        <f t="shared" si="34"/>
        <v>1.744</v>
      </c>
      <c r="J377" s="59"/>
      <c r="K377" s="61"/>
      <c r="L377" s="61"/>
      <c r="M377" s="61"/>
      <c r="N377" s="61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1"/>
      <c r="AB377" s="1"/>
      <c r="AC377" s="245"/>
      <c r="AD377" s="56"/>
      <c r="AF377" s="151"/>
      <c r="AG377" s="56"/>
      <c r="AH377" s="125"/>
      <c r="AI377" s="125"/>
      <c r="AJ377" s="146"/>
      <c r="AK377" s="125"/>
      <c r="AL377" s="127"/>
      <c r="AM377" s="125"/>
      <c r="AN377" s="125"/>
      <c r="AO377" s="128"/>
      <c r="AP377" s="125"/>
      <c r="AQ377" s="125"/>
      <c r="AR377" s="128"/>
      <c r="AS377" s="128"/>
      <c r="AT377" s="125"/>
      <c r="AU377" s="125"/>
      <c r="AV377" s="128"/>
      <c r="AW377" s="56"/>
    </row>
    <row r="378" spans="1:49" s="3" customFormat="1" ht="12.75" hidden="1" customHeight="1" x14ac:dyDescent="0.25">
      <c r="A378" s="1013"/>
      <c r="B378" s="79" t="s">
        <v>1181</v>
      </c>
      <c r="C378" s="222">
        <f>C373*C376+C374*C377</f>
        <v>72.348051582088885</v>
      </c>
      <c r="D378" s="220"/>
      <c r="E378" s="228"/>
      <c r="F378" s="166"/>
      <c r="G378" s="70"/>
      <c r="H378" s="69"/>
      <c r="I378" s="71"/>
      <c r="J378" s="59"/>
      <c r="K378" s="170"/>
      <c r="L378" s="76"/>
      <c r="M378" s="72"/>
      <c r="N378" s="61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1"/>
      <c r="AB378" s="1"/>
      <c r="AC378" s="245"/>
      <c r="AD378" s="56"/>
      <c r="AF378" s="151"/>
      <c r="AG378" s="56"/>
      <c r="AH378" s="125"/>
      <c r="AI378" s="125"/>
      <c r="AJ378" s="136"/>
      <c r="AK378" s="125"/>
      <c r="AL378" s="127"/>
      <c r="AM378" s="125"/>
      <c r="AN378" s="125"/>
      <c r="AO378" s="128"/>
      <c r="AP378" s="125"/>
      <c r="AQ378" s="125"/>
      <c r="AR378" s="128"/>
      <c r="AS378" s="128"/>
      <c r="AT378" s="125"/>
      <c r="AU378" s="125"/>
      <c r="AV378" s="128"/>
      <c r="AW378" s="56"/>
    </row>
    <row r="379" spans="1:49" s="3" customFormat="1" ht="13.5" hidden="1" customHeight="1" x14ac:dyDescent="0.25">
      <c r="A379" s="1014"/>
      <c r="B379" s="123"/>
      <c r="C379" s="225"/>
      <c r="D379" s="221"/>
      <c r="E379" s="228"/>
      <c r="F379" s="166"/>
      <c r="G379" s="70"/>
      <c r="H379" s="69"/>
      <c r="I379" s="71"/>
      <c r="J379" s="59"/>
      <c r="K379" s="170"/>
      <c r="L379" s="61"/>
      <c r="M379" s="72"/>
      <c r="N379" s="61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1"/>
      <c r="AB379" s="1"/>
      <c r="AC379" s="245"/>
      <c r="AD379" s="56"/>
      <c r="AF379" s="151"/>
      <c r="AG379" s="56"/>
      <c r="AH379" s="125"/>
      <c r="AI379" s="125"/>
      <c r="AJ379" s="146"/>
      <c r="AK379" s="125"/>
      <c r="AL379" s="127"/>
      <c r="AM379" s="125"/>
      <c r="AN379" s="125"/>
      <c r="AO379" s="128"/>
      <c r="AP379" s="125"/>
      <c r="AQ379" s="125"/>
      <c r="AR379" s="128"/>
      <c r="AS379" s="128"/>
      <c r="AT379" s="125"/>
      <c r="AU379" s="125"/>
      <c r="AV379" s="128"/>
      <c r="AW379" s="56"/>
    </row>
    <row r="380" spans="1:49" s="803" customFormat="1" ht="56.25" customHeight="1" x14ac:dyDescent="0.25">
      <c r="A380" s="1114" t="s">
        <v>2201</v>
      </c>
      <c r="B380" s="778" t="s">
        <v>747</v>
      </c>
      <c r="C380" s="799"/>
      <c r="D380" s="800"/>
      <c r="E380" s="801" t="s">
        <v>488</v>
      </c>
      <c r="F380" s="792" t="s">
        <v>837</v>
      </c>
      <c r="G380" s="778" t="s">
        <v>489</v>
      </c>
      <c r="H380" s="791" t="s">
        <v>1170</v>
      </c>
      <c r="I380" s="792" t="s">
        <v>838</v>
      </c>
      <c r="J380" s="793" t="s">
        <v>1171</v>
      </c>
      <c r="K380" s="793" t="s">
        <v>490</v>
      </c>
      <c r="L380" s="794" t="s">
        <v>489</v>
      </c>
      <c r="M380" s="793" t="s">
        <v>1172</v>
      </c>
      <c r="N380" s="792" t="s">
        <v>838</v>
      </c>
      <c r="O380" s="793" t="s">
        <v>1171</v>
      </c>
      <c r="P380" s="793" t="s">
        <v>826</v>
      </c>
      <c r="Q380" s="793" t="s">
        <v>1173</v>
      </c>
      <c r="R380" s="793" t="s">
        <v>1174</v>
      </c>
      <c r="S380" s="793" t="s">
        <v>839</v>
      </c>
      <c r="T380" s="793" t="s">
        <v>1171</v>
      </c>
      <c r="U380" s="793" t="s">
        <v>1392</v>
      </c>
      <c r="V380" s="793" t="s">
        <v>841</v>
      </c>
      <c r="W380" s="795" t="s">
        <v>1173</v>
      </c>
      <c r="X380" s="793" t="s">
        <v>1394</v>
      </c>
      <c r="Y380" s="793" t="s">
        <v>839</v>
      </c>
      <c r="Z380" s="796"/>
      <c r="AA380" s="755"/>
      <c r="AB380" s="755"/>
      <c r="AC380" s="773"/>
      <c r="AD380" s="802"/>
      <c r="AF380" s="804"/>
      <c r="AG380" s="802"/>
      <c r="AH380" s="805"/>
      <c r="AI380" s="805"/>
      <c r="AJ380" s="805"/>
      <c r="AK380" s="805"/>
      <c r="AL380" s="806"/>
      <c r="AM380" s="805"/>
      <c r="AN380" s="805"/>
      <c r="AO380" s="807"/>
      <c r="AP380" s="805"/>
      <c r="AQ380" s="808"/>
      <c r="AR380" s="808"/>
      <c r="AS380" s="808"/>
      <c r="AT380" s="805"/>
      <c r="AU380" s="805"/>
      <c r="AV380" s="807"/>
      <c r="AW380" s="802"/>
    </row>
    <row r="381" spans="1:49" s="803" customFormat="1" ht="12" customHeight="1" x14ac:dyDescent="0.25">
      <c r="A381" s="1115"/>
      <c r="B381" s="752" t="s">
        <v>1175</v>
      </c>
      <c r="C381" s="799">
        <f>C388</f>
        <v>102.91704642113005</v>
      </c>
      <c r="D381" s="800">
        <f>C381*$D$5</f>
        <v>20.789243377068271</v>
      </c>
      <c r="E381" s="809" t="s">
        <v>1176</v>
      </c>
      <c r="F381" s="810"/>
      <c r="G381" s="756"/>
      <c r="H381" s="756"/>
      <c r="I381" s="757">
        <f>SUM(I382:I389)</f>
        <v>83.8536</v>
      </c>
      <c r="J381" s="758" t="s">
        <v>1176</v>
      </c>
      <c r="K381" s="811"/>
      <c r="L381" s="759"/>
      <c r="M381" s="759"/>
      <c r="N381" s="760">
        <f>SUM(N382:N389)</f>
        <v>0.38385901217759616</v>
      </c>
      <c r="O381" s="759" t="s">
        <v>1176</v>
      </c>
      <c r="P381" s="759"/>
      <c r="Q381" s="812"/>
      <c r="R381" s="813"/>
      <c r="S381" s="760">
        <f>SUM(S382:S389)</f>
        <v>0.26966095605476131</v>
      </c>
      <c r="T381" s="760"/>
      <c r="U381" s="760"/>
      <c r="V381" s="760"/>
      <c r="W381" s="760"/>
      <c r="X381" s="760"/>
      <c r="Y381" s="760">
        <f>SUM(Y382:Y389)</f>
        <v>17.449787905604715</v>
      </c>
      <c r="Z381" s="762">
        <f>(C381+D381+I381+N381+S381+Y381)*$Z$5</f>
        <v>293.40451232989619</v>
      </c>
      <c r="AA381" s="763">
        <f>C381+D381+I381+N381+S381+Y381+Z381</f>
        <v>519.06771000193157</v>
      </c>
      <c r="AB381" s="764">
        <v>0.25</v>
      </c>
      <c r="AC381" s="765">
        <f>AA381*(1+AB381)</f>
        <v>648.83463750241447</v>
      </c>
      <c r="AD381" s="814"/>
      <c r="AF381" s="804"/>
      <c r="AG381" s="802"/>
      <c r="AH381" s="805"/>
      <c r="AI381" s="808"/>
      <c r="AJ381" s="815"/>
      <c r="AK381" s="816"/>
      <c r="AL381" s="806"/>
      <c r="AM381" s="817"/>
      <c r="AN381" s="818"/>
      <c r="AO381" s="817"/>
      <c r="AP381" s="808"/>
      <c r="AQ381" s="808"/>
      <c r="AR381" s="808"/>
      <c r="AS381" s="808"/>
      <c r="AT381" s="808"/>
      <c r="AU381" s="817"/>
      <c r="AV381" s="817"/>
      <c r="AW381" s="819"/>
    </row>
    <row r="382" spans="1:49" s="803" customFormat="1" ht="12.75" customHeight="1" x14ac:dyDescent="0.25">
      <c r="A382" s="1115"/>
      <c r="B382" s="766" t="s">
        <v>830</v>
      </c>
      <c r="C382" s="799"/>
      <c r="D382" s="820"/>
      <c r="E382" s="767" t="s">
        <v>1437</v>
      </c>
      <c r="F382" s="768" t="s">
        <v>1438</v>
      </c>
      <c r="G382" s="769">
        <v>0.74</v>
      </c>
      <c r="H382" s="768">
        <v>0.01</v>
      </c>
      <c r="I382" s="770">
        <f t="shared" ref="I382:I387" si="35">G382*H382</f>
        <v>7.4000000000000003E-3</v>
      </c>
      <c r="J382" s="758" t="s">
        <v>1291</v>
      </c>
      <c r="K382" s="771">
        <v>2</v>
      </c>
      <c r="L382" s="772">
        <v>750</v>
      </c>
      <c r="M382" s="771">
        <v>2</v>
      </c>
      <c r="N382" s="760">
        <f>L382/'Исп. коэффициенты'!E31*(C386+C387)</f>
        <v>0.33091294153241047</v>
      </c>
      <c r="O382" s="759" t="s">
        <v>2200</v>
      </c>
      <c r="P382" s="759">
        <v>7250</v>
      </c>
      <c r="Q382" s="759">
        <v>19.670000000000002</v>
      </c>
      <c r="R382" s="759">
        <f>P382*Q382%</f>
        <v>1426.075</v>
      </c>
      <c r="S382" s="759">
        <f>R382/'Исп. коэффициенты'!E31*C386</f>
        <v>0.26966095605476131</v>
      </c>
      <c r="T382" s="755" t="s">
        <v>1435</v>
      </c>
      <c r="U382" s="756">
        <v>6785401.3499999996</v>
      </c>
      <c r="V382" s="785">
        <f>'Исп. коэффициенты'!E124</f>
        <v>2978.5</v>
      </c>
      <c r="W382" s="761">
        <f>'Исп. коэффициенты'!D124</f>
        <v>1.3599999999999999E-2</v>
      </c>
      <c r="X382" s="760">
        <f>U382*W382</f>
        <v>92281.45835999999</v>
      </c>
      <c r="Y382" s="759">
        <f>X382/'Исп. коэффициенты'!E31*C386</f>
        <v>17.449787905604715</v>
      </c>
      <c r="Z382" s="759"/>
      <c r="AA382" s="755"/>
      <c r="AB382" s="755"/>
      <c r="AC382" s="773"/>
      <c r="AD382" s="802"/>
      <c r="AF382" s="821"/>
      <c r="AG382" s="802"/>
      <c r="AH382" s="805"/>
      <c r="AI382" s="805"/>
      <c r="AJ382" s="822"/>
      <c r="AK382" s="805"/>
      <c r="AL382" s="806"/>
      <c r="AM382" s="805"/>
      <c r="AN382" s="805"/>
      <c r="AO382" s="807"/>
      <c r="AP382" s="805"/>
      <c r="AQ382" s="805"/>
      <c r="AR382" s="807"/>
      <c r="AS382" s="807"/>
      <c r="AT382" s="805"/>
      <c r="AU382" s="805"/>
      <c r="AV382" s="807"/>
      <c r="AW382" s="802"/>
    </row>
    <row r="383" spans="1:49" s="803" customFormat="1" x14ac:dyDescent="0.25">
      <c r="A383" s="1115"/>
      <c r="B383" s="774" t="s">
        <v>1178</v>
      </c>
      <c r="C383" s="823">
        <f>C373</f>
        <v>38.717865870069311</v>
      </c>
      <c r="D383" s="820"/>
      <c r="E383" s="767" t="s">
        <v>1439</v>
      </c>
      <c r="F383" s="768" t="s">
        <v>1438</v>
      </c>
      <c r="G383" s="769">
        <v>0.27</v>
      </c>
      <c r="H383" s="768">
        <v>0.01</v>
      </c>
      <c r="I383" s="775">
        <f t="shared" si="35"/>
        <v>2.7000000000000001E-3</v>
      </c>
      <c r="J383" s="758" t="s">
        <v>1445</v>
      </c>
      <c r="K383" s="760">
        <v>2</v>
      </c>
      <c r="L383" s="776">
        <v>95</v>
      </c>
      <c r="M383" s="771">
        <v>2</v>
      </c>
      <c r="N383" s="760">
        <f>L383/'Исп. коэффициенты'!E31*(C386+C387)</f>
        <v>4.1915639260771992E-2</v>
      </c>
      <c r="O383" s="759"/>
      <c r="P383" s="759"/>
      <c r="Q383" s="759"/>
      <c r="R383" s="759"/>
      <c r="S383" s="759"/>
      <c r="T383" s="759"/>
      <c r="U383" s="759"/>
      <c r="V383" s="759"/>
      <c r="W383" s="759"/>
      <c r="X383" s="759"/>
      <c r="Y383" s="759"/>
      <c r="Z383" s="759"/>
      <c r="AA383" s="755"/>
      <c r="AB383" s="755"/>
      <c r="AC383" s="773"/>
      <c r="AD383" s="802"/>
      <c r="AF383" s="821"/>
      <c r="AG383" s="802"/>
      <c r="AH383" s="805"/>
      <c r="AI383" s="805"/>
      <c r="AJ383" s="822"/>
      <c r="AK383" s="805"/>
      <c r="AL383" s="806"/>
      <c r="AM383" s="824"/>
      <c r="AN383" s="805"/>
      <c r="AO383" s="807"/>
      <c r="AP383" s="805"/>
      <c r="AQ383" s="805"/>
      <c r="AR383" s="807"/>
      <c r="AS383" s="807"/>
      <c r="AT383" s="805"/>
      <c r="AU383" s="805"/>
      <c r="AV383" s="807"/>
      <c r="AW383" s="802"/>
    </row>
    <row r="384" spans="1:49" s="803" customFormat="1" ht="12.75" customHeight="1" x14ac:dyDescent="0.25">
      <c r="A384" s="1115"/>
      <c r="B384" s="754" t="s">
        <v>1179</v>
      </c>
      <c r="C384" s="799">
        <f>C374</f>
        <v>22.420123808013045</v>
      </c>
      <c r="D384" s="820"/>
      <c r="E384" s="767" t="s">
        <v>1598</v>
      </c>
      <c r="F384" s="768" t="s">
        <v>1441</v>
      </c>
      <c r="G384" s="769">
        <v>4.4000000000000004</v>
      </c>
      <c r="H384" s="769">
        <v>1</v>
      </c>
      <c r="I384" s="770">
        <f t="shared" si="35"/>
        <v>4.4000000000000004</v>
      </c>
      <c r="J384" s="758" t="s">
        <v>1513</v>
      </c>
      <c r="K384" s="760">
        <v>2</v>
      </c>
      <c r="L384" s="760">
        <v>25</v>
      </c>
      <c r="M384" s="771">
        <v>0.5</v>
      </c>
      <c r="N384" s="760">
        <f>L384/'Исп. коэффициенты'!E31*(C386+C387)</f>
        <v>1.1030431384413683E-2</v>
      </c>
      <c r="O384" s="759"/>
      <c r="P384" s="759"/>
      <c r="Q384" s="759"/>
      <c r="R384" s="759"/>
      <c r="S384" s="759"/>
      <c r="T384" s="759"/>
      <c r="U384" s="759"/>
      <c r="V384" s="759"/>
      <c r="W384" s="759"/>
      <c r="X384" s="759"/>
      <c r="Y384" s="759"/>
      <c r="Z384" s="759"/>
      <c r="AA384" s="755"/>
      <c r="AB384" s="755"/>
      <c r="AC384" s="773"/>
      <c r="AD384" s="802"/>
      <c r="AF384" s="821"/>
      <c r="AG384" s="802"/>
      <c r="AH384" s="805"/>
      <c r="AI384" s="805"/>
      <c r="AJ384" s="822"/>
      <c r="AK384" s="805"/>
      <c r="AL384" s="806"/>
      <c r="AM384" s="805"/>
      <c r="AN384" s="805"/>
      <c r="AO384" s="807"/>
      <c r="AP384" s="805"/>
      <c r="AQ384" s="805"/>
      <c r="AR384" s="807"/>
      <c r="AS384" s="807"/>
      <c r="AT384" s="805"/>
      <c r="AU384" s="805"/>
      <c r="AV384" s="807"/>
      <c r="AW384" s="802"/>
    </row>
    <row r="385" spans="1:49" s="803" customFormat="1" ht="12.75" customHeight="1" x14ac:dyDescent="0.25">
      <c r="A385" s="1115"/>
      <c r="B385" s="754" t="s">
        <v>831</v>
      </c>
      <c r="C385" s="825"/>
      <c r="D385" s="820"/>
      <c r="E385" s="767" t="s">
        <v>1599</v>
      </c>
      <c r="F385" s="768" t="s">
        <v>1441</v>
      </c>
      <c r="G385" s="769">
        <v>77.28</v>
      </c>
      <c r="H385" s="768">
        <v>1</v>
      </c>
      <c r="I385" s="770">
        <f t="shared" si="35"/>
        <v>77.28</v>
      </c>
      <c r="J385" s="758"/>
      <c r="K385" s="760"/>
      <c r="L385" s="760"/>
      <c r="M385" s="760"/>
      <c r="N385" s="760"/>
      <c r="O385" s="759"/>
      <c r="P385" s="759"/>
      <c r="Q385" s="759"/>
      <c r="R385" s="759"/>
      <c r="S385" s="759"/>
      <c r="T385" s="759"/>
      <c r="U385" s="759"/>
      <c r="V385" s="759"/>
      <c r="W385" s="759"/>
      <c r="X385" s="759"/>
      <c r="Y385" s="759"/>
      <c r="Z385" s="759"/>
      <c r="AA385" s="755"/>
      <c r="AB385" s="755"/>
      <c r="AC385" s="773"/>
      <c r="AD385" s="802"/>
      <c r="AF385" s="821"/>
      <c r="AG385" s="802"/>
      <c r="AH385" s="805"/>
      <c r="AI385" s="805"/>
      <c r="AJ385" s="822"/>
      <c r="AK385" s="805"/>
      <c r="AL385" s="806"/>
      <c r="AM385" s="805"/>
      <c r="AN385" s="805"/>
      <c r="AO385" s="807"/>
      <c r="AP385" s="805"/>
      <c r="AQ385" s="805"/>
      <c r="AR385" s="807"/>
      <c r="AS385" s="807"/>
      <c r="AT385" s="805"/>
      <c r="AU385" s="805"/>
      <c r="AV385" s="807"/>
      <c r="AW385" s="802"/>
    </row>
    <row r="386" spans="1:49" s="803" customFormat="1" ht="12.75" customHeight="1" x14ac:dyDescent="0.25">
      <c r="A386" s="1115"/>
      <c r="B386" s="774" t="s">
        <v>1178</v>
      </c>
      <c r="C386" s="826">
        <v>1.5</v>
      </c>
      <c r="D386" s="820"/>
      <c r="E386" s="767" t="s">
        <v>1442</v>
      </c>
      <c r="F386" s="768" t="s">
        <v>1443</v>
      </c>
      <c r="G386" s="769">
        <v>419.5</v>
      </c>
      <c r="H386" s="768">
        <v>1E-3</v>
      </c>
      <c r="I386" s="770">
        <f t="shared" si="35"/>
        <v>0.41949999999999998</v>
      </c>
      <c r="J386" s="758"/>
      <c r="K386" s="760"/>
      <c r="L386" s="760"/>
      <c r="M386" s="760"/>
      <c r="N386" s="760"/>
      <c r="O386" s="759"/>
      <c r="P386" s="759"/>
      <c r="Q386" s="759"/>
      <c r="R386" s="759"/>
      <c r="S386" s="759"/>
      <c r="T386" s="759"/>
      <c r="U386" s="759"/>
      <c r="V386" s="759"/>
      <c r="W386" s="759"/>
      <c r="X386" s="759"/>
      <c r="Y386" s="759"/>
      <c r="Z386" s="759"/>
      <c r="AA386" s="755"/>
      <c r="AB386" s="755"/>
      <c r="AC386" s="773"/>
      <c r="AD386" s="802"/>
      <c r="AF386" s="821"/>
      <c r="AG386" s="802"/>
      <c r="AH386" s="805"/>
      <c r="AI386" s="805"/>
      <c r="AJ386" s="827"/>
      <c r="AK386" s="805"/>
      <c r="AL386" s="806"/>
      <c r="AM386" s="805"/>
      <c r="AN386" s="805"/>
      <c r="AO386" s="807"/>
      <c r="AP386" s="805"/>
      <c r="AQ386" s="805"/>
      <c r="AR386" s="807"/>
      <c r="AS386" s="807"/>
      <c r="AT386" s="805"/>
      <c r="AU386" s="805"/>
      <c r="AV386" s="807"/>
      <c r="AW386" s="802"/>
    </row>
    <row r="387" spans="1:49" s="803" customFormat="1" ht="12.75" customHeight="1" x14ac:dyDescent="0.25">
      <c r="A387" s="1115"/>
      <c r="B387" s="754" t="s">
        <v>1179</v>
      </c>
      <c r="C387" s="826">
        <v>2</v>
      </c>
      <c r="D387" s="820"/>
      <c r="E387" s="767" t="s">
        <v>1444</v>
      </c>
      <c r="F387" s="768" t="s">
        <v>1443</v>
      </c>
      <c r="G387" s="769">
        <v>872</v>
      </c>
      <c r="H387" s="768">
        <v>2E-3</v>
      </c>
      <c r="I387" s="770">
        <f t="shared" si="35"/>
        <v>1.744</v>
      </c>
      <c r="J387" s="758"/>
      <c r="K387" s="760"/>
      <c r="L387" s="760"/>
      <c r="M387" s="760"/>
      <c r="N387" s="760"/>
      <c r="O387" s="759"/>
      <c r="P387" s="759"/>
      <c r="Q387" s="759"/>
      <c r="R387" s="759"/>
      <c r="S387" s="759"/>
      <c r="T387" s="759"/>
      <c r="U387" s="759"/>
      <c r="V387" s="759"/>
      <c r="W387" s="759"/>
      <c r="X387" s="759"/>
      <c r="Y387" s="759"/>
      <c r="Z387" s="759"/>
      <c r="AA387" s="755"/>
      <c r="AB387" s="755"/>
      <c r="AC387" s="755"/>
      <c r="AD387" s="802"/>
      <c r="AF387" s="821"/>
      <c r="AG387" s="802"/>
      <c r="AH387" s="805"/>
      <c r="AI387" s="805"/>
      <c r="AJ387" s="827"/>
      <c r="AK387" s="805"/>
      <c r="AL387" s="806"/>
      <c r="AM387" s="805"/>
      <c r="AN387" s="805"/>
      <c r="AO387" s="807"/>
      <c r="AP387" s="805"/>
      <c r="AQ387" s="805"/>
      <c r="AR387" s="807"/>
      <c r="AS387" s="807"/>
      <c r="AT387" s="805"/>
      <c r="AU387" s="805"/>
      <c r="AV387" s="807"/>
      <c r="AW387" s="802"/>
    </row>
    <row r="388" spans="1:49" s="803" customFormat="1" ht="12.75" customHeight="1" x14ac:dyDescent="0.25">
      <c r="A388" s="1115"/>
      <c r="B388" s="782" t="s">
        <v>1181</v>
      </c>
      <c r="C388" s="799">
        <f>C383*C386+C384*C387</f>
        <v>102.91704642113005</v>
      </c>
      <c r="D388" s="820"/>
      <c r="E388" s="780"/>
      <c r="F388" s="781"/>
      <c r="G388" s="769"/>
      <c r="H388" s="768"/>
      <c r="I388" s="770"/>
      <c r="J388" s="758"/>
      <c r="K388" s="828"/>
      <c r="L388" s="776"/>
      <c r="M388" s="771"/>
      <c r="N388" s="760"/>
      <c r="O388" s="759"/>
      <c r="P388" s="759"/>
      <c r="Q388" s="759"/>
      <c r="R388" s="759"/>
      <c r="S388" s="759"/>
      <c r="T388" s="759"/>
      <c r="U388" s="759"/>
      <c r="V388" s="759"/>
      <c r="W388" s="759"/>
      <c r="X388" s="759"/>
      <c r="Y388" s="759"/>
      <c r="Z388" s="759"/>
      <c r="AA388" s="755"/>
      <c r="AB388" s="755"/>
      <c r="AC388" s="755"/>
      <c r="AD388" s="802"/>
      <c r="AF388" s="821"/>
      <c r="AG388" s="802"/>
      <c r="AH388" s="805"/>
      <c r="AI388" s="805"/>
      <c r="AJ388" s="822"/>
      <c r="AK388" s="805"/>
      <c r="AL388" s="806"/>
      <c r="AM388" s="805"/>
      <c r="AN388" s="805"/>
      <c r="AO388" s="807"/>
      <c r="AP388" s="805"/>
      <c r="AQ388" s="805"/>
      <c r="AR388" s="807"/>
      <c r="AS388" s="807"/>
      <c r="AT388" s="805"/>
      <c r="AU388" s="805"/>
      <c r="AV388" s="807"/>
      <c r="AW388" s="802"/>
    </row>
    <row r="389" spans="1:49" s="803" customFormat="1" ht="13.5" customHeight="1" x14ac:dyDescent="0.25">
      <c r="A389" s="1116"/>
      <c r="B389" s="783"/>
      <c r="C389" s="826"/>
      <c r="D389" s="829"/>
      <c r="E389" s="780"/>
      <c r="F389" s="781"/>
      <c r="G389" s="769"/>
      <c r="H389" s="768"/>
      <c r="I389" s="770"/>
      <c r="J389" s="758"/>
      <c r="K389" s="828"/>
      <c r="L389" s="760"/>
      <c r="M389" s="771"/>
      <c r="N389" s="760"/>
      <c r="O389" s="759"/>
      <c r="P389" s="759"/>
      <c r="Q389" s="759"/>
      <c r="R389" s="759"/>
      <c r="S389" s="759"/>
      <c r="T389" s="759"/>
      <c r="U389" s="759"/>
      <c r="V389" s="759"/>
      <c r="W389" s="759"/>
      <c r="X389" s="759"/>
      <c r="Y389" s="759"/>
      <c r="Z389" s="759"/>
      <c r="AA389" s="755"/>
      <c r="AB389" s="755"/>
      <c r="AC389" s="755"/>
      <c r="AD389" s="802"/>
      <c r="AF389" s="821"/>
      <c r="AG389" s="802"/>
      <c r="AH389" s="805"/>
      <c r="AI389" s="805"/>
      <c r="AJ389" s="827"/>
      <c r="AK389" s="805"/>
      <c r="AL389" s="806"/>
      <c r="AM389" s="805"/>
      <c r="AN389" s="805"/>
      <c r="AO389" s="807"/>
      <c r="AP389" s="805"/>
      <c r="AQ389" s="805"/>
      <c r="AR389" s="807"/>
      <c r="AS389" s="807"/>
      <c r="AT389" s="805"/>
      <c r="AU389" s="805"/>
      <c r="AV389" s="807"/>
      <c r="AW389" s="802"/>
    </row>
    <row r="390" spans="1:49" s="3" customFormat="1" ht="56.25" customHeight="1" x14ac:dyDescent="0.25">
      <c r="A390" s="1012" t="s">
        <v>1637</v>
      </c>
      <c r="B390" s="258" t="s">
        <v>748</v>
      </c>
      <c r="C390" s="222"/>
      <c r="D390" s="219"/>
      <c r="E390" s="226" t="s">
        <v>488</v>
      </c>
      <c r="F390" s="53" t="s">
        <v>837</v>
      </c>
      <c r="G390" s="51" t="s">
        <v>489</v>
      </c>
      <c r="H390" s="52" t="s">
        <v>1170</v>
      </c>
      <c r="I390" s="53" t="s">
        <v>838</v>
      </c>
      <c r="J390" s="47" t="s">
        <v>1171</v>
      </c>
      <c r="K390" s="47" t="s">
        <v>490</v>
      </c>
      <c r="L390" s="54" t="s">
        <v>489</v>
      </c>
      <c r="M390" s="47" t="s">
        <v>1172</v>
      </c>
      <c r="N390" s="53" t="s">
        <v>838</v>
      </c>
      <c r="O390" s="47" t="s">
        <v>1171</v>
      </c>
      <c r="P390" s="47" t="s">
        <v>826</v>
      </c>
      <c r="Q390" s="47" t="s">
        <v>1173</v>
      </c>
      <c r="R390" s="47" t="s">
        <v>1174</v>
      </c>
      <c r="S390" s="47" t="s">
        <v>839</v>
      </c>
      <c r="T390" s="47" t="s">
        <v>1171</v>
      </c>
      <c r="U390" s="47" t="s">
        <v>1392</v>
      </c>
      <c r="V390" s="47" t="s">
        <v>841</v>
      </c>
      <c r="W390" s="231" t="s">
        <v>1173</v>
      </c>
      <c r="X390" s="47" t="s">
        <v>1394</v>
      </c>
      <c r="Y390" s="47" t="s">
        <v>839</v>
      </c>
      <c r="Z390" s="55"/>
      <c r="AA390" s="1"/>
      <c r="AB390" s="1"/>
      <c r="AC390" s="1"/>
      <c r="AD390" s="56"/>
      <c r="AF390" s="81"/>
      <c r="AG390" s="56"/>
      <c r="AH390" s="125"/>
      <c r="AI390" s="125"/>
      <c r="AJ390" s="125"/>
      <c r="AK390" s="125"/>
      <c r="AL390" s="127"/>
      <c r="AM390" s="125"/>
      <c r="AN390" s="125"/>
      <c r="AO390" s="128"/>
      <c r="AP390" s="125"/>
      <c r="AQ390" s="139"/>
      <c r="AR390" s="139"/>
      <c r="AS390" s="139"/>
      <c r="AT390" s="125"/>
      <c r="AU390" s="125"/>
      <c r="AV390" s="128"/>
      <c r="AW390" s="56"/>
    </row>
    <row r="391" spans="1:49" s="3" customFormat="1" ht="12" customHeight="1" x14ac:dyDescent="0.25">
      <c r="A391" s="1013"/>
      <c r="B391" s="36" t="s">
        <v>1175</v>
      </c>
      <c r="C391" s="222">
        <f>C398</f>
        <v>102.91704642113005</v>
      </c>
      <c r="D391" s="219">
        <f>C391*$D$5</f>
        <v>20.789243377068271</v>
      </c>
      <c r="E391" s="227" t="s">
        <v>1176</v>
      </c>
      <c r="F391" s="165"/>
      <c r="G391" s="58"/>
      <c r="H391" s="58"/>
      <c r="I391" s="2">
        <f>SUM(I392:I399)</f>
        <v>83.8536</v>
      </c>
      <c r="J391" s="59" t="s">
        <v>1176</v>
      </c>
      <c r="K391" s="169"/>
      <c r="L391" s="60"/>
      <c r="M391" s="60"/>
      <c r="N391" s="61">
        <f>SUM(N392:N399)</f>
        <v>8.4000000000000005E-2</v>
      </c>
      <c r="O391" s="60" t="s">
        <v>1176</v>
      </c>
      <c r="P391" s="60"/>
      <c r="Q391" s="62"/>
      <c r="R391" s="63"/>
      <c r="S391" s="61">
        <f>SUM(S392:S399)</f>
        <v>9.7215000000000007</v>
      </c>
      <c r="T391" s="61"/>
      <c r="U391" s="61"/>
      <c r="V391" s="61"/>
      <c r="W391" s="61"/>
      <c r="X391" s="61"/>
      <c r="Y391" s="61">
        <f>SUM(Y392:Y399)</f>
        <v>9.1999999999999998E-3</v>
      </c>
      <c r="Z391" s="64">
        <f>(C391+D391+I391+N391+S391+Y391)*$Z$5</f>
        <v>282.62776638193128</v>
      </c>
      <c r="AA391" s="65">
        <f>C391+D391+I391+N391+S391+Y391+Z391</f>
        <v>500.0023561801296</v>
      </c>
      <c r="AB391" s="66">
        <v>0.25</v>
      </c>
      <c r="AC391" s="244">
        <f>AA391*(1+AB391)</f>
        <v>625.00294522516197</v>
      </c>
      <c r="AD391" s="67"/>
      <c r="AF391" s="81"/>
      <c r="AG391" s="56"/>
      <c r="AH391" s="125"/>
      <c r="AI391" s="139"/>
      <c r="AJ391" s="140"/>
      <c r="AK391" s="141"/>
      <c r="AL391" s="127"/>
      <c r="AM391" s="142"/>
      <c r="AN391" s="143"/>
      <c r="AO391" s="142"/>
      <c r="AP391" s="139"/>
      <c r="AQ391" s="139"/>
      <c r="AR391" s="139"/>
      <c r="AS391" s="139"/>
      <c r="AT391" s="139"/>
      <c r="AU391" s="142"/>
      <c r="AV391" s="142"/>
      <c r="AW391" s="144"/>
    </row>
    <row r="392" spans="1:49" s="3" customFormat="1" ht="12.75" customHeight="1" x14ac:dyDescent="0.25">
      <c r="A392" s="1013"/>
      <c r="B392" s="50" t="s">
        <v>830</v>
      </c>
      <c r="C392" s="222"/>
      <c r="D392" s="220"/>
      <c r="E392" s="68" t="s">
        <v>1437</v>
      </c>
      <c r="F392" s="69" t="s">
        <v>1438</v>
      </c>
      <c r="G392" s="70">
        <v>0.74</v>
      </c>
      <c r="H392" s="69">
        <v>0.01</v>
      </c>
      <c r="I392" s="71">
        <f t="shared" ref="I392:I397" si="36">G392*H392</f>
        <v>7.4000000000000003E-3</v>
      </c>
      <c r="J392" s="59" t="s">
        <v>1291</v>
      </c>
      <c r="K392" s="61">
        <v>2</v>
      </c>
      <c r="L392" s="61">
        <v>640</v>
      </c>
      <c r="M392" s="61">
        <v>2</v>
      </c>
      <c r="N392" s="61">
        <v>0.05</v>
      </c>
      <c r="O392" s="60" t="s">
        <v>1239</v>
      </c>
      <c r="P392" s="60">
        <v>61189.5</v>
      </c>
      <c r="Q392" s="60">
        <v>19.670000000000002</v>
      </c>
      <c r="R392" s="60">
        <v>6513.87</v>
      </c>
      <c r="S392" s="60">
        <v>9.7215000000000007</v>
      </c>
      <c r="T392" s="239" t="s">
        <v>1435</v>
      </c>
      <c r="U392" s="240">
        <v>6785401.3499999996</v>
      </c>
      <c r="V392" s="241">
        <v>1.32E-2</v>
      </c>
      <c r="W392" s="239">
        <v>1508.3</v>
      </c>
      <c r="X392" s="61">
        <v>59.38</v>
      </c>
      <c r="Y392" s="60">
        <v>9.1999999999999998E-3</v>
      </c>
      <c r="Z392" s="60"/>
      <c r="AA392" s="1"/>
      <c r="AB392" s="1"/>
      <c r="AC392" s="1"/>
      <c r="AD392" s="56"/>
      <c r="AF392" s="151"/>
      <c r="AG392" s="56"/>
      <c r="AH392" s="125"/>
      <c r="AI392" s="125"/>
      <c r="AJ392" s="136"/>
      <c r="AK392" s="125"/>
      <c r="AL392" s="127"/>
      <c r="AM392" s="125"/>
      <c r="AN392" s="125"/>
      <c r="AO392" s="128"/>
      <c r="AP392" s="125"/>
      <c r="AQ392" s="125"/>
      <c r="AR392" s="128"/>
      <c r="AS392" s="128"/>
      <c r="AT392" s="125"/>
      <c r="AU392" s="125"/>
      <c r="AV392" s="128"/>
      <c r="AW392" s="56"/>
    </row>
    <row r="393" spans="1:49" s="3" customFormat="1" x14ac:dyDescent="0.25">
      <c r="A393" s="1013"/>
      <c r="B393" s="74" t="s">
        <v>1178</v>
      </c>
      <c r="C393" s="223">
        <f>C383</f>
        <v>38.717865870069311</v>
      </c>
      <c r="D393" s="220"/>
      <c r="E393" s="68" t="s">
        <v>1439</v>
      </c>
      <c r="F393" s="69" t="s">
        <v>1438</v>
      </c>
      <c r="G393" s="70">
        <v>0.27</v>
      </c>
      <c r="H393" s="69">
        <v>0.01</v>
      </c>
      <c r="I393" s="242">
        <f t="shared" si="36"/>
        <v>2.7000000000000001E-3</v>
      </c>
      <c r="J393" s="59" t="s">
        <v>1445</v>
      </c>
      <c r="K393" s="61">
        <v>2</v>
      </c>
      <c r="L393" s="61">
        <v>84</v>
      </c>
      <c r="M393" s="61">
        <v>2</v>
      </c>
      <c r="N393" s="61">
        <v>8.9999999999999993E-3</v>
      </c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1"/>
      <c r="AB393" s="1"/>
      <c r="AC393" s="1"/>
      <c r="AD393" s="56"/>
      <c r="AF393" s="151"/>
      <c r="AG393" s="56"/>
      <c r="AH393" s="125"/>
      <c r="AI393" s="125"/>
      <c r="AJ393" s="136"/>
      <c r="AK393" s="125"/>
      <c r="AL393" s="127"/>
      <c r="AM393" s="145"/>
      <c r="AN393" s="125"/>
      <c r="AO393" s="128"/>
      <c r="AP393" s="125"/>
      <c r="AQ393" s="125"/>
      <c r="AR393" s="128"/>
      <c r="AS393" s="128"/>
      <c r="AT393" s="125"/>
      <c r="AU393" s="125"/>
      <c r="AV393" s="128"/>
      <c r="AW393" s="56"/>
    </row>
    <row r="394" spans="1:49" s="3" customFormat="1" ht="12.75" customHeight="1" x14ac:dyDescent="0.25">
      <c r="A394" s="1013"/>
      <c r="B394" s="57" t="s">
        <v>1179</v>
      </c>
      <c r="C394" s="222">
        <f>C384</f>
        <v>22.420123808013045</v>
      </c>
      <c r="D394" s="220"/>
      <c r="E394" s="68" t="s">
        <v>1598</v>
      </c>
      <c r="F394" s="69" t="s">
        <v>1441</v>
      </c>
      <c r="G394" s="70">
        <v>4.4000000000000004</v>
      </c>
      <c r="H394" s="70">
        <v>1</v>
      </c>
      <c r="I394" s="71">
        <f t="shared" si="36"/>
        <v>4.4000000000000004</v>
      </c>
      <c r="J394" s="59" t="s">
        <v>1513</v>
      </c>
      <c r="K394" s="61">
        <v>2</v>
      </c>
      <c r="L394" s="61">
        <v>25</v>
      </c>
      <c r="M394" s="61">
        <v>0.5</v>
      </c>
      <c r="N394" s="61">
        <v>2.5000000000000001E-2</v>
      </c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1"/>
      <c r="AB394" s="1"/>
      <c r="AC394" s="1"/>
      <c r="AD394" s="56"/>
      <c r="AF394" s="151"/>
      <c r="AG394" s="56"/>
      <c r="AH394" s="125"/>
      <c r="AI394" s="125"/>
      <c r="AJ394" s="136"/>
      <c r="AK394" s="125"/>
      <c r="AL394" s="127"/>
      <c r="AM394" s="125"/>
      <c r="AN394" s="125"/>
      <c r="AO394" s="128"/>
      <c r="AP394" s="125"/>
      <c r="AQ394" s="125"/>
      <c r="AR394" s="128"/>
      <c r="AS394" s="128"/>
      <c r="AT394" s="125"/>
      <c r="AU394" s="125"/>
      <c r="AV394" s="128"/>
      <c r="AW394" s="56"/>
    </row>
    <row r="395" spans="1:49" s="3" customFormat="1" ht="12.75" customHeight="1" x14ac:dyDescent="0.25">
      <c r="A395" s="1013"/>
      <c r="B395" s="57" t="s">
        <v>831</v>
      </c>
      <c r="C395" s="224"/>
      <c r="D395" s="220"/>
      <c r="E395" s="68" t="s">
        <v>1599</v>
      </c>
      <c r="F395" s="69" t="s">
        <v>1441</v>
      </c>
      <c r="G395" s="70">
        <v>77.28</v>
      </c>
      <c r="H395" s="69">
        <v>1</v>
      </c>
      <c r="I395" s="71">
        <f t="shared" si="36"/>
        <v>77.28</v>
      </c>
      <c r="J395" s="59"/>
      <c r="K395" s="61"/>
      <c r="L395" s="61"/>
      <c r="M395" s="61"/>
      <c r="N395" s="61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1"/>
      <c r="AB395" s="1"/>
      <c r="AC395" s="1"/>
      <c r="AD395" s="56"/>
      <c r="AF395" s="151"/>
      <c r="AG395" s="56"/>
      <c r="AH395" s="125"/>
      <c r="AI395" s="125"/>
      <c r="AJ395" s="136"/>
      <c r="AK395" s="125"/>
      <c r="AL395" s="127"/>
      <c r="AM395" s="125"/>
      <c r="AN395" s="125"/>
      <c r="AO395" s="128"/>
      <c r="AP395" s="125"/>
      <c r="AQ395" s="125"/>
      <c r="AR395" s="128"/>
      <c r="AS395" s="128"/>
      <c r="AT395" s="125"/>
      <c r="AU395" s="125"/>
      <c r="AV395" s="128"/>
      <c r="AW395" s="56"/>
    </row>
    <row r="396" spans="1:49" s="3" customFormat="1" ht="12.75" customHeight="1" x14ac:dyDescent="0.25">
      <c r="A396" s="1013"/>
      <c r="B396" s="74" t="s">
        <v>1178</v>
      </c>
      <c r="C396" s="225">
        <v>1.5</v>
      </c>
      <c r="D396" s="220"/>
      <c r="E396" s="68" t="s">
        <v>1442</v>
      </c>
      <c r="F396" s="69" t="s">
        <v>1443</v>
      </c>
      <c r="G396" s="70">
        <v>419.5</v>
      </c>
      <c r="H396" s="69">
        <v>1E-3</v>
      </c>
      <c r="I396" s="71">
        <f t="shared" si="36"/>
        <v>0.41949999999999998</v>
      </c>
      <c r="J396" s="59"/>
      <c r="K396" s="61"/>
      <c r="L396" s="61"/>
      <c r="M396" s="61"/>
      <c r="N396" s="61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1"/>
      <c r="AB396" s="1"/>
      <c r="AC396" s="1"/>
      <c r="AD396" s="56"/>
      <c r="AF396" s="151"/>
      <c r="AG396" s="56"/>
      <c r="AH396" s="125"/>
      <c r="AI396" s="125"/>
      <c r="AJ396" s="146"/>
      <c r="AK396" s="125"/>
      <c r="AL396" s="127"/>
      <c r="AM396" s="125"/>
      <c r="AN396" s="125"/>
      <c r="AO396" s="128"/>
      <c r="AP396" s="125"/>
      <c r="AQ396" s="125"/>
      <c r="AR396" s="128"/>
      <c r="AS396" s="128"/>
      <c r="AT396" s="125"/>
      <c r="AU396" s="125"/>
      <c r="AV396" s="128"/>
      <c r="AW396" s="56"/>
    </row>
    <row r="397" spans="1:49" s="3" customFormat="1" ht="12.75" customHeight="1" x14ac:dyDescent="0.25">
      <c r="A397" s="1013"/>
      <c r="B397" s="57" t="s">
        <v>1179</v>
      </c>
      <c r="C397" s="225">
        <v>2</v>
      </c>
      <c r="D397" s="220"/>
      <c r="E397" s="68" t="s">
        <v>1444</v>
      </c>
      <c r="F397" s="69" t="s">
        <v>1443</v>
      </c>
      <c r="G397" s="70">
        <v>872</v>
      </c>
      <c r="H397" s="69">
        <v>2E-3</v>
      </c>
      <c r="I397" s="71">
        <f t="shared" si="36"/>
        <v>1.744</v>
      </c>
      <c r="J397" s="59"/>
      <c r="K397" s="61"/>
      <c r="L397" s="61"/>
      <c r="M397" s="61"/>
      <c r="N397" s="61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1"/>
      <c r="AB397" s="1"/>
      <c r="AC397" s="1"/>
      <c r="AD397" s="56"/>
      <c r="AF397" s="151"/>
      <c r="AG397" s="56"/>
      <c r="AH397" s="125"/>
      <c r="AI397" s="125"/>
      <c r="AJ397" s="146"/>
      <c r="AK397" s="125"/>
      <c r="AL397" s="127"/>
      <c r="AM397" s="125"/>
      <c r="AN397" s="125"/>
      <c r="AO397" s="128"/>
      <c r="AP397" s="125"/>
      <c r="AQ397" s="125"/>
      <c r="AR397" s="128"/>
      <c r="AS397" s="128"/>
      <c r="AT397" s="125"/>
      <c r="AU397" s="125"/>
      <c r="AV397" s="128"/>
      <c r="AW397" s="56"/>
    </row>
    <row r="398" spans="1:49" s="3" customFormat="1" ht="12.75" customHeight="1" x14ac:dyDescent="0.25">
      <c r="A398" s="1013"/>
      <c r="B398" s="79" t="s">
        <v>1181</v>
      </c>
      <c r="C398" s="222">
        <f>C393*C396+C394*C397</f>
        <v>102.91704642113005</v>
      </c>
      <c r="D398" s="220"/>
      <c r="E398" s="228"/>
      <c r="F398" s="166"/>
      <c r="G398" s="70"/>
      <c r="H398" s="69"/>
      <c r="I398" s="71"/>
      <c r="J398" s="59"/>
      <c r="K398" s="170"/>
      <c r="L398" s="76"/>
      <c r="M398" s="72"/>
      <c r="N398" s="61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1"/>
      <c r="AB398" s="1"/>
      <c r="AC398" s="1"/>
      <c r="AD398" s="56"/>
      <c r="AF398" s="151"/>
      <c r="AG398" s="56"/>
      <c r="AH398" s="125"/>
      <c r="AI398" s="125"/>
      <c r="AJ398" s="136"/>
      <c r="AK398" s="125"/>
      <c r="AL398" s="127"/>
      <c r="AM398" s="125"/>
      <c r="AN398" s="125"/>
      <c r="AO398" s="128"/>
      <c r="AP398" s="125"/>
      <c r="AQ398" s="125"/>
      <c r="AR398" s="128"/>
      <c r="AS398" s="128"/>
      <c r="AT398" s="125"/>
      <c r="AU398" s="125"/>
      <c r="AV398" s="128"/>
      <c r="AW398" s="56"/>
    </row>
    <row r="399" spans="1:49" s="3" customFormat="1" ht="13.5" customHeight="1" x14ac:dyDescent="0.25">
      <c r="A399" s="1014"/>
      <c r="B399" s="123"/>
      <c r="C399" s="225"/>
      <c r="D399" s="221"/>
      <c r="E399" s="228"/>
      <c r="F399" s="166"/>
      <c r="G399" s="70"/>
      <c r="H399" s="69"/>
      <c r="I399" s="71"/>
      <c r="J399" s="59"/>
      <c r="K399" s="170"/>
      <c r="L399" s="61"/>
      <c r="M399" s="72"/>
      <c r="N399" s="61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1"/>
      <c r="AB399" s="1"/>
      <c r="AC399" s="1"/>
      <c r="AD399" s="56"/>
      <c r="AF399" s="151"/>
      <c r="AG399" s="56"/>
      <c r="AH399" s="125"/>
      <c r="AI399" s="125"/>
      <c r="AJ399" s="146"/>
      <c r="AK399" s="125"/>
      <c r="AL399" s="127"/>
      <c r="AM399" s="125"/>
      <c r="AN399" s="125"/>
      <c r="AO399" s="128"/>
      <c r="AP399" s="125"/>
      <c r="AQ399" s="125"/>
      <c r="AR399" s="128"/>
      <c r="AS399" s="128"/>
      <c r="AT399" s="125"/>
      <c r="AU399" s="125"/>
      <c r="AV399" s="128"/>
      <c r="AW399" s="56"/>
    </row>
    <row r="400" spans="1:49" s="3" customFormat="1" ht="56.25" hidden="1" customHeight="1" x14ac:dyDescent="0.25">
      <c r="A400" s="1012" t="s">
        <v>1638</v>
      </c>
      <c r="B400" s="258" t="s">
        <v>749</v>
      </c>
      <c r="C400" s="222"/>
      <c r="D400" s="219"/>
      <c r="E400" s="226" t="s">
        <v>488</v>
      </c>
      <c r="F400" s="53" t="s">
        <v>837</v>
      </c>
      <c r="G400" s="51" t="s">
        <v>489</v>
      </c>
      <c r="H400" s="52" t="s">
        <v>1170</v>
      </c>
      <c r="I400" s="53" t="s">
        <v>838</v>
      </c>
      <c r="J400" s="47" t="s">
        <v>1171</v>
      </c>
      <c r="K400" s="47" t="s">
        <v>490</v>
      </c>
      <c r="L400" s="54" t="s">
        <v>489</v>
      </c>
      <c r="M400" s="47" t="s">
        <v>1172</v>
      </c>
      <c r="N400" s="53" t="s">
        <v>838</v>
      </c>
      <c r="O400" s="47" t="s">
        <v>1171</v>
      </c>
      <c r="P400" s="47" t="s">
        <v>826</v>
      </c>
      <c r="Q400" s="47" t="s">
        <v>1173</v>
      </c>
      <c r="R400" s="47" t="s">
        <v>1174</v>
      </c>
      <c r="S400" s="47" t="s">
        <v>839</v>
      </c>
      <c r="T400" s="47" t="s">
        <v>1171</v>
      </c>
      <c r="U400" s="47" t="s">
        <v>1392</v>
      </c>
      <c r="V400" s="47" t="s">
        <v>841</v>
      </c>
      <c r="W400" s="231" t="s">
        <v>1173</v>
      </c>
      <c r="X400" s="47" t="s">
        <v>1394</v>
      </c>
      <c r="Y400" s="47" t="s">
        <v>839</v>
      </c>
      <c r="Z400" s="55"/>
      <c r="AA400" s="1"/>
      <c r="AB400" s="1"/>
      <c r="AC400" s="1"/>
      <c r="AD400" s="56"/>
      <c r="AF400" s="81"/>
      <c r="AG400" s="56"/>
      <c r="AH400" s="125"/>
      <c r="AI400" s="125"/>
      <c r="AJ400" s="125"/>
      <c r="AK400" s="125"/>
      <c r="AL400" s="127"/>
      <c r="AM400" s="125"/>
      <c r="AN400" s="125"/>
      <c r="AO400" s="128"/>
      <c r="AP400" s="125"/>
      <c r="AQ400" s="139"/>
      <c r="AR400" s="139"/>
      <c r="AS400" s="139"/>
      <c r="AT400" s="125"/>
      <c r="AU400" s="125"/>
      <c r="AV400" s="128"/>
      <c r="AW400" s="56"/>
    </row>
    <row r="401" spans="1:49" s="3" customFormat="1" ht="12" hidden="1" customHeight="1" x14ac:dyDescent="0.25">
      <c r="A401" s="1013"/>
      <c r="B401" s="36" t="s">
        <v>1175</v>
      </c>
      <c r="C401" s="222">
        <f>C408</f>
        <v>83.558113486095408</v>
      </c>
      <c r="D401" s="219">
        <f>C401*$D$5</f>
        <v>16.878738924191275</v>
      </c>
      <c r="E401" s="227" t="s">
        <v>1176</v>
      </c>
      <c r="F401" s="165"/>
      <c r="G401" s="58"/>
      <c r="H401" s="58"/>
      <c r="I401" s="2">
        <f>SUM(I402:I409)</f>
        <v>83.8536</v>
      </c>
      <c r="J401" s="59" t="s">
        <v>1176</v>
      </c>
      <c r="K401" s="169"/>
      <c r="L401" s="60"/>
      <c r="M401" s="60"/>
      <c r="N401" s="61">
        <f>SUM(N402:N409)</f>
        <v>8.4000000000000005E-2</v>
      </c>
      <c r="O401" s="60" t="s">
        <v>1176</v>
      </c>
      <c r="P401" s="60"/>
      <c r="Q401" s="62"/>
      <c r="R401" s="63"/>
      <c r="S401" s="61">
        <f>SUM(S402:S409)</f>
        <v>9.7215000000000007</v>
      </c>
      <c r="T401" s="61"/>
      <c r="U401" s="61"/>
      <c r="V401" s="61"/>
      <c r="W401" s="61"/>
      <c r="X401" s="61"/>
      <c r="Y401" s="61">
        <f>SUM(Y402:Y409)</f>
        <v>9.1999999999999998E-3</v>
      </c>
      <c r="Z401" s="64">
        <f>(C401+D401+I401+N401+S401+Y401)*$Z$5</f>
        <v>252.37313027190984</v>
      </c>
      <c r="AA401" s="65">
        <f>C401+D401+I401+N401+S401+Y401+Z401</f>
        <v>446.47828268219655</v>
      </c>
      <c r="AB401" s="66">
        <v>0.25</v>
      </c>
      <c r="AC401" s="244">
        <f>AA401*(1+AB401)</f>
        <v>558.09785335274569</v>
      </c>
      <c r="AD401" s="67"/>
      <c r="AF401" s="81"/>
      <c r="AG401" s="56"/>
      <c r="AH401" s="125"/>
      <c r="AI401" s="139"/>
      <c r="AJ401" s="140"/>
      <c r="AK401" s="141"/>
      <c r="AL401" s="127"/>
      <c r="AM401" s="142"/>
      <c r="AN401" s="143"/>
      <c r="AO401" s="142"/>
      <c r="AP401" s="139"/>
      <c r="AQ401" s="139"/>
      <c r="AR401" s="139"/>
      <c r="AS401" s="139"/>
      <c r="AT401" s="139"/>
      <c r="AU401" s="142"/>
      <c r="AV401" s="142"/>
      <c r="AW401" s="144"/>
    </row>
    <row r="402" spans="1:49" s="3" customFormat="1" ht="12.75" hidden="1" customHeight="1" x14ac:dyDescent="0.25">
      <c r="A402" s="1013"/>
      <c r="B402" s="50" t="s">
        <v>830</v>
      </c>
      <c r="C402" s="222"/>
      <c r="D402" s="220"/>
      <c r="E402" s="68" t="s">
        <v>1437</v>
      </c>
      <c r="F402" s="69" t="s">
        <v>1438</v>
      </c>
      <c r="G402" s="70">
        <v>0.74</v>
      </c>
      <c r="H402" s="69">
        <v>0.01</v>
      </c>
      <c r="I402" s="71">
        <f t="shared" ref="I402:I407" si="37">G402*H402</f>
        <v>7.4000000000000003E-3</v>
      </c>
      <c r="J402" s="59" t="s">
        <v>1291</v>
      </c>
      <c r="K402" s="61">
        <v>2</v>
      </c>
      <c r="L402" s="61">
        <v>640</v>
      </c>
      <c r="M402" s="61">
        <v>2</v>
      </c>
      <c r="N402" s="61">
        <v>0.05</v>
      </c>
      <c r="O402" s="60" t="s">
        <v>1239</v>
      </c>
      <c r="P402" s="60">
        <v>61189.5</v>
      </c>
      <c r="Q402" s="60">
        <v>19.670000000000002</v>
      </c>
      <c r="R402" s="60">
        <v>6513.87</v>
      </c>
      <c r="S402" s="60">
        <v>9.7215000000000007</v>
      </c>
      <c r="T402" s="239" t="s">
        <v>1435</v>
      </c>
      <c r="U402" s="240">
        <v>6785401.3499999996</v>
      </c>
      <c r="V402" s="241">
        <v>1.32E-2</v>
      </c>
      <c r="W402" s="239">
        <v>1508.3</v>
      </c>
      <c r="X402" s="61">
        <v>59.38</v>
      </c>
      <c r="Y402" s="60">
        <v>9.1999999999999998E-3</v>
      </c>
      <c r="Z402" s="60"/>
      <c r="AA402" s="1"/>
      <c r="AB402" s="1"/>
      <c r="AC402" s="1"/>
      <c r="AD402" s="56"/>
      <c r="AF402" s="151"/>
      <c r="AG402" s="56"/>
      <c r="AH402" s="125"/>
      <c r="AI402" s="125"/>
      <c r="AJ402" s="136"/>
      <c r="AK402" s="125"/>
      <c r="AL402" s="127"/>
      <c r="AM402" s="125"/>
      <c r="AN402" s="125"/>
      <c r="AO402" s="128"/>
      <c r="AP402" s="125"/>
      <c r="AQ402" s="125"/>
      <c r="AR402" s="128"/>
      <c r="AS402" s="128"/>
      <c r="AT402" s="125"/>
      <c r="AU402" s="125"/>
      <c r="AV402" s="128"/>
      <c r="AW402" s="56"/>
    </row>
    <row r="403" spans="1:49" s="3" customFormat="1" hidden="1" x14ac:dyDescent="0.25">
      <c r="A403" s="1013"/>
      <c r="B403" s="74" t="s">
        <v>1178</v>
      </c>
      <c r="C403" s="223">
        <f>C393</f>
        <v>38.717865870069311</v>
      </c>
      <c r="D403" s="220"/>
      <c r="E403" s="68" t="s">
        <v>1439</v>
      </c>
      <c r="F403" s="69" t="s">
        <v>1438</v>
      </c>
      <c r="G403" s="70">
        <v>0.27</v>
      </c>
      <c r="H403" s="69">
        <v>0.01</v>
      </c>
      <c r="I403" s="242">
        <f t="shared" si="37"/>
        <v>2.7000000000000001E-3</v>
      </c>
      <c r="J403" s="59" t="s">
        <v>1445</v>
      </c>
      <c r="K403" s="61">
        <v>2</v>
      </c>
      <c r="L403" s="61">
        <v>84</v>
      </c>
      <c r="M403" s="61">
        <v>2</v>
      </c>
      <c r="N403" s="61">
        <v>8.9999999999999993E-3</v>
      </c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1"/>
      <c r="AB403" s="1"/>
      <c r="AC403" s="1"/>
      <c r="AD403" s="56"/>
      <c r="AF403" s="151"/>
      <c r="AG403" s="56"/>
      <c r="AH403" s="125"/>
      <c r="AI403" s="125"/>
      <c r="AJ403" s="136"/>
      <c r="AK403" s="125"/>
      <c r="AL403" s="127"/>
      <c r="AM403" s="145"/>
      <c r="AN403" s="125"/>
      <c r="AO403" s="128"/>
      <c r="AP403" s="125"/>
      <c r="AQ403" s="125"/>
      <c r="AR403" s="128"/>
      <c r="AS403" s="128"/>
      <c r="AT403" s="125"/>
      <c r="AU403" s="125"/>
      <c r="AV403" s="128"/>
      <c r="AW403" s="56"/>
    </row>
    <row r="404" spans="1:49" s="3" customFormat="1" ht="12.75" hidden="1" customHeight="1" x14ac:dyDescent="0.25">
      <c r="A404" s="1013"/>
      <c r="B404" s="57" t="s">
        <v>1179</v>
      </c>
      <c r="C404" s="222">
        <f>C394</f>
        <v>22.420123808013045</v>
      </c>
      <c r="D404" s="220"/>
      <c r="E404" s="68" t="s">
        <v>1598</v>
      </c>
      <c r="F404" s="69" t="s">
        <v>1441</v>
      </c>
      <c r="G404" s="70">
        <v>4.4000000000000004</v>
      </c>
      <c r="H404" s="70">
        <v>1</v>
      </c>
      <c r="I404" s="71">
        <f t="shared" si="37"/>
        <v>4.4000000000000004</v>
      </c>
      <c r="J404" s="59" t="s">
        <v>1513</v>
      </c>
      <c r="K404" s="61">
        <v>2</v>
      </c>
      <c r="L404" s="61">
        <v>25</v>
      </c>
      <c r="M404" s="61">
        <v>0.5</v>
      </c>
      <c r="N404" s="61">
        <v>2.5000000000000001E-2</v>
      </c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1"/>
      <c r="AB404" s="1"/>
      <c r="AC404" s="1"/>
      <c r="AD404" s="56"/>
      <c r="AF404" s="151"/>
      <c r="AG404" s="56"/>
      <c r="AH404" s="125"/>
      <c r="AI404" s="125"/>
      <c r="AJ404" s="136"/>
      <c r="AK404" s="125"/>
      <c r="AL404" s="127"/>
      <c r="AM404" s="125"/>
      <c r="AN404" s="125"/>
      <c r="AO404" s="128"/>
      <c r="AP404" s="125"/>
      <c r="AQ404" s="125"/>
      <c r="AR404" s="128"/>
      <c r="AS404" s="128"/>
      <c r="AT404" s="125"/>
      <c r="AU404" s="125"/>
      <c r="AV404" s="128"/>
      <c r="AW404" s="56"/>
    </row>
    <row r="405" spans="1:49" s="3" customFormat="1" ht="12.75" hidden="1" customHeight="1" x14ac:dyDescent="0.25">
      <c r="A405" s="1013"/>
      <c r="B405" s="57" t="s">
        <v>831</v>
      </c>
      <c r="C405" s="224"/>
      <c r="D405" s="220"/>
      <c r="E405" s="68" t="s">
        <v>1599</v>
      </c>
      <c r="F405" s="69" t="s">
        <v>1441</v>
      </c>
      <c r="G405" s="70">
        <v>77.28</v>
      </c>
      <c r="H405" s="69">
        <v>1</v>
      </c>
      <c r="I405" s="71">
        <f t="shared" si="37"/>
        <v>77.28</v>
      </c>
      <c r="J405" s="59"/>
      <c r="K405" s="61"/>
      <c r="L405" s="61"/>
      <c r="M405" s="61"/>
      <c r="N405" s="61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1"/>
      <c r="AB405" s="1"/>
      <c r="AC405" s="1"/>
      <c r="AD405" s="56"/>
      <c r="AF405" s="151"/>
      <c r="AG405" s="56"/>
      <c r="AH405" s="125"/>
      <c r="AI405" s="125"/>
      <c r="AJ405" s="136"/>
      <c r="AK405" s="125"/>
      <c r="AL405" s="127"/>
      <c r="AM405" s="125"/>
      <c r="AN405" s="125"/>
      <c r="AO405" s="128"/>
      <c r="AP405" s="125"/>
      <c r="AQ405" s="125"/>
      <c r="AR405" s="128"/>
      <c r="AS405" s="128"/>
      <c r="AT405" s="125"/>
      <c r="AU405" s="125"/>
      <c r="AV405" s="128"/>
      <c r="AW405" s="56"/>
    </row>
    <row r="406" spans="1:49" s="3" customFormat="1" ht="12.75" hidden="1" customHeight="1" x14ac:dyDescent="0.25">
      <c r="A406" s="1013"/>
      <c r="B406" s="74" t="s">
        <v>1178</v>
      </c>
      <c r="C406" s="225">
        <v>1</v>
      </c>
      <c r="D406" s="220"/>
      <c r="E406" s="68" t="s">
        <v>1442</v>
      </c>
      <c r="F406" s="69" t="s">
        <v>1443</v>
      </c>
      <c r="G406" s="70">
        <v>419.5</v>
      </c>
      <c r="H406" s="69">
        <v>1E-3</v>
      </c>
      <c r="I406" s="71">
        <f t="shared" si="37"/>
        <v>0.41949999999999998</v>
      </c>
      <c r="J406" s="59"/>
      <c r="K406" s="61"/>
      <c r="L406" s="61"/>
      <c r="M406" s="61"/>
      <c r="N406" s="61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1"/>
      <c r="AB406" s="1"/>
      <c r="AC406" s="1"/>
      <c r="AD406" s="56"/>
      <c r="AF406" s="151"/>
      <c r="AG406" s="56"/>
      <c r="AH406" s="125"/>
      <c r="AI406" s="125"/>
      <c r="AJ406" s="146"/>
      <c r="AK406" s="125"/>
      <c r="AL406" s="127"/>
      <c r="AM406" s="125"/>
      <c r="AN406" s="125"/>
      <c r="AO406" s="128"/>
      <c r="AP406" s="125"/>
      <c r="AQ406" s="125"/>
      <c r="AR406" s="128"/>
      <c r="AS406" s="128"/>
      <c r="AT406" s="125"/>
      <c r="AU406" s="125"/>
      <c r="AV406" s="128"/>
      <c r="AW406" s="56"/>
    </row>
    <row r="407" spans="1:49" s="3" customFormat="1" ht="12.75" hidden="1" customHeight="1" x14ac:dyDescent="0.25">
      <c r="A407" s="1013"/>
      <c r="B407" s="57" t="s">
        <v>1179</v>
      </c>
      <c r="C407" s="225">
        <v>2</v>
      </c>
      <c r="D407" s="220"/>
      <c r="E407" s="68" t="s">
        <v>1444</v>
      </c>
      <c r="F407" s="69" t="s">
        <v>1443</v>
      </c>
      <c r="G407" s="70">
        <v>872</v>
      </c>
      <c r="H407" s="69">
        <v>2E-3</v>
      </c>
      <c r="I407" s="71">
        <f t="shared" si="37"/>
        <v>1.744</v>
      </c>
      <c r="J407" s="59"/>
      <c r="K407" s="61"/>
      <c r="L407" s="61"/>
      <c r="M407" s="61"/>
      <c r="N407" s="61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1"/>
      <c r="AB407" s="1"/>
      <c r="AC407" s="1"/>
      <c r="AD407" s="56"/>
      <c r="AF407" s="151"/>
      <c r="AG407" s="56"/>
      <c r="AH407" s="125"/>
      <c r="AI407" s="125"/>
      <c r="AJ407" s="146"/>
      <c r="AK407" s="125"/>
      <c r="AL407" s="127"/>
      <c r="AM407" s="125"/>
      <c r="AN407" s="125"/>
      <c r="AO407" s="128"/>
      <c r="AP407" s="125"/>
      <c r="AQ407" s="125"/>
      <c r="AR407" s="128"/>
      <c r="AS407" s="128"/>
      <c r="AT407" s="125"/>
      <c r="AU407" s="125"/>
      <c r="AV407" s="128"/>
      <c r="AW407" s="56"/>
    </row>
    <row r="408" spans="1:49" s="3" customFormat="1" ht="12.75" hidden="1" customHeight="1" x14ac:dyDescent="0.25">
      <c r="A408" s="1013"/>
      <c r="B408" s="79" t="s">
        <v>1181</v>
      </c>
      <c r="C408" s="222">
        <f>C403*C406+C404*C407</f>
        <v>83.558113486095408</v>
      </c>
      <c r="D408" s="220"/>
      <c r="E408" s="228"/>
      <c r="F408" s="166"/>
      <c r="G408" s="70"/>
      <c r="H408" s="69"/>
      <c r="I408" s="71"/>
      <c r="J408" s="59"/>
      <c r="K408" s="170"/>
      <c r="L408" s="76"/>
      <c r="M408" s="72"/>
      <c r="N408" s="61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1"/>
      <c r="AB408" s="1"/>
      <c r="AC408" s="1"/>
      <c r="AD408" s="56"/>
      <c r="AF408" s="151"/>
      <c r="AG408" s="56"/>
      <c r="AH408" s="125"/>
      <c r="AI408" s="125"/>
      <c r="AJ408" s="136"/>
      <c r="AK408" s="125"/>
      <c r="AL408" s="127"/>
      <c r="AM408" s="125"/>
      <c r="AN408" s="125"/>
      <c r="AO408" s="128"/>
      <c r="AP408" s="125"/>
      <c r="AQ408" s="125"/>
      <c r="AR408" s="128"/>
      <c r="AS408" s="128"/>
      <c r="AT408" s="125"/>
      <c r="AU408" s="125"/>
      <c r="AV408" s="128"/>
      <c r="AW408" s="56"/>
    </row>
    <row r="409" spans="1:49" s="3" customFormat="1" ht="13.5" hidden="1" customHeight="1" x14ac:dyDescent="0.25">
      <c r="A409" s="1014"/>
      <c r="B409" s="123"/>
      <c r="C409" s="225"/>
      <c r="D409" s="221"/>
      <c r="E409" s="228"/>
      <c r="F409" s="166"/>
      <c r="G409" s="70"/>
      <c r="H409" s="69"/>
      <c r="I409" s="71"/>
      <c r="J409" s="59"/>
      <c r="K409" s="170"/>
      <c r="L409" s="61"/>
      <c r="M409" s="72"/>
      <c r="N409" s="61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1"/>
      <c r="AB409" s="1"/>
      <c r="AC409" s="1"/>
      <c r="AD409" s="56"/>
      <c r="AF409" s="151"/>
      <c r="AG409" s="56"/>
      <c r="AH409" s="125"/>
      <c r="AI409" s="125"/>
      <c r="AJ409" s="146"/>
      <c r="AK409" s="125"/>
      <c r="AL409" s="127"/>
      <c r="AM409" s="125"/>
      <c r="AN409" s="125"/>
      <c r="AO409" s="128"/>
      <c r="AP409" s="125"/>
      <c r="AQ409" s="125"/>
      <c r="AR409" s="128"/>
      <c r="AS409" s="128"/>
      <c r="AT409" s="125"/>
      <c r="AU409" s="125"/>
      <c r="AV409" s="128"/>
      <c r="AW409" s="56"/>
    </row>
    <row r="410" spans="1:49" s="3" customFormat="1" ht="56.25" hidden="1" customHeight="1" x14ac:dyDescent="0.25">
      <c r="A410" s="1012" t="s">
        <v>1639</v>
      </c>
      <c r="B410" s="258" t="s">
        <v>750</v>
      </c>
      <c r="C410" s="222"/>
      <c r="D410" s="219"/>
      <c r="E410" s="226" t="s">
        <v>488</v>
      </c>
      <c r="F410" s="53" t="s">
        <v>837</v>
      </c>
      <c r="G410" s="51" t="s">
        <v>489</v>
      </c>
      <c r="H410" s="52" t="s">
        <v>1170</v>
      </c>
      <c r="I410" s="53" t="s">
        <v>838</v>
      </c>
      <c r="J410" s="47" t="s">
        <v>1171</v>
      </c>
      <c r="K410" s="47" t="s">
        <v>490</v>
      </c>
      <c r="L410" s="54" t="s">
        <v>489</v>
      </c>
      <c r="M410" s="47" t="s">
        <v>1172</v>
      </c>
      <c r="N410" s="53" t="s">
        <v>838</v>
      </c>
      <c r="O410" s="47" t="s">
        <v>1171</v>
      </c>
      <c r="P410" s="47" t="s">
        <v>826</v>
      </c>
      <c r="Q410" s="47" t="s">
        <v>1173</v>
      </c>
      <c r="R410" s="47" t="s">
        <v>1174</v>
      </c>
      <c r="S410" s="47" t="s">
        <v>839</v>
      </c>
      <c r="T410" s="47" t="s">
        <v>1171</v>
      </c>
      <c r="U410" s="47" t="s">
        <v>1392</v>
      </c>
      <c r="V410" s="47" t="s">
        <v>841</v>
      </c>
      <c r="W410" s="231" t="s">
        <v>1173</v>
      </c>
      <c r="X410" s="47" t="s">
        <v>1394</v>
      </c>
      <c r="Y410" s="47" t="s">
        <v>839</v>
      </c>
      <c r="Z410" s="55"/>
      <c r="AA410" s="1"/>
      <c r="AB410" s="1"/>
      <c r="AC410" s="1"/>
      <c r="AD410" s="56"/>
      <c r="AF410" s="81"/>
      <c r="AG410" s="56"/>
      <c r="AH410" s="125"/>
      <c r="AI410" s="125"/>
      <c r="AJ410" s="125"/>
      <c r="AK410" s="125"/>
      <c r="AL410" s="127"/>
      <c r="AM410" s="125"/>
      <c r="AN410" s="125"/>
      <c r="AO410" s="128"/>
      <c r="AP410" s="125"/>
      <c r="AQ410" s="139"/>
      <c r="AR410" s="139"/>
      <c r="AS410" s="139"/>
      <c r="AT410" s="125"/>
      <c r="AU410" s="125"/>
      <c r="AV410" s="128"/>
      <c r="AW410" s="56"/>
    </row>
    <row r="411" spans="1:49" s="3" customFormat="1" ht="12" hidden="1" customHeight="1" x14ac:dyDescent="0.25">
      <c r="A411" s="1013"/>
      <c r="B411" s="36" t="s">
        <v>1175</v>
      </c>
      <c r="C411" s="222">
        <f>C418</f>
        <v>102.91704642113005</v>
      </c>
      <c r="D411" s="219">
        <f>C411*$D$5</f>
        <v>20.789243377068271</v>
      </c>
      <c r="E411" s="227" t="s">
        <v>1176</v>
      </c>
      <c r="F411" s="165"/>
      <c r="G411" s="58"/>
      <c r="H411" s="58"/>
      <c r="I411" s="2">
        <f>SUM(I412:I419)</f>
        <v>83.8536</v>
      </c>
      <c r="J411" s="59" t="s">
        <v>1176</v>
      </c>
      <c r="K411" s="169"/>
      <c r="L411" s="60"/>
      <c r="M411" s="60"/>
      <c r="N411" s="61">
        <f>SUM(N412:N419)</f>
        <v>8.4000000000000005E-2</v>
      </c>
      <c r="O411" s="60" t="s">
        <v>1176</v>
      </c>
      <c r="P411" s="60"/>
      <c r="Q411" s="62"/>
      <c r="R411" s="63"/>
      <c r="S411" s="61">
        <f>SUM(S412:S419)</f>
        <v>9.7215000000000007</v>
      </c>
      <c r="T411" s="61"/>
      <c r="U411" s="61"/>
      <c r="V411" s="61"/>
      <c r="W411" s="61"/>
      <c r="X411" s="61"/>
      <c r="Y411" s="61">
        <f>SUM(Y412:Y419)</f>
        <v>9.1999999999999998E-3</v>
      </c>
      <c r="Z411" s="64">
        <f>(C411+D411+I411+N411+S411+Y411)*$Z$5</f>
        <v>282.62776638193128</v>
      </c>
      <c r="AA411" s="65">
        <f>C411+D411+I411+N411+S411+Y411+Z411</f>
        <v>500.0023561801296</v>
      </c>
      <c r="AB411" s="66">
        <v>0.25</v>
      </c>
      <c r="AC411" s="244">
        <f>AA411*(1+AB411)</f>
        <v>625.00294522516197</v>
      </c>
      <c r="AD411" s="67"/>
      <c r="AF411" s="81"/>
      <c r="AG411" s="56"/>
      <c r="AH411" s="125"/>
      <c r="AI411" s="139"/>
      <c r="AJ411" s="140"/>
      <c r="AK411" s="141"/>
      <c r="AL411" s="127"/>
      <c r="AM411" s="142"/>
      <c r="AN411" s="143"/>
      <c r="AO411" s="142"/>
      <c r="AP411" s="139"/>
      <c r="AQ411" s="139"/>
      <c r="AR411" s="139"/>
      <c r="AS411" s="139"/>
      <c r="AT411" s="139"/>
      <c r="AU411" s="142"/>
      <c r="AV411" s="142"/>
      <c r="AW411" s="144"/>
    </row>
    <row r="412" spans="1:49" s="3" customFormat="1" ht="12.75" hidden="1" customHeight="1" x14ac:dyDescent="0.25">
      <c r="A412" s="1013"/>
      <c r="B412" s="50" t="s">
        <v>830</v>
      </c>
      <c r="C412" s="222"/>
      <c r="D412" s="220"/>
      <c r="E412" s="68" t="s">
        <v>1437</v>
      </c>
      <c r="F412" s="69" t="s">
        <v>1438</v>
      </c>
      <c r="G412" s="70">
        <v>0.74</v>
      </c>
      <c r="H412" s="69">
        <v>0.01</v>
      </c>
      <c r="I412" s="71">
        <f t="shared" ref="I412:I417" si="38">G412*H412</f>
        <v>7.4000000000000003E-3</v>
      </c>
      <c r="J412" s="59" t="s">
        <v>1291</v>
      </c>
      <c r="K412" s="61">
        <v>2</v>
      </c>
      <c r="L412" s="61">
        <v>640</v>
      </c>
      <c r="M412" s="61">
        <v>2</v>
      </c>
      <c r="N412" s="61">
        <v>0.05</v>
      </c>
      <c r="O412" s="60" t="s">
        <v>1239</v>
      </c>
      <c r="P412" s="60">
        <v>61189.5</v>
      </c>
      <c r="Q412" s="60">
        <v>19.670000000000002</v>
      </c>
      <c r="R412" s="60">
        <v>6513.87</v>
      </c>
      <c r="S412" s="60">
        <v>9.7215000000000007</v>
      </c>
      <c r="T412" s="239" t="s">
        <v>1435</v>
      </c>
      <c r="U412" s="240">
        <v>6785401.3499999996</v>
      </c>
      <c r="V412" s="241">
        <v>1.32E-2</v>
      </c>
      <c r="W412" s="239">
        <v>1508.3</v>
      </c>
      <c r="X412" s="61">
        <v>59.38</v>
      </c>
      <c r="Y412" s="60">
        <v>9.1999999999999998E-3</v>
      </c>
      <c r="Z412" s="60"/>
      <c r="AA412" s="1"/>
      <c r="AB412" s="1"/>
      <c r="AC412" s="1"/>
      <c r="AD412" s="56"/>
      <c r="AF412" s="151"/>
      <c r="AG412" s="56"/>
      <c r="AH412" s="125"/>
      <c r="AI412" s="125"/>
      <c r="AJ412" s="136"/>
      <c r="AK412" s="125"/>
      <c r="AL412" s="127"/>
      <c r="AM412" s="125"/>
      <c r="AN412" s="125"/>
      <c r="AO412" s="128"/>
      <c r="AP412" s="125"/>
      <c r="AQ412" s="125"/>
      <c r="AR412" s="128"/>
      <c r="AS412" s="128"/>
      <c r="AT412" s="125"/>
      <c r="AU412" s="125"/>
      <c r="AV412" s="128"/>
      <c r="AW412" s="56"/>
    </row>
    <row r="413" spans="1:49" s="3" customFormat="1" hidden="1" x14ac:dyDescent="0.25">
      <c r="A413" s="1013"/>
      <c r="B413" s="74" t="s">
        <v>1178</v>
      </c>
      <c r="C413" s="223">
        <f>C403</f>
        <v>38.717865870069311</v>
      </c>
      <c r="D413" s="220"/>
      <c r="E413" s="68" t="s">
        <v>1439</v>
      </c>
      <c r="F413" s="69" t="s">
        <v>1438</v>
      </c>
      <c r="G413" s="70">
        <v>0.27</v>
      </c>
      <c r="H413" s="69">
        <v>0.01</v>
      </c>
      <c r="I413" s="242">
        <f t="shared" si="38"/>
        <v>2.7000000000000001E-3</v>
      </c>
      <c r="J413" s="59" t="s">
        <v>1445</v>
      </c>
      <c r="K413" s="61">
        <v>2</v>
      </c>
      <c r="L413" s="61">
        <v>84</v>
      </c>
      <c r="M413" s="61">
        <v>2</v>
      </c>
      <c r="N413" s="61">
        <v>8.9999999999999993E-3</v>
      </c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1"/>
      <c r="AB413" s="1"/>
      <c r="AC413" s="1"/>
      <c r="AD413" s="56"/>
      <c r="AF413" s="151"/>
      <c r="AG413" s="56"/>
      <c r="AH413" s="125"/>
      <c r="AI413" s="125"/>
      <c r="AJ413" s="136"/>
      <c r="AK413" s="125"/>
      <c r="AL413" s="127"/>
      <c r="AM413" s="145"/>
      <c r="AN413" s="125"/>
      <c r="AO413" s="128"/>
      <c r="AP413" s="125"/>
      <c r="AQ413" s="125"/>
      <c r="AR413" s="128"/>
      <c r="AS413" s="128"/>
      <c r="AT413" s="125"/>
      <c r="AU413" s="125"/>
      <c r="AV413" s="128"/>
      <c r="AW413" s="56"/>
    </row>
    <row r="414" spans="1:49" s="3" customFormat="1" ht="12.75" hidden="1" customHeight="1" x14ac:dyDescent="0.25">
      <c r="A414" s="1013"/>
      <c r="B414" s="57" t="s">
        <v>1179</v>
      </c>
      <c r="C414" s="222">
        <f>C404</f>
        <v>22.420123808013045</v>
      </c>
      <c r="D414" s="220"/>
      <c r="E414" s="68" t="s">
        <v>1598</v>
      </c>
      <c r="F414" s="69" t="s">
        <v>1441</v>
      </c>
      <c r="G414" s="70">
        <v>4.4000000000000004</v>
      </c>
      <c r="H414" s="70">
        <v>1</v>
      </c>
      <c r="I414" s="71">
        <f t="shared" si="38"/>
        <v>4.4000000000000004</v>
      </c>
      <c r="J414" s="59" t="s">
        <v>1513</v>
      </c>
      <c r="K414" s="61">
        <v>2</v>
      </c>
      <c r="L414" s="61">
        <v>25</v>
      </c>
      <c r="M414" s="61">
        <v>0.5</v>
      </c>
      <c r="N414" s="61">
        <v>2.5000000000000001E-2</v>
      </c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1"/>
      <c r="AB414" s="1"/>
      <c r="AC414" s="1"/>
      <c r="AD414" s="56"/>
      <c r="AF414" s="151"/>
      <c r="AG414" s="56"/>
      <c r="AH414" s="125"/>
      <c r="AI414" s="125"/>
      <c r="AJ414" s="136"/>
      <c r="AK414" s="125"/>
      <c r="AL414" s="127"/>
      <c r="AM414" s="125"/>
      <c r="AN414" s="125"/>
      <c r="AO414" s="128"/>
      <c r="AP414" s="125"/>
      <c r="AQ414" s="125"/>
      <c r="AR414" s="128"/>
      <c r="AS414" s="128"/>
      <c r="AT414" s="125"/>
      <c r="AU414" s="125"/>
      <c r="AV414" s="128"/>
      <c r="AW414" s="56"/>
    </row>
    <row r="415" spans="1:49" s="3" customFormat="1" ht="12.75" hidden="1" customHeight="1" x14ac:dyDescent="0.25">
      <c r="A415" s="1013"/>
      <c r="B415" s="57" t="s">
        <v>831</v>
      </c>
      <c r="C415" s="224"/>
      <c r="D415" s="220"/>
      <c r="E415" s="68" t="s">
        <v>1599</v>
      </c>
      <c r="F415" s="69" t="s">
        <v>1441</v>
      </c>
      <c r="G415" s="70">
        <v>77.28</v>
      </c>
      <c r="H415" s="69">
        <v>1</v>
      </c>
      <c r="I415" s="71">
        <f t="shared" si="38"/>
        <v>77.28</v>
      </c>
      <c r="J415" s="59"/>
      <c r="K415" s="61"/>
      <c r="L415" s="61"/>
      <c r="M415" s="61"/>
      <c r="N415" s="61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1"/>
      <c r="AB415" s="1"/>
      <c r="AC415" s="1"/>
      <c r="AD415" s="56"/>
      <c r="AF415" s="151"/>
      <c r="AG415" s="56"/>
      <c r="AH415" s="125"/>
      <c r="AI415" s="125"/>
      <c r="AJ415" s="136"/>
      <c r="AK415" s="125"/>
      <c r="AL415" s="127"/>
      <c r="AM415" s="125"/>
      <c r="AN415" s="125"/>
      <c r="AO415" s="128"/>
      <c r="AP415" s="125"/>
      <c r="AQ415" s="125"/>
      <c r="AR415" s="128"/>
      <c r="AS415" s="128"/>
      <c r="AT415" s="125"/>
      <c r="AU415" s="125"/>
      <c r="AV415" s="128"/>
      <c r="AW415" s="56"/>
    </row>
    <row r="416" spans="1:49" s="3" customFormat="1" ht="12.75" hidden="1" customHeight="1" x14ac:dyDescent="0.25">
      <c r="A416" s="1013"/>
      <c r="B416" s="74" t="s">
        <v>1178</v>
      </c>
      <c r="C416" s="225">
        <v>1.5</v>
      </c>
      <c r="D416" s="220"/>
      <c r="E416" s="68" t="s">
        <v>1442</v>
      </c>
      <c r="F416" s="69" t="s">
        <v>1443</v>
      </c>
      <c r="G416" s="70">
        <v>419.5</v>
      </c>
      <c r="H416" s="69">
        <v>1E-3</v>
      </c>
      <c r="I416" s="71">
        <f t="shared" si="38"/>
        <v>0.41949999999999998</v>
      </c>
      <c r="J416" s="59"/>
      <c r="K416" s="61"/>
      <c r="L416" s="61"/>
      <c r="M416" s="61"/>
      <c r="N416" s="61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1"/>
      <c r="AB416" s="1"/>
      <c r="AC416" s="1"/>
      <c r="AD416" s="56"/>
      <c r="AF416" s="151"/>
      <c r="AG416" s="56"/>
      <c r="AH416" s="125"/>
      <c r="AI416" s="125"/>
      <c r="AJ416" s="146"/>
      <c r="AK416" s="125"/>
      <c r="AL416" s="127"/>
      <c r="AM416" s="125"/>
      <c r="AN416" s="125"/>
      <c r="AO416" s="128"/>
      <c r="AP416" s="125"/>
      <c r="AQ416" s="125"/>
      <c r="AR416" s="128"/>
      <c r="AS416" s="128"/>
      <c r="AT416" s="125"/>
      <c r="AU416" s="125"/>
      <c r="AV416" s="128"/>
      <c r="AW416" s="56"/>
    </row>
    <row r="417" spans="1:49" s="3" customFormat="1" ht="12.75" hidden="1" customHeight="1" x14ac:dyDescent="0.25">
      <c r="A417" s="1013"/>
      <c r="B417" s="57" t="s">
        <v>1179</v>
      </c>
      <c r="C417" s="225">
        <v>2</v>
      </c>
      <c r="D417" s="220"/>
      <c r="E417" s="68" t="s">
        <v>1444</v>
      </c>
      <c r="F417" s="69" t="s">
        <v>1443</v>
      </c>
      <c r="G417" s="70">
        <v>872</v>
      </c>
      <c r="H417" s="69">
        <v>2E-3</v>
      </c>
      <c r="I417" s="71">
        <f t="shared" si="38"/>
        <v>1.744</v>
      </c>
      <c r="J417" s="59"/>
      <c r="K417" s="61"/>
      <c r="L417" s="61"/>
      <c r="M417" s="61"/>
      <c r="N417" s="61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1"/>
      <c r="AB417" s="1"/>
      <c r="AC417" s="1"/>
      <c r="AD417" s="56"/>
      <c r="AF417" s="151"/>
      <c r="AG417" s="56"/>
      <c r="AH417" s="125"/>
      <c r="AI417" s="125"/>
      <c r="AJ417" s="146"/>
      <c r="AK417" s="125"/>
      <c r="AL417" s="127"/>
      <c r="AM417" s="125"/>
      <c r="AN417" s="125"/>
      <c r="AO417" s="128"/>
      <c r="AP417" s="125"/>
      <c r="AQ417" s="125"/>
      <c r="AR417" s="128"/>
      <c r="AS417" s="128"/>
      <c r="AT417" s="125"/>
      <c r="AU417" s="125"/>
      <c r="AV417" s="128"/>
      <c r="AW417" s="56"/>
    </row>
    <row r="418" spans="1:49" s="3" customFormat="1" ht="12.75" hidden="1" customHeight="1" x14ac:dyDescent="0.25">
      <c r="A418" s="1013"/>
      <c r="B418" s="79" t="s">
        <v>1181</v>
      </c>
      <c r="C418" s="222">
        <f>C413*C416+C414*C417</f>
        <v>102.91704642113005</v>
      </c>
      <c r="D418" s="220"/>
      <c r="E418" s="228"/>
      <c r="F418" s="166"/>
      <c r="G418" s="70"/>
      <c r="H418" s="69"/>
      <c r="I418" s="71"/>
      <c r="J418" s="59"/>
      <c r="K418" s="170"/>
      <c r="L418" s="76"/>
      <c r="M418" s="72"/>
      <c r="N418" s="61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1"/>
      <c r="AB418" s="1"/>
      <c r="AC418" s="1"/>
      <c r="AD418" s="56"/>
      <c r="AF418" s="151"/>
      <c r="AG418" s="56"/>
      <c r="AH418" s="125"/>
      <c r="AI418" s="125"/>
      <c r="AJ418" s="136"/>
      <c r="AK418" s="125"/>
      <c r="AL418" s="127"/>
      <c r="AM418" s="125"/>
      <c r="AN418" s="125"/>
      <c r="AO418" s="128"/>
      <c r="AP418" s="125"/>
      <c r="AQ418" s="125"/>
      <c r="AR418" s="128"/>
      <c r="AS418" s="128"/>
      <c r="AT418" s="125"/>
      <c r="AU418" s="125"/>
      <c r="AV418" s="128"/>
      <c r="AW418" s="56"/>
    </row>
    <row r="419" spans="1:49" s="3" customFormat="1" ht="13.5" hidden="1" customHeight="1" x14ac:dyDescent="0.25">
      <c r="A419" s="1014"/>
      <c r="B419" s="123"/>
      <c r="C419" s="225"/>
      <c r="D419" s="221"/>
      <c r="E419" s="228"/>
      <c r="F419" s="166"/>
      <c r="G419" s="70"/>
      <c r="H419" s="69"/>
      <c r="I419" s="71"/>
      <c r="J419" s="59"/>
      <c r="K419" s="170"/>
      <c r="L419" s="61"/>
      <c r="M419" s="72"/>
      <c r="N419" s="61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1"/>
      <c r="AB419" s="1"/>
      <c r="AC419" s="1"/>
      <c r="AD419" s="56"/>
      <c r="AF419" s="151"/>
      <c r="AG419" s="56"/>
      <c r="AH419" s="125"/>
      <c r="AI419" s="125"/>
      <c r="AJ419" s="146"/>
      <c r="AK419" s="125"/>
      <c r="AL419" s="127"/>
      <c r="AM419" s="125"/>
      <c r="AN419" s="125"/>
      <c r="AO419" s="128"/>
      <c r="AP419" s="125"/>
      <c r="AQ419" s="125"/>
      <c r="AR419" s="128"/>
      <c r="AS419" s="128"/>
      <c r="AT419" s="125"/>
      <c r="AU419" s="125"/>
      <c r="AV419" s="128"/>
      <c r="AW419" s="56"/>
    </row>
    <row r="420" spans="1:49" s="3" customFormat="1" ht="56.25" hidden="1" customHeight="1" x14ac:dyDescent="0.25">
      <c r="A420" s="1012" t="s">
        <v>1640</v>
      </c>
      <c r="B420" s="258" t="s">
        <v>751</v>
      </c>
      <c r="C420" s="222"/>
      <c r="D420" s="219"/>
      <c r="E420" s="226" t="s">
        <v>488</v>
      </c>
      <c r="F420" s="53" t="s">
        <v>837</v>
      </c>
      <c r="G420" s="51" t="s">
        <v>489</v>
      </c>
      <c r="H420" s="52" t="s">
        <v>1170</v>
      </c>
      <c r="I420" s="53" t="s">
        <v>838</v>
      </c>
      <c r="J420" s="47" t="s">
        <v>1171</v>
      </c>
      <c r="K420" s="47" t="s">
        <v>490</v>
      </c>
      <c r="L420" s="54" t="s">
        <v>489</v>
      </c>
      <c r="M420" s="47" t="s">
        <v>1172</v>
      </c>
      <c r="N420" s="53" t="s">
        <v>838</v>
      </c>
      <c r="O420" s="47" t="s">
        <v>1171</v>
      </c>
      <c r="P420" s="47" t="s">
        <v>826</v>
      </c>
      <c r="Q420" s="47" t="s">
        <v>1173</v>
      </c>
      <c r="R420" s="47" t="s">
        <v>1174</v>
      </c>
      <c r="S420" s="47" t="s">
        <v>839</v>
      </c>
      <c r="T420" s="47" t="s">
        <v>1171</v>
      </c>
      <c r="U420" s="47" t="s">
        <v>1392</v>
      </c>
      <c r="V420" s="47" t="s">
        <v>841</v>
      </c>
      <c r="W420" s="231" t="s">
        <v>1173</v>
      </c>
      <c r="X420" s="47" t="s">
        <v>1394</v>
      </c>
      <c r="Y420" s="47" t="s">
        <v>839</v>
      </c>
      <c r="Z420" s="55"/>
      <c r="AA420" s="1"/>
      <c r="AB420" s="1"/>
      <c r="AC420" s="1"/>
      <c r="AD420" s="56"/>
      <c r="AF420" s="81"/>
      <c r="AG420" s="56"/>
      <c r="AH420" s="125"/>
      <c r="AI420" s="125"/>
      <c r="AJ420" s="125"/>
      <c r="AK420" s="125"/>
      <c r="AL420" s="127"/>
      <c r="AM420" s="125"/>
      <c r="AN420" s="125"/>
      <c r="AO420" s="128"/>
      <c r="AP420" s="125"/>
      <c r="AQ420" s="139"/>
      <c r="AR420" s="139"/>
      <c r="AS420" s="139"/>
      <c r="AT420" s="125"/>
      <c r="AU420" s="125"/>
      <c r="AV420" s="128"/>
      <c r="AW420" s="56"/>
    </row>
    <row r="421" spans="1:49" s="3" customFormat="1" ht="12" hidden="1" customHeight="1" x14ac:dyDescent="0.25">
      <c r="A421" s="1013"/>
      <c r="B421" s="36" t="s">
        <v>1175</v>
      </c>
      <c r="C421" s="222">
        <f>C428</f>
        <v>72.348051582088885</v>
      </c>
      <c r="D421" s="219">
        <f>C421*$D$5</f>
        <v>14.614306419581956</v>
      </c>
      <c r="E421" s="227" t="s">
        <v>1176</v>
      </c>
      <c r="F421" s="165"/>
      <c r="G421" s="58"/>
      <c r="H421" s="58"/>
      <c r="I421" s="2">
        <f>SUM(I422:I429)</f>
        <v>83.8536</v>
      </c>
      <c r="J421" s="59" t="s">
        <v>1176</v>
      </c>
      <c r="K421" s="169"/>
      <c r="L421" s="60"/>
      <c r="M421" s="60"/>
      <c r="N421" s="61">
        <f>SUM(N422:N429)</f>
        <v>8.4000000000000005E-2</v>
      </c>
      <c r="O421" s="60" t="s">
        <v>1176</v>
      </c>
      <c r="P421" s="60"/>
      <c r="Q421" s="62"/>
      <c r="R421" s="63"/>
      <c r="S421" s="61">
        <f>SUM(S422:S429)</f>
        <v>9.7215000000000007</v>
      </c>
      <c r="T421" s="61"/>
      <c r="U421" s="61"/>
      <c r="V421" s="61"/>
      <c r="W421" s="61"/>
      <c r="X421" s="61"/>
      <c r="Y421" s="61">
        <f>SUM(Y422:Y429)</f>
        <v>9.1999999999999998E-3</v>
      </c>
      <c r="Z421" s="64">
        <f>(C421+D421+I421+N421+S421+Y421)*$Z$5</f>
        <v>234.85375847519541</v>
      </c>
      <c r="AA421" s="65">
        <f>C421+D421+I421+N421+S421+Y421+Z421</f>
        <v>415.48441647686622</v>
      </c>
      <c r="AB421" s="66">
        <v>0.25</v>
      </c>
      <c r="AC421" s="244">
        <f>AA421*(1+AB421)</f>
        <v>519.35552059608278</v>
      </c>
      <c r="AD421" s="67"/>
      <c r="AF421" s="81"/>
      <c r="AG421" s="56"/>
      <c r="AH421" s="125"/>
      <c r="AI421" s="139"/>
      <c r="AJ421" s="140"/>
      <c r="AK421" s="141"/>
      <c r="AL421" s="127"/>
      <c r="AM421" s="142"/>
      <c r="AN421" s="143"/>
      <c r="AO421" s="142"/>
      <c r="AP421" s="139"/>
      <c r="AQ421" s="139"/>
      <c r="AR421" s="139"/>
      <c r="AS421" s="139"/>
      <c r="AT421" s="139"/>
      <c r="AU421" s="142"/>
      <c r="AV421" s="142"/>
      <c r="AW421" s="144"/>
    </row>
    <row r="422" spans="1:49" s="3" customFormat="1" ht="12.75" hidden="1" customHeight="1" x14ac:dyDescent="0.25">
      <c r="A422" s="1013"/>
      <c r="B422" s="50" t="s">
        <v>830</v>
      </c>
      <c r="C422" s="222"/>
      <c r="D422" s="220"/>
      <c r="E422" s="68" t="s">
        <v>1437</v>
      </c>
      <c r="F422" s="69" t="s">
        <v>1438</v>
      </c>
      <c r="G422" s="70">
        <v>0.74</v>
      </c>
      <c r="H422" s="69">
        <v>0.01</v>
      </c>
      <c r="I422" s="71">
        <f t="shared" ref="I422:I427" si="39">G422*H422</f>
        <v>7.4000000000000003E-3</v>
      </c>
      <c r="J422" s="59" t="s">
        <v>1291</v>
      </c>
      <c r="K422" s="61">
        <v>2</v>
      </c>
      <c r="L422" s="61">
        <v>640</v>
      </c>
      <c r="M422" s="61">
        <v>2</v>
      </c>
      <c r="N422" s="61">
        <v>0.05</v>
      </c>
      <c r="O422" s="60" t="s">
        <v>1239</v>
      </c>
      <c r="P422" s="60">
        <v>61189.5</v>
      </c>
      <c r="Q422" s="60">
        <v>19.670000000000002</v>
      </c>
      <c r="R422" s="60">
        <v>6513.87</v>
      </c>
      <c r="S422" s="60">
        <v>9.7215000000000007</v>
      </c>
      <c r="T422" s="239" t="s">
        <v>1435</v>
      </c>
      <c r="U422" s="240">
        <v>6785401.3499999996</v>
      </c>
      <c r="V422" s="241">
        <v>1.32E-2</v>
      </c>
      <c r="W422" s="239">
        <v>1508.3</v>
      </c>
      <c r="X422" s="61">
        <v>59.38</v>
      </c>
      <c r="Y422" s="60">
        <v>9.1999999999999998E-3</v>
      </c>
      <c r="Z422" s="60"/>
      <c r="AA422" s="1"/>
      <c r="AB422" s="1"/>
      <c r="AC422" s="1"/>
      <c r="AD422" s="56"/>
      <c r="AF422" s="151"/>
      <c r="AG422" s="56"/>
      <c r="AH422" s="125"/>
      <c r="AI422" s="125"/>
      <c r="AJ422" s="136"/>
      <c r="AK422" s="125"/>
      <c r="AL422" s="127"/>
      <c r="AM422" s="125"/>
      <c r="AN422" s="125"/>
      <c r="AO422" s="128"/>
      <c r="AP422" s="125"/>
      <c r="AQ422" s="125"/>
      <c r="AR422" s="128"/>
      <c r="AS422" s="128"/>
      <c r="AT422" s="125"/>
      <c r="AU422" s="125"/>
      <c r="AV422" s="128"/>
      <c r="AW422" s="56"/>
    </row>
    <row r="423" spans="1:49" s="3" customFormat="1" hidden="1" x14ac:dyDescent="0.25">
      <c r="A423" s="1013"/>
      <c r="B423" s="74" t="s">
        <v>1178</v>
      </c>
      <c r="C423" s="223">
        <f>C413</f>
        <v>38.717865870069311</v>
      </c>
      <c r="D423" s="220"/>
      <c r="E423" s="68" t="s">
        <v>1439</v>
      </c>
      <c r="F423" s="69" t="s">
        <v>1438</v>
      </c>
      <c r="G423" s="70">
        <v>0.27</v>
      </c>
      <c r="H423" s="69">
        <v>0.01</v>
      </c>
      <c r="I423" s="242">
        <f t="shared" si="39"/>
        <v>2.7000000000000001E-3</v>
      </c>
      <c r="J423" s="59" t="s">
        <v>1445</v>
      </c>
      <c r="K423" s="61">
        <v>2</v>
      </c>
      <c r="L423" s="61">
        <v>84</v>
      </c>
      <c r="M423" s="61">
        <v>2</v>
      </c>
      <c r="N423" s="61">
        <v>8.9999999999999993E-3</v>
      </c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1"/>
      <c r="AB423" s="1"/>
      <c r="AC423" s="1"/>
      <c r="AD423" s="56"/>
      <c r="AF423" s="151"/>
      <c r="AG423" s="56"/>
      <c r="AH423" s="125"/>
      <c r="AI423" s="125"/>
      <c r="AJ423" s="136"/>
      <c r="AK423" s="125"/>
      <c r="AL423" s="127"/>
      <c r="AM423" s="145"/>
      <c r="AN423" s="125"/>
      <c r="AO423" s="128"/>
      <c r="AP423" s="125"/>
      <c r="AQ423" s="125"/>
      <c r="AR423" s="128"/>
      <c r="AS423" s="128"/>
      <c r="AT423" s="125"/>
      <c r="AU423" s="125"/>
      <c r="AV423" s="128"/>
      <c r="AW423" s="56"/>
    </row>
    <row r="424" spans="1:49" s="3" customFormat="1" ht="12.75" hidden="1" customHeight="1" x14ac:dyDescent="0.25">
      <c r="A424" s="1013"/>
      <c r="B424" s="57" t="s">
        <v>1179</v>
      </c>
      <c r="C424" s="222">
        <f>C414</f>
        <v>22.420123808013045</v>
      </c>
      <c r="D424" s="220"/>
      <c r="E424" s="68" t="s">
        <v>1598</v>
      </c>
      <c r="F424" s="69" t="s">
        <v>1441</v>
      </c>
      <c r="G424" s="70">
        <v>4.4000000000000004</v>
      </c>
      <c r="H424" s="70">
        <v>1</v>
      </c>
      <c r="I424" s="71">
        <f t="shared" si="39"/>
        <v>4.4000000000000004</v>
      </c>
      <c r="J424" s="59" t="s">
        <v>1513</v>
      </c>
      <c r="K424" s="61">
        <v>2</v>
      </c>
      <c r="L424" s="61">
        <v>25</v>
      </c>
      <c r="M424" s="61">
        <v>0.5</v>
      </c>
      <c r="N424" s="61">
        <v>2.5000000000000001E-2</v>
      </c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1"/>
      <c r="AB424" s="1"/>
      <c r="AC424" s="1"/>
      <c r="AD424" s="56"/>
      <c r="AF424" s="151"/>
      <c r="AG424" s="56"/>
      <c r="AH424" s="125"/>
      <c r="AI424" s="125"/>
      <c r="AJ424" s="136"/>
      <c r="AK424" s="125"/>
      <c r="AL424" s="127"/>
      <c r="AM424" s="125"/>
      <c r="AN424" s="125"/>
      <c r="AO424" s="128"/>
      <c r="AP424" s="125"/>
      <c r="AQ424" s="125"/>
      <c r="AR424" s="128"/>
      <c r="AS424" s="128"/>
      <c r="AT424" s="125"/>
      <c r="AU424" s="125"/>
      <c r="AV424" s="128"/>
      <c r="AW424" s="56"/>
    </row>
    <row r="425" spans="1:49" s="3" customFormat="1" ht="12.75" hidden="1" customHeight="1" x14ac:dyDescent="0.25">
      <c r="A425" s="1013"/>
      <c r="B425" s="57" t="s">
        <v>831</v>
      </c>
      <c r="C425" s="224"/>
      <c r="D425" s="220"/>
      <c r="E425" s="68" t="s">
        <v>1599</v>
      </c>
      <c r="F425" s="69" t="s">
        <v>1441</v>
      </c>
      <c r="G425" s="70">
        <v>77.28</v>
      </c>
      <c r="H425" s="69">
        <v>1</v>
      </c>
      <c r="I425" s="71">
        <f t="shared" si="39"/>
        <v>77.28</v>
      </c>
      <c r="J425" s="59"/>
      <c r="K425" s="61"/>
      <c r="L425" s="61"/>
      <c r="M425" s="61"/>
      <c r="N425" s="61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1"/>
      <c r="AB425" s="1"/>
      <c r="AC425" s="1"/>
      <c r="AD425" s="56"/>
      <c r="AF425" s="151"/>
      <c r="AG425" s="56"/>
      <c r="AH425" s="125"/>
      <c r="AI425" s="125"/>
      <c r="AJ425" s="136"/>
      <c r="AK425" s="125"/>
      <c r="AL425" s="127"/>
      <c r="AM425" s="125"/>
      <c r="AN425" s="125"/>
      <c r="AO425" s="128"/>
      <c r="AP425" s="125"/>
      <c r="AQ425" s="125"/>
      <c r="AR425" s="128"/>
      <c r="AS425" s="128"/>
      <c r="AT425" s="125"/>
      <c r="AU425" s="125"/>
      <c r="AV425" s="128"/>
      <c r="AW425" s="56"/>
    </row>
    <row r="426" spans="1:49" s="3" customFormat="1" ht="12.75" hidden="1" customHeight="1" x14ac:dyDescent="0.25">
      <c r="A426" s="1013"/>
      <c r="B426" s="74" t="s">
        <v>1178</v>
      </c>
      <c r="C426" s="225">
        <v>1</v>
      </c>
      <c r="D426" s="220"/>
      <c r="E426" s="68" t="s">
        <v>1442</v>
      </c>
      <c r="F426" s="69" t="s">
        <v>1443</v>
      </c>
      <c r="G426" s="70">
        <v>419.5</v>
      </c>
      <c r="H426" s="69">
        <v>1E-3</v>
      </c>
      <c r="I426" s="71">
        <f t="shared" si="39"/>
        <v>0.41949999999999998</v>
      </c>
      <c r="J426" s="59"/>
      <c r="K426" s="61"/>
      <c r="L426" s="61"/>
      <c r="M426" s="61"/>
      <c r="N426" s="61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1"/>
      <c r="AB426" s="1"/>
      <c r="AC426" s="1"/>
      <c r="AD426" s="56"/>
      <c r="AF426" s="151"/>
      <c r="AG426" s="56"/>
      <c r="AH426" s="125"/>
      <c r="AI426" s="125"/>
      <c r="AJ426" s="146"/>
      <c r="AK426" s="125"/>
      <c r="AL426" s="127"/>
      <c r="AM426" s="125"/>
      <c r="AN426" s="125"/>
      <c r="AO426" s="128"/>
      <c r="AP426" s="125"/>
      <c r="AQ426" s="125"/>
      <c r="AR426" s="128"/>
      <c r="AS426" s="128"/>
      <c r="AT426" s="125"/>
      <c r="AU426" s="125"/>
      <c r="AV426" s="128"/>
      <c r="AW426" s="56"/>
    </row>
    <row r="427" spans="1:49" s="3" customFormat="1" ht="12.75" hidden="1" customHeight="1" x14ac:dyDescent="0.25">
      <c r="A427" s="1013"/>
      <c r="B427" s="57" t="s">
        <v>1179</v>
      </c>
      <c r="C427" s="225">
        <v>1.5</v>
      </c>
      <c r="D427" s="220"/>
      <c r="E427" s="68" t="s">
        <v>1444</v>
      </c>
      <c r="F427" s="69" t="s">
        <v>1443</v>
      </c>
      <c r="G427" s="70">
        <v>872</v>
      </c>
      <c r="H427" s="69">
        <v>2E-3</v>
      </c>
      <c r="I427" s="71">
        <f t="shared" si="39"/>
        <v>1.744</v>
      </c>
      <c r="J427" s="59"/>
      <c r="K427" s="61"/>
      <c r="L427" s="61"/>
      <c r="M427" s="61"/>
      <c r="N427" s="61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1"/>
      <c r="AB427" s="1"/>
      <c r="AC427" s="1"/>
      <c r="AD427" s="56"/>
      <c r="AF427" s="151"/>
      <c r="AG427" s="56"/>
      <c r="AH427" s="125"/>
      <c r="AI427" s="125"/>
      <c r="AJ427" s="146"/>
      <c r="AK427" s="125"/>
      <c r="AL427" s="127"/>
      <c r="AM427" s="125"/>
      <c r="AN427" s="125"/>
      <c r="AO427" s="128"/>
      <c r="AP427" s="125"/>
      <c r="AQ427" s="125"/>
      <c r="AR427" s="128"/>
      <c r="AS427" s="128"/>
      <c r="AT427" s="125"/>
      <c r="AU427" s="125"/>
      <c r="AV427" s="128"/>
      <c r="AW427" s="56"/>
    </row>
    <row r="428" spans="1:49" s="3" customFormat="1" ht="12.75" hidden="1" customHeight="1" x14ac:dyDescent="0.25">
      <c r="A428" s="1013"/>
      <c r="B428" s="79" t="s">
        <v>1181</v>
      </c>
      <c r="C428" s="222">
        <f>C423*C426+C424*C427</f>
        <v>72.348051582088885</v>
      </c>
      <c r="D428" s="220"/>
      <c r="E428" s="228"/>
      <c r="F428" s="166"/>
      <c r="G428" s="70"/>
      <c r="H428" s="69"/>
      <c r="I428" s="71"/>
      <c r="J428" s="59"/>
      <c r="K428" s="170"/>
      <c r="L428" s="76"/>
      <c r="M428" s="72"/>
      <c r="N428" s="61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1"/>
      <c r="AB428" s="1"/>
      <c r="AC428" s="1"/>
      <c r="AD428" s="56"/>
      <c r="AF428" s="151"/>
      <c r="AG428" s="56"/>
      <c r="AH428" s="125"/>
      <c r="AI428" s="125"/>
      <c r="AJ428" s="136"/>
      <c r="AK428" s="125"/>
      <c r="AL428" s="127"/>
      <c r="AM428" s="125"/>
      <c r="AN428" s="125"/>
      <c r="AO428" s="128"/>
      <c r="AP428" s="125"/>
      <c r="AQ428" s="125"/>
      <c r="AR428" s="128"/>
      <c r="AS428" s="128"/>
      <c r="AT428" s="125"/>
      <c r="AU428" s="125"/>
      <c r="AV428" s="128"/>
      <c r="AW428" s="56"/>
    </row>
    <row r="429" spans="1:49" s="3" customFormat="1" ht="13.5" hidden="1" customHeight="1" x14ac:dyDescent="0.25">
      <c r="A429" s="1014"/>
      <c r="B429" s="123"/>
      <c r="C429" s="225"/>
      <c r="D429" s="221"/>
      <c r="E429" s="228"/>
      <c r="F429" s="166"/>
      <c r="G429" s="70"/>
      <c r="H429" s="69"/>
      <c r="I429" s="71"/>
      <c r="J429" s="59"/>
      <c r="K429" s="170"/>
      <c r="L429" s="61"/>
      <c r="M429" s="72"/>
      <c r="N429" s="61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1"/>
      <c r="AB429" s="1"/>
      <c r="AC429" s="1"/>
      <c r="AD429" s="56"/>
      <c r="AF429" s="151"/>
      <c r="AG429" s="56"/>
      <c r="AH429" s="125"/>
      <c r="AI429" s="125"/>
      <c r="AJ429" s="146"/>
      <c r="AK429" s="125"/>
      <c r="AL429" s="127"/>
      <c r="AM429" s="125"/>
      <c r="AN429" s="125"/>
      <c r="AO429" s="128"/>
      <c r="AP429" s="125"/>
      <c r="AQ429" s="125"/>
      <c r="AR429" s="128"/>
      <c r="AS429" s="128"/>
      <c r="AT429" s="125"/>
      <c r="AU429" s="125"/>
      <c r="AV429" s="128"/>
      <c r="AW429" s="56"/>
    </row>
    <row r="430" spans="1:49" s="3" customFormat="1" ht="56.25" hidden="1" customHeight="1" x14ac:dyDescent="0.25">
      <c r="A430" s="1012" t="s">
        <v>1641</v>
      </c>
      <c r="B430" s="258" t="s">
        <v>752</v>
      </c>
      <c r="C430" s="222"/>
      <c r="D430" s="219"/>
      <c r="E430" s="226" t="s">
        <v>488</v>
      </c>
      <c r="F430" s="53" t="s">
        <v>837</v>
      </c>
      <c r="G430" s="51" t="s">
        <v>489</v>
      </c>
      <c r="H430" s="52" t="s">
        <v>1170</v>
      </c>
      <c r="I430" s="53" t="s">
        <v>838</v>
      </c>
      <c r="J430" s="47" t="s">
        <v>1171</v>
      </c>
      <c r="K430" s="47" t="s">
        <v>490</v>
      </c>
      <c r="L430" s="54" t="s">
        <v>489</v>
      </c>
      <c r="M430" s="47" t="s">
        <v>1172</v>
      </c>
      <c r="N430" s="53" t="s">
        <v>838</v>
      </c>
      <c r="O430" s="47" t="s">
        <v>1171</v>
      </c>
      <c r="P430" s="47" t="s">
        <v>826</v>
      </c>
      <c r="Q430" s="47" t="s">
        <v>1173</v>
      </c>
      <c r="R430" s="47" t="s">
        <v>1174</v>
      </c>
      <c r="S430" s="47" t="s">
        <v>839</v>
      </c>
      <c r="T430" s="47" t="s">
        <v>1171</v>
      </c>
      <c r="U430" s="47" t="s">
        <v>1392</v>
      </c>
      <c r="V430" s="47" t="s">
        <v>841</v>
      </c>
      <c r="W430" s="231" t="s">
        <v>1173</v>
      </c>
      <c r="X430" s="47" t="s">
        <v>1394</v>
      </c>
      <c r="Y430" s="47" t="s">
        <v>839</v>
      </c>
      <c r="Z430" s="55"/>
      <c r="AA430" s="1"/>
      <c r="AB430" s="1"/>
      <c r="AC430" s="1"/>
      <c r="AD430" s="56"/>
      <c r="AF430" s="81"/>
      <c r="AG430" s="56"/>
      <c r="AH430" s="125"/>
      <c r="AI430" s="125"/>
      <c r="AJ430" s="125"/>
      <c r="AK430" s="125"/>
      <c r="AL430" s="127"/>
      <c r="AM430" s="125"/>
      <c r="AN430" s="125"/>
      <c r="AO430" s="128"/>
      <c r="AP430" s="125"/>
      <c r="AQ430" s="139"/>
      <c r="AR430" s="139"/>
      <c r="AS430" s="139"/>
      <c r="AT430" s="125"/>
      <c r="AU430" s="125"/>
      <c r="AV430" s="128"/>
      <c r="AW430" s="56"/>
    </row>
    <row r="431" spans="1:49" s="3" customFormat="1" ht="12" hidden="1" customHeight="1" x14ac:dyDescent="0.25">
      <c r="A431" s="1013"/>
      <c r="B431" s="36" t="s">
        <v>1175</v>
      </c>
      <c r="C431" s="222">
        <f>C438</f>
        <v>72.348051582088885</v>
      </c>
      <c r="D431" s="219">
        <f>C431*$D$5</f>
        <v>14.614306419581956</v>
      </c>
      <c r="E431" s="227" t="s">
        <v>1176</v>
      </c>
      <c r="F431" s="165"/>
      <c r="G431" s="58"/>
      <c r="H431" s="58"/>
      <c r="I431" s="2">
        <f>SUM(I432:I439)</f>
        <v>83.8536</v>
      </c>
      <c r="J431" s="59" t="s">
        <v>1176</v>
      </c>
      <c r="K431" s="169"/>
      <c r="L431" s="60"/>
      <c r="M431" s="60"/>
      <c r="N431" s="61">
        <f>SUM(N432:N439)</f>
        <v>8.4000000000000005E-2</v>
      </c>
      <c r="O431" s="60" t="s">
        <v>1176</v>
      </c>
      <c r="P431" s="60"/>
      <c r="Q431" s="62"/>
      <c r="R431" s="63"/>
      <c r="S431" s="61">
        <f>SUM(S432:S439)</f>
        <v>9.7215000000000007</v>
      </c>
      <c r="T431" s="61"/>
      <c r="U431" s="61"/>
      <c r="V431" s="61"/>
      <c r="W431" s="61"/>
      <c r="X431" s="61"/>
      <c r="Y431" s="61">
        <f>SUM(Y432:Y439)</f>
        <v>9.1999999999999998E-3</v>
      </c>
      <c r="Z431" s="64">
        <f>(C431+D431+I431+N431+S431+Y431)*$Z$5</f>
        <v>234.85375847519541</v>
      </c>
      <c r="AA431" s="65">
        <f>C431+D431+I431+N431+S431+Y431+Z431</f>
        <v>415.48441647686622</v>
      </c>
      <c r="AB431" s="66">
        <v>0.25</v>
      </c>
      <c r="AC431" s="244">
        <f>AA431*(1+AB431)</f>
        <v>519.35552059608278</v>
      </c>
      <c r="AD431" s="67"/>
      <c r="AF431" s="81"/>
      <c r="AG431" s="56"/>
      <c r="AH431" s="125"/>
      <c r="AI431" s="139"/>
      <c r="AJ431" s="140"/>
      <c r="AK431" s="141"/>
      <c r="AL431" s="127"/>
      <c r="AM431" s="142"/>
      <c r="AN431" s="143"/>
      <c r="AO431" s="142"/>
      <c r="AP431" s="139"/>
      <c r="AQ431" s="139"/>
      <c r="AR431" s="139"/>
      <c r="AS431" s="139"/>
      <c r="AT431" s="139"/>
      <c r="AU431" s="142"/>
      <c r="AV431" s="142"/>
      <c r="AW431" s="144"/>
    </row>
    <row r="432" spans="1:49" s="3" customFormat="1" ht="12.75" hidden="1" customHeight="1" x14ac:dyDescent="0.25">
      <c r="A432" s="1013"/>
      <c r="B432" s="50" t="s">
        <v>830</v>
      </c>
      <c r="C432" s="222"/>
      <c r="D432" s="220"/>
      <c r="E432" s="68" t="s">
        <v>1437</v>
      </c>
      <c r="F432" s="69" t="s">
        <v>1438</v>
      </c>
      <c r="G432" s="70">
        <v>0.74</v>
      </c>
      <c r="H432" s="69">
        <v>0.01</v>
      </c>
      <c r="I432" s="71">
        <f t="shared" ref="I432:I437" si="40">G432*H432</f>
        <v>7.4000000000000003E-3</v>
      </c>
      <c r="J432" s="59" t="s">
        <v>1291</v>
      </c>
      <c r="K432" s="61">
        <v>2</v>
      </c>
      <c r="L432" s="61">
        <v>640</v>
      </c>
      <c r="M432" s="61">
        <v>2</v>
      </c>
      <c r="N432" s="61">
        <v>0.05</v>
      </c>
      <c r="O432" s="60" t="s">
        <v>1239</v>
      </c>
      <c r="P432" s="60">
        <v>61189.5</v>
      </c>
      <c r="Q432" s="60">
        <v>19.670000000000002</v>
      </c>
      <c r="R432" s="60">
        <v>6513.87</v>
      </c>
      <c r="S432" s="60">
        <v>9.7215000000000007</v>
      </c>
      <c r="T432" s="239" t="s">
        <v>1435</v>
      </c>
      <c r="U432" s="240">
        <v>6785401.3499999996</v>
      </c>
      <c r="V432" s="241">
        <v>1.32E-2</v>
      </c>
      <c r="W432" s="239">
        <v>1508.3</v>
      </c>
      <c r="X432" s="61">
        <v>59.38</v>
      </c>
      <c r="Y432" s="60">
        <v>9.1999999999999998E-3</v>
      </c>
      <c r="Z432" s="60"/>
      <c r="AA432" s="1"/>
      <c r="AB432" s="1"/>
      <c r="AC432" s="1"/>
      <c r="AD432" s="56"/>
      <c r="AF432" s="151"/>
      <c r="AG432" s="56"/>
      <c r="AH432" s="125"/>
      <c r="AI432" s="125"/>
      <c r="AJ432" s="136"/>
      <c r="AK432" s="125"/>
      <c r="AL432" s="127"/>
      <c r="AM432" s="125"/>
      <c r="AN432" s="125"/>
      <c r="AO432" s="128"/>
      <c r="AP432" s="125"/>
      <c r="AQ432" s="125"/>
      <c r="AR432" s="128"/>
      <c r="AS432" s="128"/>
      <c r="AT432" s="125"/>
      <c r="AU432" s="125"/>
      <c r="AV432" s="128"/>
      <c r="AW432" s="56"/>
    </row>
    <row r="433" spans="1:49" s="3" customFormat="1" hidden="1" x14ac:dyDescent="0.25">
      <c r="A433" s="1013"/>
      <c r="B433" s="74" t="s">
        <v>1178</v>
      </c>
      <c r="C433" s="223">
        <f>C423</f>
        <v>38.717865870069311</v>
      </c>
      <c r="D433" s="220"/>
      <c r="E433" s="68" t="s">
        <v>1439</v>
      </c>
      <c r="F433" s="69" t="s">
        <v>1438</v>
      </c>
      <c r="G433" s="70">
        <v>0.27</v>
      </c>
      <c r="H433" s="69">
        <v>0.01</v>
      </c>
      <c r="I433" s="242">
        <f t="shared" si="40"/>
        <v>2.7000000000000001E-3</v>
      </c>
      <c r="J433" s="59" t="s">
        <v>1445</v>
      </c>
      <c r="K433" s="61">
        <v>2</v>
      </c>
      <c r="L433" s="61">
        <v>84</v>
      </c>
      <c r="M433" s="61">
        <v>2</v>
      </c>
      <c r="N433" s="61">
        <v>8.9999999999999993E-3</v>
      </c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1"/>
      <c r="AB433" s="1"/>
      <c r="AC433" s="1"/>
      <c r="AD433" s="56"/>
      <c r="AF433" s="151"/>
      <c r="AG433" s="56"/>
      <c r="AH433" s="125"/>
      <c r="AI433" s="125"/>
      <c r="AJ433" s="136"/>
      <c r="AK433" s="125"/>
      <c r="AL433" s="127"/>
      <c r="AM433" s="145"/>
      <c r="AN433" s="125"/>
      <c r="AO433" s="128"/>
      <c r="AP433" s="125"/>
      <c r="AQ433" s="125"/>
      <c r="AR433" s="128"/>
      <c r="AS433" s="128"/>
      <c r="AT433" s="125"/>
      <c r="AU433" s="125"/>
      <c r="AV433" s="128"/>
      <c r="AW433" s="56"/>
    </row>
    <row r="434" spans="1:49" s="3" customFormat="1" ht="12.75" hidden="1" customHeight="1" x14ac:dyDescent="0.25">
      <c r="A434" s="1013"/>
      <c r="B434" s="57" t="s">
        <v>1179</v>
      </c>
      <c r="C434" s="222">
        <f>C424</f>
        <v>22.420123808013045</v>
      </c>
      <c r="D434" s="220"/>
      <c r="E434" s="68" t="s">
        <v>1598</v>
      </c>
      <c r="F434" s="69" t="s">
        <v>1441</v>
      </c>
      <c r="G434" s="70">
        <v>4.4000000000000004</v>
      </c>
      <c r="H434" s="70">
        <v>1</v>
      </c>
      <c r="I434" s="71">
        <f t="shared" si="40"/>
        <v>4.4000000000000004</v>
      </c>
      <c r="J434" s="59" t="s">
        <v>1513</v>
      </c>
      <c r="K434" s="61">
        <v>2</v>
      </c>
      <c r="L434" s="61">
        <v>25</v>
      </c>
      <c r="M434" s="61">
        <v>0.5</v>
      </c>
      <c r="N434" s="61">
        <v>2.5000000000000001E-2</v>
      </c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1"/>
      <c r="AB434" s="1"/>
      <c r="AC434" s="1"/>
      <c r="AD434" s="56"/>
      <c r="AF434" s="151"/>
      <c r="AG434" s="56"/>
      <c r="AH434" s="125"/>
      <c r="AI434" s="125"/>
      <c r="AJ434" s="136"/>
      <c r="AK434" s="125"/>
      <c r="AL434" s="127"/>
      <c r="AM434" s="125"/>
      <c r="AN434" s="125"/>
      <c r="AO434" s="128"/>
      <c r="AP434" s="125"/>
      <c r="AQ434" s="125"/>
      <c r="AR434" s="128"/>
      <c r="AS434" s="128"/>
      <c r="AT434" s="125"/>
      <c r="AU434" s="125"/>
      <c r="AV434" s="128"/>
      <c r="AW434" s="56"/>
    </row>
    <row r="435" spans="1:49" s="3" customFormat="1" ht="12.75" hidden="1" customHeight="1" x14ac:dyDescent="0.25">
      <c r="A435" s="1013"/>
      <c r="B435" s="57" t="s">
        <v>831</v>
      </c>
      <c r="C435" s="224"/>
      <c r="D435" s="220"/>
      <c r="E435" s="68" t="s">
        <v>1599</v>
      </c>
      <c r="F435" s="69" t="s">
        <v>1441</v>
      </c>
      <c r="G435" s="70">
        <v>77.28</v>
      </c>
      <c r="H435" s="69">
        <v>1</v>
      </c>
      <c r="I435" s="71">
        <f t="shared" si="40"/>
        <v>77.28</v>
      </c>
      <c r="J435" s="59"/>
      <c r="K435" s="61"/>
      <c r="L435" s="61"/>
      <c r="M435" s="61"/>
      <c r="N435" s="61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1"/>
      <c r="AB435" s="1"/>
      <c r="AC435" s="1"/>
      <c r="AD435" s="56"/>
      <c r="AF435" s="151"/>
      <c r="AG435" s="56"/>
      <c r="AH435" s="125"/>
      <c r="AI435" s="125"/>
      <c r="AJ435" s="136"/>
      <c r="AK435" s="125"/>
      <c r="AL435" s="127"/>
      <c r="AM435" s="125"/>
      <c r="AN435" s="125"/>
      <c r="AO435" s="128"/>
      <c r="AP435" s="125"/>
      <c r="AQ435" s="125"/>
      <c r="AR435" s="128"/>
      <c r="AS435" s="128"/>
      <c r="AT435" s="125"/>
      <c r="AU435" s="125"/>
      <c r="AV435" s="128"/>
      <c r="AW435" s="56"/>
    </row>
    <row r="436" spans="1:49" s="3" customFormat="1" ht="12.75" hidden="1" customHeight="1" x14ac:dyDescent="0.25">
      <c r="A436" s="1013"/>
      <c r="B436" s="74" t="s">
        <v>1178</v>
      </c>
      <c r="C436" s="225">
        <v>1</v>
      </c>
      <c r="D436" s="220"/>
      <c r="E436" s="68" t="s">
        <v>1442</v>
      </c>
      <c r="F436" s="69" t="s">
        <v>1443</v>
      </c>
      <c r="G436" s="70">
        <v>419.5</v>
      </c>
      <c r="H436" s="69">
        <v>1E-3</v>
      </c>
      <c r="I436" s="71">
        <f t="shared" si="40"/>
        <v>0.41949999999999998</v>
      </c>
      <c r="J436" s="59"/>
      <c r="K436" s="61"/>
      <c r="L436" s="61"/>
      <c r="M436" s="61"/>
      <c r="N436" s="61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1"/>
      <c r="AB436" s="1"/>
      <c r="AC436" s="1"/>
      <c r="AD436" s="56"/>
      <c r="AF436" s="151"/>
      <c r="AG436" s="56"/>
      <c r="AH436" s="125"/>
      <c r="AI436" s="125"/>
      <c r="AJ436" s="146"/>
      <c r="AK436" s="125"/>
      <c r="AL436" s="127"/>
      <c r="AM436" s="125"/>
      <c r="AN436" s="125"/>
      <c r="AO436" s="128"/>
      <c r="AP436" s="125"/>
      <c r="AQ436" s="125"/>
      <c r="AR436" s="128"/>
      <c r="AS436" s="128"/>
      <c r="AT436" s="125"/>
      <c r="AU436" s="125"/>
      <c r="AV436" s="128"/>
      <c r="AW436" s="56"/>
    </row>
    <row r="437" spans="1:49" s="3" customFormat="1" ht="12.75" hidden="1" customHeight="1" x14ac:dyDescent="0.25">
      <c r="A437" s="1013"/>
      <c r="B437" s="57" t="s">
        <v>1179</v>
      </c>
      <c r="C437" s="225">
        <v>1.5</v>
      </c>
      <c r="D437" s="220"/>
      <c r="E437" s="68" t="s">
        <v>1444</v>
      </c>
      <c r="F437" s="69" t="s">
        <v>1443</v>
      </c>
      <c r="G437" s="70">
        <v>872</v>
      </c>
      <c r="H437" s="69">
        <v>2E-3</v>
      </c>
      <c r="I437" s="71">
        <f t="shared" si="40"/>
        <v>1.744</v>
      </c>
      <c r="J437" s="59"/>
      <c r="K437" s="61"/>
      <c r="L437" s="61"/>
      <c r="M437" s="61"/>
      <c r="N437" s="61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1"/>
      <c r="AB437" s="1"/>
      <c r="AC437" s="1"/>
      <c r="AD437" s="56"/>
      <c r="AF437" s="151"/>
      <c r="AG437" s="56"/>
      <c r="AH437" s="125"/>
      <c r="AI437" s="125"/>
      <c r="AJ437" s="146"/>
      <c r="AK437" s="125"/>
      <c r="AL437" s="127"/>
      <c r="AM437" s="125"/>
      <c r="AN437" s="125"/>
      <c r="AO437" s="128"/>
      <c r="AP437" s="125"/>
      <c r="AQ437" s="125"/>
      <c r="AR437" s="128"/>
      <c r="AS437" s="128"/>
      <c r="AT437" s="125"/>
      <c r="AU437" s="125"/>
      <c r="AV437" s="128"/>
      <c r="AW437" s="56"/>
    </row>
    <row r="438" spans="1:49" s="3" customFormat="1" ht="12.75" hidden="1" customHeight="1" x14ac:dyDescent="0.25">
      <c r="A438" s="1013"/>
      <c r="B438" s="79" t="s">
        <v>1181</v>
      </c>
      <c r="C438" s="222">
        <f>C433*C436+C434*C437</f>
        <v>72.348051582088885</v>
      </c>
      <c r="D438" s="220"/>
      <c r="E438" s="228"/>
      <c r="F438" s="166"/>
      <c r="G438" s="70"/>
      <c r="H438" s="69"/>
      <c r="I438" s="71"/>
      <c r="J438" s="59"/>
      <c r="K438" s="170"/>
      <c r="L438" s="76"/>
      <c r="M438" s="72"/>
      <c r="N438" s="61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1"/>
      <c r="AB438" s="1"/>
      <c r="AC438" s="1"/>
      <c r="AD438" s="56"/>
      <c r="AF438" s="151"/>
      <c r="AG438" s="56"/>
      <c r="AH438" s="125"/>
      <c r="AI438" s="125"/>
      <c r="AJ438" s="136"/>
      <c r="AK438" s="125"/>
      <c r="AL438" s="127"/>
      <c r="AM438" s="125"/>
      <c r="AN438" s="125"/>
      <c r="AO438" s="128"/>
      <c r="AP438" s="125"/>
      <c r="AQ438" s="125"/>
      <c r="AR438" s="128"/>
      <c r="AS438" s="128"/>
      <c r="AT438" s="125"/>
      <c r="AU438" s="125"/>
      <c r="AV438" s="128"/>
      <c r="AW438" s="56"/>
    </row>
    <row r="439" spans="1:49" s="3" customFormat="1" ht="13.5" hidden="1" customHeight="1" x14ac:dyDescent="0.25">
      <c r="A439" s="1014"/>
      <c r="B439" s="123"/>
      <c r="C439" s="225"/>
      <c r="D439" s="221"/>
      <c r="E439" s="228"/>
      <c r="F439" s="166"/>
      <c r="G439" s="70"/>
      <c r="H439" s="69"/>
      <c r="I439" s="71"/>
      <c r="J439" s="59"/>
      <c r="K439" s="170"/>
      <c r="L439" s="61"/>
      <c r="M439" s="72"/>
      <c r="N439" s="61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1"/>
      <c r="AB439" s="1"/>
      <c r="AC439" s="1"/>
      <c r="AD439" s="56"/>
      <c r="AF439" s="151"/>
      <c r="AG439" s="56"/>
      <c r="AH439" s="125"/>
      <c r="AI439" s="125"/>
      <c r="AJ439" s="146"/>
      <c r="AK439" s="125"/>
      <c r="AL439" s="127"/>
      <c r="AM439" s="125"/>
      <c r="AN439" s="125"/>
      <c r="AO439" s="128"/>
      <c r="AP439" s="125"/>
      <c r="AQ439" s="125"/>
      <c r="AR439" s="128"/>
      <c r="AS439" s="128"/>
      <c r="AT439" s="125"/>
      <c r="AU439" s="125"/>
      <c r="AV439" s="128"/>
      <c r="AW439" s="56"/>
    </row>
    <row r="440" spans="1:49" s="803" customFormat="1" ht="56.25" customHeight="1" x14ac:dyDescent="0.25">
      <c r="A440" s="1114" t="s">
        <v>1642</v>
      </c>
      <c r="B440" s="778" t="s">
        <v>737</v>
      </c>
      <c r="C440" s="799"/>
      <c r="D440" s="800"/>
      <c r="E440" s="801" t="s">
        <v>488</v>
      </c>
      <c r="F440" s="792" t="s">
        <v>837</v>
      </c>
      <c r="G440" s="778" t="s">
        <v>489</v>
      </c>
      <c r="H440" s="791" t="s">
        <v>1170</v>
      </c>
      <c r="I440" s="792" t="s">
        <v>838</v>
      </c>
      <c r="J440" s="793" t="s">
        <v>1171</v>
      </c>
      <c r="K440" s="793" t="s">
        <v>490</v>
      </c>
      <c r="L440" s="794" t="s">
        <v>489</v>
      </c>
      <c r="M440" s="793" t="s">
        <v>1172</v>
      </c>
      <c r="N440" s="792" t="s">
        <v>838</v>
      </c>
      <c r="O440" s="793" t="s">
        <v>1171</v>
      </c>
      <c r="P440" s="793" t="s">
        <v>826</v>
      </c>
      <c r="Q440" s="793" t="s">
        <v>1173</v>
      </c>
      <c r="R440" s="793" t="s">
        <v>1174</v>
      </c>
      <c r="S440" s="793" t="s">
        <v>839</v>
      </c>
      <c r="T440" s="793" t="s">
        <v>1171</v>
      </c>
      <c r="U440" s="793" t="s">
        <v>1392</v>
      </c>
      <c r="V440" s="793" t="s">
        <v>841</v>
      </c>
      <c r="W440" s="795" t="s">
        <v>1173</v>
      </c>
      <c r="X440" s="793" t="s">
        <v>1394</v>
      </c>
      <c r="Y440" s="793" t="s">
        <v>839</v>
      </c>
      <c r="Z440" s="796"/>
      <c r="AA440" s="755"/>
      <c r="AB440" s="755"/>
      <c r="AC440" s="755"/>
      <c r="AD440" s="802"/>
      <c r="AF440" s="804"/>
      <c r="AG440" s="802"/>
      <c r="AH440" s="805"/>
      <c r="AI440" s="805"/>
      <c r="AJ440" s="805"/>
      <c r="AK440" s="805"/>
      <c r="AL440" s="806"/>
      <c r="AM440" s="805"/>
      <c r="AN440" s="805"/>
      <c r="AO440" s="807"/>
      <c r="AP440" s="805"/>
      <c r="AQ440" s="808"/>
      <c r="AR440" s="808"/>
      <c r="AS440" s="808"/>
      <c r="AT440" s="805"/>
      <c r="AU440" s="805"/>
      <c r="AV440" s="807"/>
      <c r="AW440" s="802"/>
    </row>
    <row r="441" spans="1:49" s="803" customFormat="1" ht="12" customHeight="1" x14ac:dyDescent="0.25">
      <c r="A441" s="1115"/>
      <c r="B441" s="752" t="s">
        <v>1175</v>
      </c>
      <c r="C441" s="799">
        <f>C448</f>
        <v>83.558113486095408</v>
      </c>
      <c r="D441" s="800">
        <f>C441*$D$5</f>
        <v>16.878738924191275</v>
      </c>
      <c r="E441" s="809" t="s">
        <v>1176</v>
      </c>
      <c r="F441" s="810"/>
      <c r="G441" s="756"/>
      <c r="H441" s="756"/>
      <c r="I441" s="757">
        <f>SUM(I442:I449)</f>
        <v>83.8536</v>
      </c>
      <c r="J441" s="758" t="s">
        <v>1176</v>
      </c>
      <c r="K441" s="811"/>
      <c r="L441" s="759"/>
      <c r="M441" s="759"/>
      <c r="N441" s="760">
        <f>SUM(N442:N449)</f>
        <v>0.32902201043793955</v>
      </c>
      <c r="O441" s="759" t="s">
        <v>1176</v>
      </c>
      <c r="P441" s="759"/>
      <c r="Q441" s="812"/>
      <c r="R441" s="813"/>
      <c r="S441" s="760">
        <f>SUM(S442:S449)</f>
        <v>0.17977397070317422</v>
      </c>
      <c r="T441" s="760"/>
      <c r="U441" s="760"/>
      <c r="V441" s="760"/>
      <c r="W441" s="760"/>
      <c r="X441" s="760"/>
      <c r="Y441" s="760">
        <f>SUM(Y442:Y449)</f>
        <v>11.63319193706981</v>
      </c>
      <c r="Z441" s="762">
        <f>(C441+D441+I441+N441+S441+Y441)*$Z$5</f>
        <v>255.39904138075767</v>
      </c>
      <c r="AA441" s="763">
        <f>C441+D441+I441+N441+S441+Y441+Z441</f>
        <v>451.83148170925529</v>
      </c>
      <c r="AB441" s="764">
        <v>0.25</v>
      </c>
      <c r="AC441" s="765">
        <f>AA441*(1+AB441)</f>
        <v>564.78935213656905</v>
      </c>
      <c r="AD441" s="814"/>
      <c r="AF441" s="804"/>
      <c r="AG441" s="802"/>
      <c r="AH441" s="805"/>
      <c r="AI441" s="808"/>
      <c r="AJ441" s="815"/>
      <c r="AK441" s="816"/>
      <c r="AL441" s="806"/>
      <c r="AM441" s="817"/>
      <c r="AN441" s="818"/>
      <c r="AO441" s="817"/>
      <c r="AP441" s="808"/>
      <c r="AQ441" s="808"/>
      <c r="AR441" s="808"/>
      <c r="AS441" s="808"/>
      <c r="AT441" s="808"/>
      <c r="AU441" s="817"/>
      <c r="AV441" s="817"/>
      <c r="AW441" s="819"/>
    </row>
    <row r="442" spans="1:49" s="803" customFormat="1" ht="12.75" customHeight="1" x14ac:dyDescent="0.25">
      <c r="A442" s="1115"/>
      <c r="B442" s="766" t="s">
        <v>830</v>
      </c>
      <c r="C442" s="799"/>
      <c r="D442" s="820"/>
      <c r="E442" s="767" t="s">
        <v>1437</v>
      </c>
      <c r="F442" s="768" t="s">
        <v>1438</v>
      </c>
      <c r="G442" s="769">
        <v>0.74</v>
      </c>
      <c r="H442" s="768">
        <v>0.01</v>
      </c>
      <c r="I442" s="770">
        <f t="shared" ref="I442:I447" si="41">G442*H442</f>
        <v>7.4000000000000003E-3</v>
      </c>
      <c r="J442" s="758" t="s">
        <v>1291</v>
      </c>
      <c r="K442" s="771">
        <v>2</v>
      </c>
      <c r="L442" s="772">
        <v>750</v>
      </c>
      <c r="M442" s="771">
        <v>2</v>
      </c>
      <c r="N442" s="760">
        <f>L442/'Исп. коэффициенты'!E31*(C446+C447)</f>
        <v>0.28363966417063757</v>
      </c>
      <c r="O442" s="759" t="s">
        <v>2200</v>
      </c>
      <c r="P442" s="759">
        <v>7250</v>
      </c>
      <c r="Q442" s="759">
        <v>19.670000000000002</v>
      </c>
      <c r="R442" s="759">
        <f>P442*Q442%</f>
        <v>1426.075</v>
      </c>
      <c r="S442" s="759">
        <f>R442/'Исп. коэффициенты'!E31*C446</f>
        <v>0.17977397070317422</v>
      </c>
      <c r="T442" s="755" t="s">
        <v>1435</v>
      </c>
      <c r="U442" s="756">
        <v>6785401.3499999996</v>
      </c>
      <c r="V442" s="785">
        <f>'Исп. коэффициенты'!E124</f>
        <v>2978.5</v>
      </c>
      <c r="W442" s="761">
        <f>'Исп. коэффициенты'!D124</f>
        <v>1.3599999999999999E-2</v>
      </c>
      <c r="X442" s="760">
        <f>U442*W442</f>
        <v>92281.45835999999</v>
      </c>
      <c r="Y442" s="759">
        <f>X442/'Исп. коэффициенты'!E31*C446</f>
        <v>11.63319193706981</v>
      </c>
      <c r="Z442" s="759"/>
      <c r="AA442" s="755"/>
      <c r="AB442" s="755"/>
      <c r="AC442" s="773"/>
      <c r="AD442" s="802"/>
      <c r="AF442" s="821"/>
      <c r="AG442" s="802"/>
      <c r="AH442" s="805"/>
      <c r="AI442" s="805"/>
      <c r="AJ442" s="822"/>
      <c r="AK442" s="805"/>
      <c r="AL442" s="806"/>
      <c r="AM442" s="805"/>
      <c r="AN442" s="805"/>
      <c r="AO442" s="807"/>
      <c r="AP442" s="805"/>
      <c r="AQ442" s="805"/>
      <c r="AR442" s="807"/>
      <c r="AS442" s="807"/>
      <c r="AT442" s="805"/>
      <c r="AU442" s="805"/>
      <c r="AV442" s="807"/>
      <c r="AW442" s="802"/>
    </row>
    <row r="443" spans="1:49" s="803" customFormat="1" x14ac:dyDescent="0.25">
      <c r="A443" s="1115"/>
      <c r="B443" s="774" t="s">
        <v>1178</v>
      </c>
      <c r="C443" s="823">
        <f>C433</f>
        <v>38.717865870069311</v>
      </c>
      <c r="D443" s="820"/>
      <c r="E443" s="767" t="s">
        <v>1439</v>
      </c>
      <c r="F443" s="768" t="s">
        <v>1438</v>
      </c>
      <c r="G443" s="769">
        <v>0.27</v>
      </c>
      <c r="H443" s="768">
        <v>0.01</v>
      </c>
      <c r="I443" s="775">
        <f t="shared" si="41"/>
        <v>2.7000000000000001E-3</v>
      </c>
      <c r="J443" s="758" t="s">
        <v>1445</v>
      </c>
      <c r="K443" s="760">
        <v>2</v>
      </c>
      <c r="L443" s="776">
        <v>95</v>
      </c>
      <c r="M443" s="771">
        <v>2</v>
      </c>
      <c r="N443" s="760">
        <f>L443/'Исп. коэффициенты'!E31*(C446+C447)</f>
        <v>3.5927690794947426E-2</v>
      </c>
      <c r="O443" s="759"/>
      <c r="P443" s="759"/>
      <c r="Q443" s="759"/>
      <c r="R443" s="759"/>
      <c r="S443" s="759"/>
      <c r="T443" s="759"/>
      <c r="U443" s="759"/>
      <c r="V443" s="759"/>
      <c r="W443" s="759"/>
      <c r="X443" s="759"/>
      <c r="Y443" s="759"/>
      <c r="Z443" s="759"/>
      <c r="AA443" s="755"/>
      <c r="AB443" s="755"/>
      <c r="AC443" s="773"/>
      <c r="AD443" s="802"/>
      <c r="AF443" s="821"/>
      <c r="AG443" s="802"/>
      <c r="AH443" s="805"/>
      <c r="AI443" s="805"/>
      <c r="AJ443" s="822"/>
      <c r="AK443" s="805"/>
      <c r="AL443" s="806"/>
      <c r="AM443" s="824"/>
      <c r="AN443" s="805"/>
      <c r="AO443" s="807"/>
      <c r="AP443" s="805"/>
      <c r="AQ443" s="805"/>
      <c r="AR443" s="807"/>
      <c r="AS443" s="807"/>
      <c r="AT443" s="805"/>
      <c r="AU443" s="805"/>
      <c r="AV443" s="807"/>
      <c r="AW443" s="802"/>
    </row>
    <row r="444" spans="1:49" s="803" customFormat="1" ht="12.75" customHeight="1" x14ac:dyDescent="0.25">
      <c r="A444" s="1115"/>
      <c r="B444" s="754" t="s">
        <v>1179</v>
      </c>
      <c r="C444" s="799">
        <f>C434</f>
        <v>22.420123808013045</v>
      </c>
      <c r="D444" s="820"/>
      <c r="E444" s="767" t="s">
        <v>1598</v>
      </c>
      <c r="F444" s="768" t="s">
        <v>1441</v>
      </c>
      <c r="G444" s="769">
        <v>4.4000000000000004</v>
      </c>
      <c r="H444" s="769">
        <v>1</v>
      </c>
      <c r="I444" s="770">
        <f t="shared" si="41"/>
        <v>4.4000000000000004</v>
      </c>
      <c r="J444" s="758" t="s">
        <v>1513</v>
      </c>
      <c r="K444" s="760">
        <v>2</v>
      </c>
      <c r="L444" s="760">
        <v>25</v>
      </c>
      <c r="M444" s="771">
        <v>0.5</v>
      </c>
      <c r="N444" s="760">
        <f>L444/'Исп. коэффициенты'!E31*(C446+C447)</f>
        <v>9.4546554723545853E-3</v>
      </c>
      <c r="O444" s="759"/>
      <c r="P444" s="759"/>
      <c r="Q444" s="759"/>
      <c r="R444" s="759"/>
      <c r="S444" s="759"/>
      <c r="T444" s="759"/>
      <c r="U444" s="759"/>
      <c r="V444" s="759"/>
      <c r="W444" s="759"/>
      <c r="X444" s="759"/>
      <c r="Y444" s="759"/>
      <c r="Z444" s="759"/>
      <c r="AA444" s="755"/>
      <c r="AB444" s="755"/>
      <c r="AC444" s="773"/>
      <c r="AD444" s="802"/>
      <c r="AF444" s="821"/>
      <c r="AG444" s="802"/>
      <c r="AH444" s="805"/>
      <c r="AI444" s="805"/>
      <c r="AJ444" s="822"/>
      <c r="AK444" s="805"/>
      <c r="AL444" s="806"/>
      <c r="AM444" s="805"/>
      <c r="AN444" s="805"/>
      <c r="AO444" s="807"/>
      <c r="AP444" s="805"/>
      <c r="AQ444" s="805"/>
      <c r="AR444" s="807"/>
      <c r="AS444" s="807"/>
      <c r="AT444" s="805"/>
      <c r="AU444" s="805"/>
      <c r="AV444" s="807"/>
      <c r="AW444" s="802"/>
    </row>
    <row r="445" spans="1:49" s="803" customFormat="1" ht="12.75" customHeight="1" x14ac:dyDescent="0.25">
      <c r="A445" s="1115"/>
      <c r="B445" s="754" t="s">
        <v>831</v>
      </c>
      <c r="C445" s="825"/>
      <c r="D445" s="820"/>
      <c r="E445" s="767" t="s">
        <v>1599</v>
      </c>
      <c r="F445" s="768" t="s">
        <v>1441</v>
      </c>
      <c r="G445" s="769">
        <v>77.28</v>
      </c>
      <c r="H445" s="768">
        <v>1</v>
      </c>
      <c r="I445" s="770">
        <f t="shared" si="41"/>
        <v>77.28</v>
      </c>
      <c r="J445" s="758"/>
      <c r="K445" s="760"/>
      <c r="L445" s="760"/>
      <c r="M445" s="760"/>
      <c r="N445" s="760"/>
      <c r="O445" s="759"/>
      <c r="P445" s="759"/>
      <c r="Q445" s="759"/>
      <c r="R445" s="759"/>
      <c r="S445" s="759"/>
      <c r="T445" s="759"/>
      <c r="U445" s="759"/>
      <c r="V445" s="759"/>
      <c r="W445" s="759"/>
      <c r="X445" s="759"/>
      <c r="Y445" s="759"/>
      <c r="Z445" s="759"/>
      <c r="AA445" s="755"/>
      <c r="AB445" s="755"/>
      <c r="AC445" s="773"/>
      <c r="AD445" s="802"/>
      <c r="AF445" s="821"/>
      <c r="AG445" s="802"/>
      <c r="AH445" s="805"/>
      <c r="AI445" s="805"/>
      <c r="AJ445" s="822"/>
      <c r="AK445" s="805"/>
      <c r="AL445" s="806"/>
      <c r="AM445" s="805"/>
      <c r="AN445" s="805"/>
      <c r="AO445" s="807"/>
      <c r="AP445" s="805"/>
      <c r="AQ445" s="805"/>
      <c r="AR445" s="807"/>
      <c r="AS445" s="807"/>
      <c r="AT445" s="805"/>
      <c r="AU445" s="805"/>
      <c r="AV445" s="807"/>
      <c r="AW445" s="802"/>
    </row>
    <row r="446" spans="1:49" s="803" customFormat="1" ht="12.75" customHeight="1" x14ac:dyDescent="0.25">
      <c r="A446" s="1115"/>
      <c r="B446" s="774" t="s">
        <v>1178</v>
      </c>
      <c r="C446" s="826">
        <v>1</v>
      </c>
      <c r="D446" s="820"/>
      <c r="E446" s="767" t="s">
        <v>1442</v>
      </c>
      <c r="F446" s="768" t="s">
        <v>1443</v>
      </c>
      <c r="G446" s="769">
        <v>419.5</v>
      </c>
      <c r="H446" s="768">
        <v>1E-3</v>
      </c>
      <c r="I446" s="770">
        <f t="shared" si="41"/>
        <v>0.41949999999999998</v>
      </c>
      <c r="J446" s="758"/>
      <c r="K446" s="760"/>
      <c r="L446" s="760"/>
      <c r="M446" s="760"/>
      <c r="N446" s="760"/>
      <c r="O446" s="759"/>
      <c r="P446" s="759"/>
      <c r="Q446" s="759"/>
      <c r="R446" s="759"/>
      <c r="S446" s="759"/>
      <c r="T446" s="759"/>
      <c r="U446" s="759"/>
      <c r="V446" s="759"/>
      <c r="W446" s="759"/>
      <c r="X446" s="759"/>
      <c r="Y446" s="759"/>
      <c r="Z446" s="759"/>
      <c r="AA446" s="755"/>
      <c r="AB446" s="755"/>
      <c r="AC446" s="773"/>
      <c r="AD446" s="802"/>
      <c r="AF446" s="821"/>
      <c r="AG446" s="802"/>
      <c r="AH446" s="805"/>
      <c r="AI446" s="805"/>
      <c r="AJ446" s="827"/>
      <c r="AK446" s="805"/>
      <c r="AL446" s="806"/>
      <c r="AM446" s="805"/>
      <c r="AN446" s="805"/>
      <c r="AO446" s="807"/>
      <c r="AP446" s="805"/>
      <c r="AQ446" s="805"/>
      <c r="AR446" s="807"/>
      <c r="AS446" s="807"/>
      <c r="AT446" s="805"/>
      <c r="AU446" s="805"/>
      <c r="AV446" s="807"/>
      <c r="AW446" s="802"/>
    </row>
    <row r="447" spans="1:49" s="803" customFormat="1" ht="12.75" customHeight="1" x14ac:dyDescent="0.25">
      <c r="A447" s="1115"/>
      <c r="B447" s="754" t="s">
        <v>1179</v>
      </c>
      <c r="C447" s="826">
        <v>2</v>
      </c>
      <c r="D447" s="820"/>
      <c r="E447" s="767" t="s">
        <v>1444</v>
      </c>
      <c r="F447" s="768" t="s">
        <v>1443</v>
      </c>
      <c r="G447" s="769">
        <v>872</v>
      </c>
      <c r="H447" s="768">
        <v>2E-3</v>
      </c>
      <c r="I447" s="770">
        <f t="shared" si="41"/>
        <v>1.744</v>
      </c>
      <c r="J447" s="758"/>
      <c r="K447" s="760"/>
      <c r="L447" s="760"/>
      <c r="M447" s="760"/>
      <c r="N447" s="760"/>
      <c r="O447" s="759"/>
      <c r="P447" s="759"/>
      <c r="Q447" s="759"/>
      <c r="R447" s="759"/>
      <c r="S447" s="759"/>
      <c r="T447" s="759"/>
      <c r="U447" s="759"/>
      <c r="V447" s="759"/>
      <c r="W447" s="759"/>
      <c r="X447" s="759"/>
      <c r="Y447" s="759"/>
      <c r="Z447" s="759"/>
      <c r="AA447" s="755"/>
      <c r="AB447" s="755"/>
      <c r="AC447" s="773"/>
      <c r="AD447" s="802"/>
      <c r="AF447" s="821"/>
      <c r="AG447" s="802"/>
      <c r="AH447" s="805"/>
      <c r="AI447" s="805"/>
      <c r="AJ447" s="827"/>
      <c r="AK447" s="805"/>
      <c r="AL447" s="806"/>
      <c r="AM447" s="805"/>
      <c r="AN447" s="805"/>
      <c r="AO447" s="807"/>
      <c r="AP447" s="805"/>
      <c r="AQ447" s="805"/>
      <c r="AR447" s="807"/>
      <c r="AS447" s="807"/>
      <c r="AT447" s="805"/>
      <c r="AU447" s="805"/>
      <c r="AV447" s="807"/>
      <c r="AW447" s="802"/>
    </row>
    <row r="448" spans="1:49" s="803" customFormat="1" ht="12.75" customHeight="1" x14ac:dyDescent="0.25">
      <c r="A448" s="1115"/>
      <c r="B448" s="782" t="s">
        <v>1181</v>
      </c>
      <c r="C448" s="799">
        <f>C443*C446+C444*C447</f>
        <v>83.558113486095408</v>
      </c>
      <c r="D448" s="820"/>
      <c r="E448" s="780"/>
      <c r="F448" s="781"/>
      <c r="G448" s="769"/>
      <c r="H448" s="768"/>
      <c r="I448" s="770"/>
      <c r="J448" s="758"/>
      <c r="K448" s="828"/>
      <c r="L448" s="776"/>
      <c r="M448" s="771"/>
      <c r="N448" s="760"/>
      <c r="O448" s="759"/>
      <c r="P448" s="759"/>
      <c r="Q448" s="759"/>
      <c r="R448" s="759"/>
      <c r="S448" s="759"/>
      <c r="T448" s="759"/>
      <c r="U448" s="759"/>
      <c r="V448" s="759"/>
      <c r="W448" s="759"/>
      <c r="X448" s="759"/>
      <c r="Y448" s="759"/>
      <c r="Z448" s="759"/>
      <c r="AA448" s="755"/>
      <c r="AB448" s="755"/>
      <c r="AC448" s="773"/>
      <c r="AD448" s="802"/>
      <c r="AF448" s="821"/>
      <c r="AG448" s="802"/>
      <c r="AH448" s="805"/>
      <c r="AI448" s="805"/>
      <c r="AJ448" s="822"/>
      <c r="AK448" s="805"/>
      <c r="AL448" s="806"/>
      <c r="AM448" s="805"/>
      <c r="AN448" s="805"/>
      <c r="AO448" s="807"/>
      <c r="AP448" s="805"/>
      <c r="AQ448" s="805"/>
      <c r="AR448" s="807"/>
      <c r="AS448" s="807"/>
      <c r="AT448" s="805"/>
      <c r="AU448" s="805"/>
      <c r="AV448" s="807"/>
      <c r="AW448" s="802"/>
    </row>
    <row r="449" spans="1:49" s="803" customFormat="1" ht="13.5" customHeight="1" x14ac:dyDescent="0.25">
      <c r="A449" s="1116"/>
      <c r="B449" s="783"/>
      <c r="C449" s="826"/>
      <c r="D449" s="829"/>
      <c r="E449" s="780"/>
      <c r="F449" s="781"/>
      <c r="G449" s="769"/>
      <c r="H449" s="768"/>
      <c r="I449" s="770"/>
      <c r="J449" s="758"/>
      <c r="K449" s="828"/>
      <c r="L449" s="760"/>
      <c r="M449" s="771"/>
      <c r="N449" s="760"/>
      <c r="O449" s="759"/>
      <c r="P449" s="759"/>
      <c r="Q449" s="759"/>
      <c r="R449" s="759"/>
      <c r="S449" s="759"/>
      <c r="T449" s="759"/>
      <c r="U449" s="759"/>
      <c r="V449" s="759"/>
      <c r="W449" s="759"/>
      <c r="X449" s="759"/>
      <c r="Y449" s="759"/>
      <c r="Z449" s="759"/>
      <c r="AA449" s="755"/>
      <c r="AB449" s="755"/>
      <c r="AC449" s="773"/>
      <c r="AD449" s="802"/>
      <c r="AF449" s="821"/>
      <c r="AG449" s="802"/>
      <c r="AH449" s="805"/>
      <c r="AI449" s="805"/>
      <c r="AJ449" s="827"/>
      <c r="AK449" s="805"/>
      <c r="AL449" s="806"/>
      <c r="AM449" s="805"/>
      <c r="AN449" s="805"/>
      <c r="AO449" s="807"/>
      <c r="AP449" s="805"/>
      <c r="AQ449" s="805"/>
      <c r="AR449" s="807"/>
      <c r="AS449" s="807"/>
      <c r="AT449" s="805"/>
      <c r="AU449" s="805"/>
      <c r="AV449" s="807"/>
      <c r="AW449" s="802"/>
    </row>
    <row r="450" spans="1:49" s="3" customFormat="1" ht="56.25" hidden="1" customHeight="1" x14ac:dyDescent="0.25">
      <c r="A450" s="1012" t="s">
        <v>1643</v>
      </c>
      <c r="B450" s="258" t="s">
        <v>753</v>
      </c>
      <c r="C450" s="222"/>
      <c r="D450" s="219"/>
      <c r="E450" s="226" t="s">
        <v>488</v>
      </c>
      <c r="F450" s="53" t="s">
        <v>837</v>
      </c>
      <c r="G450" s="51" t="s">
        <v>489</v>
      </c>
      <c r="H450" s="52" t="s">
        <v>1170</v>
      </c>
      <c r="I450" s="53" t="s">
        <v>838</v>
      </c>
      <c r="J450" s="47" t="s">
        <v>1171</v>
      </c>
      <c r="K450" s="47" t="s">
        <v>490</v>
      </c>
      <c r="L450" s="54" t="s">
        <v>489</v>
      </c>
      <c r="M450" s="47" t="s">
        <v>1172</v>
      </c>
      <c r="N450" s="53" t="s">
        <v>838</v>
      </c>
      <c r="O450" s="47" t="s">
        <v>1171</v>
      </c>
      <c r="P450" s="47" t="s">
        <v>826</v>
      </c>
      <c r="Q450" s="47" t="s">
        <v>1173</v>
      </c>
      <c r="R450" s="47" t="s">
        <v>1174</v>
      </c>
      <c r="S450" s="47" t="s">
        <v>839</v>
      </c>
      <c r="T450" s="47" t="s">
        <v>1171</v>
      </c>
      <c r="U450" s="47" t="s">
        <v>1392</v>
      </c>
      <c r="V450" s="47" t="s">
        <v>841</v>
      </c>
      <c r="W450" s="231" t="s">
        <v>1173</v>
      </c>
      <c r="X450" s="47" t="s">
        <v>1394</v>
      </c>
      <c r="Y450" s="47" t="s">
        <v>839</v>
      </c>
      <c r="Z450" s="55"/>
      <c r="AA450" s="1"/>
      <c r="AB450" s="1"/>
      <c r="AC450" s="245"/>
      <c r="AD450" s="56"/>
      <c r="AF450" s="81"/>
      <c r="AG450" s="56"/>
      <c r="AH450" s="125"/>
      <c r="AI450" s="125"/>
      <c r="AJ450" s="125"/>
      <c r="AK450" s="125"/>
      <c r="AL450" s="127"/>
      <c r="AM450" s="125"/>
      <c r="AN450" s="125"/>
      <c r="AO450" s="128"/>
      <c r="AP450" s="125"/>
      <c r="AQ450" s="139"/>
      <c r="AR450" s="139"/>
      <c r="AS450" s="139"/>
      <c r="AT450" s="125"/>
      <c r="AU450" s="125"/>
      <c r="AV450" s="128"/>
      <c r="AW450" s="56"/>
    </row>
    <row r="451" spans="1:49" s="3" customFormat="1" ht="12" hidden="1" customHeight="1" x14ac:dyDescent="0.25">
      <c r="A451" s="1013"/>
      <c r="B451" s="36" t="s">
        <v>1175</v>
      </c>
      <c r="C451" s="222">
        <f>C458</f>
        <v>133.48604126017125</v>
      </c>
      <c r="D451" s="219">
        <f>C451*$D$5</f>
        <v>26.964180334554595</v>
      </c>
      <c r="E451" s="227" t="s">
        <v>1176</v>
      </c>
      <c r="F451" s="165"/>
      <c r="G451" s="58"/>
      <c r="H451" s="58"/>
      <c r="I451" s="2">
        <f>SUM(I452:I459)</f>
        <v>83.8536</v>
      </c>
      <c r="J451" s="59" t="s">
        <v>1176</v>
      </c>
      <c r="K451" s="169"/>
      <c r="L451" s="60"/>
      <c r="M451" s="60"/>
      <c r="N451" s="61">
        <f>SUM(N452:N459)</f>
        <v>8.4000000000000005E-2</v>
      </c>
      <c r="O451" s="60" t="s">
        <v>1176</v>
      </c>
      <c r="P451" s="60"/>
      <c r="Q451" s="62"/>
      <c r="R451" s="63"/>
      <c r="S451" s="61">
        <f>SUM(S452:S459)</f>
        <v>9.7215000000000007</v>
      </c>
      <c r="T451" s="61"/>
      <c r="U451" s="61"/>
      <c r="V451" s="61"/>
      <c r="W451" s="61"/>
      <c r="X451" s="61"/>
      <c r="Y451" s="61">
        <f>SUM(Y452:Y459)</f>
        <v>9.1999999999999998E-3</v>
      </c>
      <c r="Z451" s="64">
        <f>(C451+D451+I451+N451+S451+Y451)*$Z$5</f>
        <v>330.40177428866713</v>
      </c>
      <c r="AA451" s="65">
        <f>C451+D451+I451+N451+S451+Y451+Z451</f>
        <v>584.52029588339292</v>
      </c>
      <c r="AB451" s="66">
        <v>0.25</v>
      </c>
      <c r="AC451" s="244">
        <f>AA451*(1+AB451)</f>
        <v>730.65036985424115</v>
      </c>
      <c r="AD451" s="67"/>
      <c r="AF451" s="81"/>
      <c r="AG451" s="56"/>
      <c r="AH451" s="125"/>
      <c r="AI451" s="139"/>
      <c r="AJ451" s="140"/>
      <c r="AK451" s="141"/>
      <c r="AL451" s="127"/>
      <c r="AM451" s="142"/>
      <c r="AN451" s="143"/>
      <c r="AO451" s="142"/>
      <c r="AP451" s="139"/>
      <c r="AQ451" s="139"/>
      <c r="AR451" s="139"/>
      <c r="AS451" s="139"/>
      <c r="AT451" s="139"/>
      <c r="AU451" s="142"/>
      <c r="AV451" s="142"/>
      <c r="AW451" s="144"/>
    </row>
    <row r="452" spans="1:49" s="3" customFormat="1" ht="12.75" hidden="1" customHeight="1" x14ac:dyDescent="0.25">
      <c r="A452" s="1013"/>
      <c r="B452" s="50" t="s">
        <v>830</v>
      </c>
      <c r="C452" s="222"/>
      <c r="D452" s="220"/>
      <c r="E452" s="68" t="s">
        <v>1437</v>
      </c>
      <c r="F452" s="69" t="s">
        <v>1438</v>
      </c>
      <c r="G452" s="70">
        <v>0.74</v>
      </c>
      <c r="H452" s="69">
        <v>0.01</v>
      </c>
      <c r="I452" s="71">
        <f t="shared" ref="I452:I457" si="42">G452*H452</f>
        <v>7.4000000000000003E-3</v>
      </c>
      <c r="J452" s="59" t="s">
        <v>1291</v>
      </c>
      <c r="K452" s="61">
        <v>2</v>
      </c>
      <c r="L452" s="61">
        <v>640</v>
      </c>
      <c r="M452" s="61">
        <v>2</v>
      </c>
      <c r="N452" s="61">
        <v>0.05</v>
      </c>
      <c r="O452" s="60" t="s">
        <v>1239</v>
      </c>
      <c r="P452" s="60">
        <v>61189.5</v>
      </c>
      <c r="Q452" s="60">
        <v>19.670000000000002</v>
      </c>
      <c r="R452" s="60">
        <v>6513.87</v>
      </c>
      <c r="S452" s="60">
        <v>9.7215000000000007</v>
      </c>
      <c r="T452" s="239" t="s">
        <v>1435</v>
      </c>
      <c r="U452" s="240">
        <v>6785401.3499999996</v>
      </c>
      <c r="V452" s="241">
        <v>1.32E-2</v>
      </c>
      <c r="W452" s="239">
        <v>1508.3</v>
      </c>
      <c r="X452" s="61">
        <v>59.38</v>
      </c>
      <c r="Y452" s="60">
        <v>9.1999999999999998E-3</v>
      </c>
      <c r="Z452" s="60"/>
      <c r="AA452" s="1"/>
      <c r="AB452" s="1"/>
      <c r="AC452" s="245"/>
      <c r="AD452" s="56"/>
      <c r="AF452" s="151"/>
      <c r="AG452" s="56"/>
      <c r="AH452" s="125"/>
      <c r="AI452" s="125"/>
      <c r="AJ452" s="136"/>
      <c r="AK452" s="125"/>
      <c r="AL452" s="127"/>
      <c r="AM452" s="125"/>
      <c r="AN452" s="125"/>
      <c r="AO452" s="128"/>
      <c r="AP452" s="125"/>
      <c r="AQ452" s="125"/>
      <c r="AR452" s="128"/>
      <c r="AS452" s="128"/>
      <c r="AT452" s="125"/>
      <c r="AU452" s="125"/>
      <c r="AV452" s="128"/>
      <c r="AW452" s="56"/>
    </row>
    <row r="453" spans="1:49" s="3" customFormat="1" hidden="1" x14ac:dyDescent="0.25">
      <c r="A453" s="1013"/>
      <c r="B453" s="74" t="s">
        <v>1178</v>
      </c>
      <c r="C453" s="223">
        <f>C443</f>
        <v>38.717865870069311</v>
      </c>
      <c r="D453" s="220"/>
      <c r="E453" s="68" t="s">
        <v>1439</v>
      </c>
      <c r="F453" s="69" t="s">
        <v>1438</v>
      </c>
      <c r="G453" s="70">
        <v>0.27</v>
      </c>
      <c r="H453" s="69">
        <v>0.01</v>
      </c>
      <c r="I453" s="242">
        <f t="shared" si="42"/>
        <v>2.7000000000000001E-3</v>
      </c>
      <c r="J453" s="59" t="s">
        <v>1445</v>
      </c>
      <c r="K453" s="61">
        <v>2</v>
      </c>
      <c r="L453" s="61">
        <v>84</v>
      </c>
      <c r="M453" s="61">
        <v>2</v>
      </c>
      <c r="N453" s="61">
        <v>8.9999999999999993E-3</v>
      </c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1"/>
      <c r="AB453" s="1"/>
      <c r="AC453" s="245"/>
      <c r="AD453" s="56"/>
      <c r="AF453" s="151"/>
      <c r="AG453" s="56"/>
      <c r="AH453" s="125"/>
      <c r="AI453" s="125"/>
      <c r="AJ453" s="136"/>
      <c r="AK453" s="125"/>
      <c r="AL453" s="127"/>
      <c r="AM453" s="145"/>
      <c r="AN453" s="125"/>
      <c r="AO453" s="128"/>
      <c r="AP453" s="125"/>
      <c r="AQ453" s="125"/>
      <c r="AR453" s="128"/>
      <c r="AS453" s="128"/>
      <c r="AT453" s="125"/>
      <c r="AU453" s="125"/>
      <c r="AV453" s="128"/>
      <c r="AW453" s="56"/>
    </row>
    <row r="454" spans="1:49" s="3" customFormat="1" ht="12.75" hidden="1" customHeight="1" x14ac:dyDescent="0.25">
      <c r="A454" s="1013"/>
      <c r="B454" s="57" t="s">
        <v>1179</v>
      </c>
      <c r="C454" s="222">
        <f>C444</f>
        <v>22.420123808013045</v>
      </c>
      <c r="D454" s="220"/>
      <c r="E454" s="68" t="s">
        <v>1598</v>
      </c>
      <c r="F454" s="69" t="s">
        <v>1441</v>
      </c>
      <c r="G454" s="70">
        <v>4.4000000000000004</v>
      </c>
      <c r="H454" s="70">
        <v>1</v>
      </c>
      <c r="I454" s="71">
        <f t="shared" si="42"/>
        <v>4.4000000000000004</v>
      </c>
      <c r="J454" s="59" t="s">
        <v>1513</v>
      </c>
      <c r="K454" s="61">
        <v>2</v>
      </c>
      <c r="L454" s="61">
        <v>25</v>
      </c>
      <c r="M454" s="61">
        <v>0.5</v>
      </c>
      <c r="N454" s="61">
        <v>2.5000000000000001E-2</v>
      </c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1"/>
      <c r="AB454" s="1"/>
      <c r="AC454" s="245"/>
      <c r="AD454" s="56"/>
      <c r="AF454" s="151"/>
      <c r="AG454" s="56"/>
      <c r="AH454" s="125"/>
      <c r="AI454" s="125"/>
      <c r="AJ454" s="136"/>
      <c r="AK454" s="125"/>
      <c r="AL454" s="127"/>
      <c r="AM454" s="125"/>
      <c r="AN454" s="125"/>
      <c r="AO454" s="128"/>
      <c r="AP454" s="125"/>
      <c r="AQ454" s="125"/>
      <c r="AR454" s="128"/>
      <c r="AS454" s="128"/>
      <c r="AT454" s="125"/>
      <c r="AU454" s="125"/>
      <c r="AV454" s="128"/>
      <c r="AW454" s="56"/>
    </row>
    <row r="455" spans="1:49" s="3" customFormat="1" ht="12.75" hidden="1" customHeight="1" x14ac:dyDescent="0.25">
      <c r="A455" s="1013"/>
      <c r="B455" s="57" t="s">
        <v>831</v>
      </c>
      <c r="C455" s="224"/>
      <c r="D455" s="220"/>
      <c r="E455" s="68" t="s">
        <v>1599</v>
      </c>
      <c r="F455" s="69" t="s">
        <v>1441</v>
      </c>
      <c r="G455" s="70">
        <v>77.28</v>
      </c>
      <c r="H455" s="69">
        <v>1</v>
      </c>
      <c r="I455" s="71">
        <f t="shared" si="42"/>
        <v>77.28</v>
      </c>
      <c r="J455" s="59"/>
      <c r="K455" s="61"/>
      <c r="L455" s="61"/>
      <c r="M455" s="61"/>
      <c r="N455" s="61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1"/>
      <c r="AB455" s="1"/>
      <c r="AC455" s="1"/>
      <c r="AD455" s="56"/>
      <c r="AF455" s="151"/>
      <c r="AG455" s="56"/>
      <c r="AH455" s="125"/>
      <c r="AI455" s="125"/>
      <c r="AJ455" s="136"/>
      <c r="AK455" s="125"/>
      <c r="AL455" s="127"/>
      <c r="AM455" s="125"/>
      <c r="AN455" s="125"/>
      <c r="AO455" s="128"/>
      <c r="AP455" s="125"/>
      <c r="AQ455" s="125"/>
      <c r="AR455" s="128"/>
      <c r="AS455" s="128"/>
      <c r="AT455" s="125"/>
      <c r="AU455" s="125"/>
      <c r="AV455" s="128"/>
      <c r="AW455" s="56"/>
    </row>
    <row r="456" spans="1:49" s="3" customFormat="1" ht="12.75" hidden="1" customHeight="1" x14ac:dyDescent="0.25">
      <c r="A456" s="1013"/>
      <c r="B456" s="74" t="s">
        <v>1178</v>
      </c>
      <c r="C456" s="225">
        <v>2</v>
      </c>
      <c r="D456" s="220"/>
      <c r="E456" s="68" t="s">
        <v>1442</v>
      </c>
      <c r="F456" s="69" t="s">
        <v>1443</v>
      </c>
      <c r="G456" s="70">
        <v>419.5</v>
      </c>
      <c r="H456" s="69">
        <v>1E-3</v>
      </c>
      <c r="I456" s="71">
        <f t="shared" si="42"/>
        <v>0.41949999999999998</v>
      </c>
      <c r="J456" s="59"/>
      <c r="K456" s="61"/>
      <c r="L456" s="61"/>
      <c r="M456" s="61"/>
      <c r="N456" s="61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1"/>
      <c r="AB456" s="1"/>
      <c r="AC456" s="1"/>
      <c r="AD456" s="56"/>
      <c r="AF456" s="151"/>
      <c r="AG456" s="56"/>
      <c r="AH456" s="125"/>
      <c r="AI456" s="125"/>
      <c r="AJ456" s="146"/>
      <c r="AK456" s="125"/>
      <c r="AL456" s="127"/>
      <c r="AM456" s="125"/>
      <c r="AN456" s="125"/>
      <c r="AO456" s="128"/>
      <c r="AP456" s="125"/>
      <c r="AQ456" s="125"/>
      <c r="AR456" s="128"/>
      <c r="AS456" s="128"/>
      <c r="AT456" s="125"/>
      <c r="AU456" s="125"/>
      <c r="AV456" s="128"/>
      <c r="AW456" s="56"/>
    </row>
    <row r="457" spans="1:49" s="3" customFormat="1" ht="12.75" hidden="1" customHeight="1" x14ac:dyDescent="0.25">
      <c r="A457" s="1013"/>
      <c r="B457" s="57" t="s">
        <v>1179</v>
      </c>
      <c r="C457" s="225">
        <v>2.5</v>
      </c>
      <c r="D457" s="220"/>
      <c r="E457" s="68" t="s">
        <v>1444</v>
      </c>
      <c r="F457" s="69" t="s">
        <v>1443</v>
      </c>
      <c r="G457" s="70">
        <v>872</v>
      </c>
      <c r="H457" s="69">
        <v>2E-3</v>
      </c>
      <c r="I457" s="71">
        <f t="shared" si="42"/>
        <v>1.744</v>
      </c>
      <c r="J457" s="59"/>
      <c r="K457" s="61"/>
      <c r="L457" s="61"/>
      <c r="M457" s="61"/>
      <c r="N457" s="61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1"/>
      <c r="AB457" s="1"/>
      <c r="AC457" s="1"/>
      <c r="AD457" s="56"/>
      <c r="AF457" s="151"/>
      <c r="AG457" s="56"/>
      <c r="AH457" s="125"/>
      <c r="AI457" s="125"/>
      <c r="AJ457" s="146"/>
      <c r="AK457" s="125"/>
      <c r="AL457" s="127"/>
      <c r="AM457" s="125"/>
      <c r="AN457" s="125"/>
      <c r="AO457" s="128"/>
      <c r="AP457" s="125"/>
      <c r="AQ457" s="125"/>
      <c r="AR457" s="128"/>
      <c r="AS457" s="128"/>
      <c r="AT457" s="125"/>
      <c r="AU457" s="125"/>
      <c r="AV457" s="128"/>
      <c r="AW457" s="56"/>
    </row>
    <row r="458" spans="1:49" s="3" customFormat="1" ht="12.75" hidden="1" customHeight="1" x14ac:dyDescent="0.25">
      <c r="A458" s="1013"/>
      <c r="B458" s="79" t="s">
        <v>1181</v>
      </c>
      <c r="C458" s="222">
        <f>C453*C456+C454*C457</f>
        <v>133.48604126017125</v>
      </c>
      <c r="D458" s="220"/>
      <c r="E458" s="228"/>
      <c r="F458" s="166"/>
      <c r="G458" s="70"/>
      <c r="H458" s="69"/>
      <c r="I458" s="71"/>
      <c r="J458" s="59"/>
      <c r="K458" s="170"/>
      <c r="L458" s="76"/>
      <c r="M458" s="72"/>
      <c r="N458" s="61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1"/>
      <c r="AB458" s="1"/>
      <c r="AC458" s="1"/>
      <c r="AD458" s="56"/>
      <c r="AF458" s="151"/>
      <c r="AG458" s="56"/>
      <c r="AH458" s="125"/>
      <c r="AI458" s="125"/>
      <c r="AJ458" s="136"/>
      <c r="AK458" s="125"/>
      <c r="AL458" s="127"/>
      <c r="AM458" s="125"/>
      <c r="AN458" s="125"/>
      <c r="AO458" s="128"/>
      <c r="AP458" s="125"/>
      <c r="AQ458" s="125"/>
      <c r="AR458" s="128"/>
      <c r="AS458" s="128"/>
      <c r="AT458" s="125"/>
      <c r="AU458" s="125"/>
      <c r="AV458" s="128"/>
      <c r="AW458" s="56"/>
    </row>
    <row r="459" spans="1:49" s="3" customFormat="1" ht="13.5" hidden="1" customHeight="1" x14ac:dyDescent="0.25">
      <c r="A459" s="1014"/>
      <c r="B459" s="123"/>
      <c r="C459" s="225"/>
      <c r="D459" s="221"/>
      <c r="E459" s="228"/>
      <c r="F459" s="166"/>
      <c r="G459" s="70"/>
      <c r="H459" s="69"/>
      <c r="I459" s="71"/>
      <c r="J459" s="59"/>
      <c r="K459" s="170"/>
      <c r="L459" s="61"/>
      <c r="M459" s="72"/>
      <c r="N459" s="61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1"/>
      <c r="AB459" s="1"/>
      <c r="AC459" s="1"/>
      <c r="AD459" s="56"/>
      <c r="AF459" s="151"/>
      <c r="AG459" s="56"/>
      <c r="AH459" s="125"/>
      <c r="AI459" s="125"/>
      <c r="AJ459" s="146"/>
      <c r="AK459" s="125"/>
      <c r="AL459" s="127"/>
      <c r="AM459" s="125"/>
      <c r="AN459" s="125"/>
      <c r="AO459" s="128"/>
      <c r="AP459" s="125"/>
      <c r="AQ459" s="125"/>
      <c r="AR459" s="128"/>
      <c r="AS459" s="128"/>
      <c r="AT459" s="125"/>
      <c r="AU459" s="125"/>
      <c r="AV459" s="128"/>
      <c r="AW459" s="56"/>
    </row>
    <row r="460" spans="1:49" s="803" customFormat="1" ht="56.25" customHeight="1" x14ac:dyDescent="0.25">
      <c r="A460" s="1114" t="s">
        <v>1644</v>
      </c>
      <c r="B460" s="778" t="s">
        <v>754</v>
      </c>
      <c r="C460" s="799"/>
      <c r="D460" s="800"/>
      <c r="E460" s="801" t="s">
        <v>488</v>
      </c>
      <c r="F460" s="792" t="s">
        <v>837</v>
      </c>
      <c r="G460" s="778" t="s">
        <v>489</v>
      </c>
      <c r="H460" s="791" t="s">
        <v>1170</v>
      </c>
      <c r="I460" s="792" t="s">
        <v>838</v>
      </c>
      <c r="J460" s="793" t="s">
        <v>1171</v>
      </c>
      <c r="K460" s="793" t="s">
        <v>490</v>
      </c>
      <c r="L460" s="794" t="s">
        <v>489</v>
      </c>
      <c r="M460" s="793" t="s">
        <v>1172</v>
      </c>
      <c r="N460" s="792" t="s">
        <v>838</v>
      </c>
      <c r="O460" s="793" t="s">
        <v>1171</v>
      </c>
      <c r="P460" s="793" t="s">
        <v>826</v>
      </c>
      <c r="Q460" s="793" t="s">
        <v>1173</v>
      </c>
      <c r="R460" s="793" t="s">
        <v>1174</v>
      </c>
      <c r="S460" s="793" t="s">
        <v>839</v>
      </c>
      <c r="T460" s="793" t="s">
        <v>1171</v>
      </c>
      <c r="U460" s="793" t="s">
        <v>1392</v>
      </c>
      <c r="V460" s="793" t="s">
        <v>841</v>
      </c>
      <c r="W460" s="795" t="s">
        <v>1173</v>
      </c>
      <c r="X460" s="793" t="s">
        <v>1394</v>
      </c>
      <c r="Y460" s="793" t="s">
        <v>839</v>
      </c>
      <c r="Z460" s="796"/>
      <c r="AA460" s="755"/>
      <c r="AB460" s="755"/>
      <c r="AC460" s="755"/>
      <c r="AD460" s="802"/>
      <c r="AF460" s="804"/>
      <c r="AG460" s="802"/>
      <c r="AH460" s="805"/>
      <c r="AI460" s="805"/>
      <c r="AJ460" s="805"/>
      <c r="AK460" s="805"/>
      <c r="AL460" s="806"/>
      <c r="AM460" s="805"/>
      <c r="AN460" s="805"/>
      <c r="AO460" s="807"/>
      <c r="AP460" s="805"/>
      <c r="AQ460" s="808"/>
      <c r="AR460" s="808"/>
      <c r="AS460" s="808"/>
      <c r="AT460" s="805"/>
      <c r="AU460" s="805"/>
      <c r="AV460" s="807"/>
      <c r="AW460" s="802"/>
    </row>
    <row r="461" spans="1:49" s="803" customFormat="1" ht="12" customHeight="1" x14ac:dyDescent="0.25">
      <c r="A461" s="1115"/>
      <c r="B461" s="752" t="s">
        <v>1175</v>
      </c>
      <c r="C461" s="799">
        <f>C468</f>
        <v>133.48604126017125</v>
      </c>
      <c r="D461" s="800">
        <f>C461*$D$5</f>
        <v>26.964180334554595</v>
      </c>
      <c r="E461" s="809" t="s">
        <v>1176</v>
      </c>
      <c r="F461" s="810"/>
      <c r="G461" s="756"/>
      <c r="H461" s="756"/>
      <c r="I461" s="757">
        <f>SUM(I462:I469)</f>
        <v>83.8536</v>
      </c>
      <c r="J461" s="758" t="s">
        <v>1176</v>
      </c>
      <c r="K461" s="811"/>
      <c r="L461" s="759"/>
      <c r="M461" s="759"/>
      <c r="N461" s="760">
        <f>SUM(N462:N469)</f>
        <v>0.49353301565690938</v>
      </c>
      <c r="O461" s="759" t="s">
        <v>1176</v>
      </c>
      <c r="P461" s="759"/>
      <c r="Q461" s="812"/>
      <c r="R461" s="813"/>
      <c r="S461" s="760">
        <f>SUM(S462:S469)</f>
        <v>0.35954794140634844</v>
      </c>
      <c r="T461" s="760"/>
      <c r="U461" s="760"/>
      <c r="V461" s="760"/>
      <c r="W461" s="760"/>
      <c r="X461" s="760"/>
      <c r="Y461" s="760">
        <f>SUM(Y462:Y469)</f>
        <v>23.266383874139621</v>
      </c>
      <c r="Z461" s="762">
        <f>(C461+D461+I461+N461+S461+Y461)*$Z$5</f>
        <v>349.00065347052077</v>
      </c>
      <c r="AA461" s="763">
        <f>C461+D461+I461+N461+S461+Y461+Z461</f>
        <v>617.4239398964495</v>
      </c>
      <c r="AB461" s="764">
        <v>0.25</v>
      </c>
      <c r="AC461" s="765">
        <f>AA461*(1+AB461)</f>
        <v>771.7799248705619</v>
      </c>
      <c r="AD461" s="814"/>
      <c r="AF461" s="804"/>
      <c r="AG461" s="802"/>
      <c r="AH461" s="805"/>
      <c r="AI461" s="808"/>
      <c r="AJ461" s="815"/>
      <c r="AK461" s="816"/>
      <c r="AL461" s="806"/>
      <c r="AM461" s="817"/>
      <c r="AN461" s="818"/>
      <c r="AO461" s="817"/>
      <c r="AP461" s="808"/>
      <c r="AQ461" s="808"/>
      <c r="AR461" s="808"/>
      <c r="AS461" s="808"/>
      <c r="AT461" s="808"/>
      <c r="AU461" s="817"/>
      <c r="AV461" s="817"/>
      <c r="AW461" s="819"/>
    </row>
    <row r="462" spans="1:49" s="803" customFormat="1" ht="12.75" customHeight="1" x14ac:dyDescent="0.25">
      <c r="A462" s="1115"/>
      <c r="B462" s="766" t="s">
        <v>830</v>
      </c>
      <c r="C462" s="799"/>
      <c r="D462" s="820"/>
      <c r="E462" s="767" t="s">
        <v>1437</v>
      </c>
      <c r="F462" s="768" t="s">
        <v>1438</v>
      </c>
      <c r="G462" s="769">
        <v>0.74</v>
      </c>
      <c r="H462" s="768">
        <v>0.01</v>
      </c>
      <c r="I462" s="770">
        <f t="shared" ref="I462:I467" si="43">G462*H462</f>
        <v>7.4000000000000003E-3</v>
      </c>
      <c r="J462" s="758" t="s">
        <v>1291</v>
      </c>
      <c r="K462" s="771">
        <v>2</v>
      </c>
      <c r="L462" s="772">
        <v>750</v>
      </c>
      <c r="M462" s="771">
        <v>2</v>
      </c>
      <c r="N462" s="760">
        <f>L462/'Исп. коэффициенты'!E31*(C466+C467)</f>
        <v>0.42545949625595636</v>
      </c>
      <c r="O462" s="759" t="s">
        <v>2200</v>
      </c>
      <c r="P462" s="759">
        <v>7250</v>
      </c>
      <c r="Q462" s="759">
        <v>19.670000000000002</v>
      </c>
      <c r="R462" s="759">
        <f>P462*Q462%</f>
        <v>1426.075</v>
      </c>
      <c r="S462" s="759">
        <f>R462/'Исп. коэффициенты'!E31*C466</f>
        <v>0.35954794140634844</v>
      </c>
      <c r="T462" s="755" t="s">
        <v>1435</v>
      </c>
      <c r="U462" s="756">
        <v>6785401.3499999996</v>
      </c>
      <c r="V462" s="785">
        <f>'Исп. коэффициенты'!E124</f>
        <v>2978.5</v>
      </c>
      <c r="W462" s="761">
        <f>'Исп. коэффициенты'!D124</f>
        <v>1.3599999999999999E-2</v>
      </c>
      <c r="X462" s="760">
        <f>U462*W462</f>
        <v>92281.45835999999</v>
      </c>
      <c r="Y462" s="759">
        <f>X462/'Исп. коэффициенты'!E31*C466</f>
        <v>23.266383874139621</v>
      </c>
      <c r="Z462" s="759"/>
      <c r="AA462" s="755"/>
      <c r="AB462" s="755"/>
      <c r="AC462" s="773"/>
      <c r="AD462" s="802"/>
      <c r="AF462" s="821"/>
      <c r="AG462" s="802"/>
      <c r="AH462" s="805"/>
      <c r="AI462" s="805"/>
      <c r="AJ462" s="822"/>
      <c r="AK462" s="805"/>
      <c r="AL462" s="806"/>
      <c r="AM462" s="805"/>
      <c r="AN462" s="805"/>
      <c r="AO462" s="807"/>
      <c r="AP462" s="805"/>
      <c r="AQ462" s="805"/>
      <c r="AR462" s="807"/>
      <c r="AS462" s="807"/>
      <c r="AT462" s="805"/>
      <c r="AU462" s="805"/>
      <c r="AV462" s="807"/>
      <c r="AW462" s="802"/>
    </row>
    <row r="463" spans="1:49" s="803" customFormat="1" x14ac:dyDescent="0.25">
      <c r="A463" s="1115"/>
      <c r="B463" s="774" t="s">
        <v>1178</v>
      </c>
      <c r="C463" s="823">
        <f>C453</f>
        <v>38.717865870069311</v>
      </c>
      <c r="D463" s="820"/>
      <c r="E463" s="767" t="s">
        <v>1439</v>
      </c>
      <c r="F463" s="768" t="s">
        <v>1438</v>
      </c>
      <c r="G463" s="769">
        <v>0.27</v>
      </c>
      <c r="H463" s="768">
        <v>0.01</v>
      </c>
      <c r="I463" s="775">
        <f t="shared" si="43"/>
        <v>2.7000000000000001E-3</v>
      </c>
      <c r="J463" s="758" t="s">
        <v>1445</v>
      </c>
      <c r="K463" s="760">
        <v>2</v>
      </c>
      <c r="L463" s="776">
        <v>95</v>
      </c>
      <c r="M463" s="771">
        <v>2</v>
      </c>
      <c r="N463" s="760">
        <f>L463/'Исп. коэффициенты'!E31*(C466+C467)</f>
        <v>5.3891536192421138E-2</v>
      </c>
      <c r="O463" s="759"/>
      <c r="P463" s="759"/>
      <c r="Q463" s="759"/>
      <c r="R463" s="759"/>
      <c r="S463" s="759"/>
      <c r="T463" s="759"/>
      <c r="U463" s="759"/>
      <c r="V463" s="759"/>
      <c r="W463" s="759"/>
      <c r="X463" s="759"/>
      <c r="Y463" s="759"/>
      <c r="Z463" s="759"/>
      <c r="AA463" s="755"/>
      <c r="AB463" s="755"/>
      <c r="AC463" s="773"/>
      <c r="AD463" s="802"/>
      <c r="AF463" s="821"/>
      <c r="AG463" s="802"/>
      <c r="AH463" s="805"/>
      <c r="AI463" s="805"/>
      <c r="AJ463" s="822"/>
      <c r="AK463" s="805"/>
      <c r="AL463" s="806"/>
      <c r="AM463" s="824"/>
      <c r="AN463" s="805"/>
      <c r="AO463" s="807"/>
      <c r="AP463" s="805"/>
      <c r="AQ463" s="805"/>
      <c r="AR463" s="807"/>
      <c r="AS463" s="807"/>
      <c r="AT463" s="805"/>
      <c r="AU463" s="805"/>
      <c r="AV463" s="807"/>
      <c r="AW463" s="802"/>
    </row>
    <row r="464" spans="1:49" s="803" customFormat="1" ht="12.75" customHeight="1" x14ac:dyDescent="0.25">
      <c r="A464" s="1115"/>
      <c r="B464" s="754" t="s">
        <v>1179</v>
      </c>
      <c r="C464" s="799">
        <f>C454</f>
        <v>22.420123808013045</v>
      </c>
      <c r="D464" s="820"/>
      <c r="E464" s="767" t="s">
        <v>1598</v>
      </c>
      <c r="F464" s="768" t="s">
        <v>1441</v>
      </c>
      <c r="G464" s="769">
        <v>4.4000000000000004</v>
      </c>
      <c r="H464" s="769">
        <v>1</v>
      </c>
      <c r="I464" s="770">
        <f t="shared" si="43"/>
        <v>4.4000000000000004</v>
      </c>
      <c r="J464" s="758" t="s">
        <v>1513</v>
      </c>
      <c r="K464" s="760">
        <v>2</v>
      </c>
      <c r="L464" s="760">
        <v>25</v>
      </c>
      <c r="M464" s="771">
        <v>0.5</v>
      </c>
      <c r="N464" s="760">
        <f>L464/'Исп. коэффициенты'!E31*(C466+C467)</f>
        <v>1.418198320853188E-2</v>
      </c>
      <c r="O464" s="759"/>
      <c r="P464" s="759"/>
      <c r="Q464" s="759"/>
      <c r="R464" s="759"/>
      <c r="S464" s="759"/>
      <c r="T464" s="759"/>
      <c r="U464" s="759"/>
      <c r="V464" s="759"/>
      <c r="W464" s="759"/>
      <c r="X464" s="759"/>
      <c r="Y464" s="759"/>
      <c r="Z464" s="759"/>
      <c r="AA464" s="755"/>
      <c r="AB464" s="755"/>
      <c r="AC464" s="773"/>
      <c r="AD464" s="802"/>
      <c r="AF464" s="821"/>
      <c r="AG464" s="802"/>
      <c r="AH464" s="805"/>
      <c r="AI464" s="805"/>
      <c r="AJ464" s="822"/>
      <c r="AK464" s="805"/>
      <c r="AL464" s="806"/>
      <c r="AM464" s="805"/>
      <c r="AN464" s="805"/>
      <c r="AO464" s="807"/>
      <c r="AP464" s="805"/>
      <c r="AQ464" s="805"/>
      <c r="AR464" s="807"/>
      <c r="AS464" s="807"/>
      <c r="AT464" s="805"/>
      <c r="AU464" s="805"/>
      <c r="AV464" s="807"/>
      <c r="AW464" s="802"/>
    </row>
    <row r="465" spans="1:49" s="803" customFormat="1" ht="12.75" customHeight="1" x14ac:dyDescent="0.25">
      <c r="A465" s="1115"/>
      <c r="B465" s="754" t="s">
        <v>831</v>
      </c>
      <c r="C465" s="825"/>
      <c r="D465" s="820"/>
      <c r="E465" s="767" t="s">
        <v>1599</v>
      </c>
      <c r="F465" s="768" t="s">
        <v>1441</v>
      </c>
      <c r="G465" s="769">
        <v>77.28</v>
      </c>
      <c r="H465" s="768">
        <v>1</v>
      </c>
      <c r="I465" s="770">
        <f t="shared" si="43"/>
        <v>77.28</v>
      </c>
      <c r="J465" s="758"/>
      <c r="K465" s="760"/>
      <c r="L465" s="760"/>
      <c r="M465" s="760"/>
      <c r="N465" s="760"/>
      <c r="O465" s="759"/>
      <c r="P465" s="759"/>
      <c r="Q465" s="759"/>
      <c r="R465" s="759"/>
      <c r="S465" s="759"/>
      <c r="T465" s="759"/>
      <c r="U465" s="759"/>
      <c r="V465" s="759"/>
      <c r="W465" s="759"/>
      <c r="X465" s="759"/>
      <c r="Y465" s="759"/>
      <c r="Z465" s="759"/>
      <c r="AA465" s="755"/>
      <c r="AB465" s="755"/>
      <c r="AC465" s="773"/>
      <c r="AD465" s="802"/>
      <c r="AF465" s="821"/>
      <c r="AG465" s="802"/>
      <c r="AH465" s="805"/>
      <c r="AI465" s="805"/>
      <c r="AJ465" s="822"/>
      <c r="AK465" s="805"/>
      <c r="AL465" s="806"/>
      <c r="AM465" s="805"/>
      <c r="AN465" s="805"/>
      <c r="AO465" s="807"/>
      <c r="AP465" s="805"/>
      <c r="AQ465" s="805"/>
      <c r="AR465" s="807"/>
      <c r="AS465" s="807"/>
      <c r="AT465" s="805"/>
      <c r="AU465" s="805"/>
      <c r="AV465" s="807"/>
      <c r="AW465" s="802"/>
    </row>
    <row r="466" spans="1:49" s="803" customFormat="1" ht="12.75" customHeight="1" x14ac:dyDescent="0.25">
      <c r="A466" s="1115"/>
      <c r="B466" s="774" t="s">
        <v>1178</v>
      </c>
      <c r="C466" s="826">
        <v>2</v>
      </c>
      <c r="D466" s="820"/>
      <c r="E466" s="767" t="s">
        <v>1442</v>
      </c>
      <c r="F466" s="768" t="s">
        <v>1443</v>
      </c>
      <c r="G466" s="769">
        <v>419.5</v>
      </c>
      <c r="H466" s="768">
        <v>1E-3</v>
      </c>
      <c r="I466" s="770">
        <f t="shared" si="43"/>
        <v>0.41949999999999998</v>
      </c>
      <c r="J466" s="758"/>
      <c r="K466" s="760"/>
      <c r="L466" s="760"/>
      <c r="M466" s="760"/>
      <c r="N466" s="760"/>
      <c r="O466" s="759"/>
      <c r="P466" s="759"/>
      <c r="Q466" s="759"/>
      <c r="R466" s="759"/>
      <c r="S466" s="759"/>
      <c r="T466" s="759"/>
      <c r="U466" s="759"/>
      <c r="V466" s="759"/>
      <c r="W466" s="759"/>
      <c r="X466" s="759"/>
      <c r="Y466" s="759"/>
      <c r="Z466" s="759"/>
      <c r="AA466" s="755"/>
      <c r="AB466" s="755"/>
      <c r="AC466" s="773"/>
      <c r="AD466" s="802"/>
      <c r="AF466" s="821"/>
      <c r="AG466" s="802"/>
      <c r="AH466" s="805"/>
      <c r="AI466" s="805"/>
      <c r="AJ466" s="827"/>
      <c r="AK466" s="805"/>
      <c r="AL466" s="806"/>
      <c r="AM466" s="805"/>
      <c r="AN466" s="805"/>
      <c r="AO466" s="807"/>
      <c r="AP466" s="805"/>
      <c r="AQ466" s="805"/>
      <c r="AR466" s="807"/>
      <c r="AS466" s="807"/>
      <c r="AT466" s="805"/>
      <c r="AU466" s="805"/>
      <c r="AV466" s="807"/>
      <c r="AW466" s="802"/>
    </row>
    <row r="467" spans="1:49" s="803" customFormat="1" ht="12.75" customHeight="1" x14ac:dyDescent="0.25">
      <c r="A467" s="1115"/>
      <c r="B467" s="754" t="s">
        <v>1179</v>
      </c>
      <c r="C467" s="826">
        <v>2.5</v>
      </c>
      <c r="D467" s="820"/>
      <c r="E467" s="767" t="s">
        <v>1444</v>
      </c>
      <c r="F467" s="768" t="s">
        <v>1443</v>
      </c>
      <c r="G467" s="769">
        <v>872</v>
      </c>
      <c r="H467" s="768">
        <v>2E-3</v>
      </c>
      <c r="I467" s="770">
        <f t="shared" si="43"/>
        <v>1.744</v>
      </c>
      <c r="J467" s="758"/>
      <c r="K467" s="760"/>
      <c r="L467" s="760"/>
      <c r="M467" s="760"/>
      <c r="N467" s="760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5"/>
      <c r="AB467" s="755"/>
      <c r="AC467" s="773"/>
      <c r="AD467" s="802"/>
      <c r="AF467" s="821"/>
      <c r="AG467" s="802"/>
      <c r="AH467" s="805"/>
      <c r="AI467" s="805"/>
      <c r="AJ467" s="827"/>
      <c r="AK467" s="805"/>
      <c r="AL467" s="806"/>
      <c r="AM467" s="805"/>
      <c r="AN467" s="805"/>
      <c r="AO467" s="807"/>
      <c r="AP467" s="805"/>
      <c r="AQ467" s="805"/>
      <c r="AR467" s="807"/>
      <c r="AS467" s="807"/>
      <c r="AT467" s="805"/>
      <c r="AU467" s="805"/>
      <c r="AV467" s="807"/>
      <c r="AW467" s="802"/>
    </row>
    <row r="468" spans="1:49" s="803" customFormat="1" ht="12.75" customHeight="1" x14ac:dyDescent="0.25">
      <c r="A468" s="1115"/>
      <c r="B468" s="782" t="s">
        <v>1181</v>
      </c>
      <c r="C468" s="799">
        <f>C463*C466+C464*C467</f>
        <v>133.48604126017125</v>
      </c>
      <c r="D468" s="820"/>
      <c r="E468" s="780"/>
      <c r="F468" s="781"/>
      <c r="G468" s="769"/>
      <c r="H468" s="768"/>
      <c r="I468" s="770"/>
      <c r="J468" s="758"/>
      <c r="K468" s="828"/>
      <c r="L468" s="776"/>
      <c r="M468" s="771"/>
      <c r="N468" s="760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5"/>
      <c r="AB468" s="755"/>
      <c r="AC468" s="773"/>
      <c r="AD468" s="802"/>
      <c r="AF468" s="821"/>
      <c r="AG468" s="802"/>
      <c r="AH468" s="805"/>
      <c r="AI468" s="805"/>
      <c r="AJ468" s="822"/>
      <c r="AK468" s="805"/>
      <c r="AL468" s="806"/>
      <c r="AM468" s="805"/>
      <c r="AN468" s="805"/>
      <c r="AO468" s="807"/>
      <c r="AP468" s="805"/>
      <c r="AQ468" s="805"/>
      <c r="AR468" s="807"/>
      <c r="AS468" s="807"/>
      <c r="AT468" s="805"/>
      <c r="AU468" s="805"/>
      <c r="AV468" s="807"/>
      <c r="AW468" s="802"/>
    </row>
    <row r="469" spans="1:49" s="803" customFormat="1" ht="13.5" customHeight="1" x14ac:dyDescent="0.25">
      <c r="A469" s="1116"/>
      <c r="B469" s="783"/>
      <c r="C469" s="826"/>
      <c r="D469" s="829"/>
      <c r="E469" s="780"/>
      <c r="F469" s="781"/>
      <c r="G469" s="769"/>
      <c r="H469" s="768"/>
      <c r="I469" s="770"/>
      <c r="J469" s="758"/>
      <c r="K469" s="828"/>
      <c r="L469" s="760"/>
      <c r="M469" s="771"/>
      <c r="N469" s="760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5"/>
      <c r="AB469" s="755"/>
      <c r="AC469" s="773"/>
      <c r="AD469" s="802"/>
      <c r="AF469" s="821"/>
      <c r="AG469" s="802"/>
      <c r="AH469" s="805"/>
      <c r="AI469" s="805"/>
      <c r="AJ469" s="827"/>
      <c r="AK469" s="805"/>
      <c r="AL469" s="806"/>
      <c r="AM469" s="805"/>
      <c r="AN469" s="805"/>
      <c r="AO469" s="807"/>
      <c r="AP469" s="805"/>
      <c r="AQ469" s="805"/>
      <c r="AR469" s="807"/>
      <c r="AS469" s="807"/>
      <c r="AT469" s="805"/>
      <c r="AU469" s="805"/>
      <c r="AV469" s="807"/>
      <c r="AW469" s="802"/>
    </row>
    <row r="470" spans="1:49" s="803" customFormat="1" ht="56.25" customHeight="1" x14ac:dyDescent="0.25">
      <c r="A470" s="1114" t="s">
        <v>1645</v>
      </c>
      <c r="B470" s="778" t="s">
        <v>755</v>
      </c>
      <c r="C470" s="799"/>
      <c r="D470" s="800"/>
      <c r="E470" s="801" t="s">
        <v>488</v>
      </c>
      <c r="F470" s="792" t="s">
        <v>837</v>
      </c>
      <c r="G470" s="778" t="s">
        <v>489</v>
      </c>
      <c r="H470" s="791" t="s">
        <v>1170</v>
      </c>
      <c r="I470" s="792" t="s">
        <v>838</v>
      </c>
      <c r="J470" s="793" t="s">
        <v>1171</v>
      </c>
      <c r="K470" s="793" t="s">
        <v>490</v>
      </c>
      <c r="L470" s="794" t="s">
        <v>489</v>
      </c>
      <c r="M470" s="793" t="s">
        <v>1172</v>
      </c>
      <c r="N470" s="792" t="s">
        <v>838</v>
      </c>
      <c r="O470" s="793" t="s">
        <v>1171</v>
      </c>
      <c r="P470" s="793" t="s">
        <v>826</v>
      </c>
      <c r="Q470" s="793" t="s">
        <v>1173</v>
      </c>
      <c r="R470" s="793" t="s">
        <v>1174</v>
      </c>
      <c r="S470" s="793" t="s">
        <v>839</v>
      </c>
      <c r="T470" s="793" t="s">
        <v>1171</v>
      </c>
      <c r="U470" s="793" t="s">
        <v>1392</v>
      </c>
      <c r="V470" s="793" t="s">
        <v>841</v>
      </c>
      <c r="W470" s="795" t="s">
        <v>1173</v>
      </c>
      <c r="X470" s="793" t="s">
        <v>1394</v>
      </c>
      <c r="Y470" s="793" t="s">
        <v>839</v>
      </c>
      <c r="Z470" s="796"/>
      <c r="AA470" s="755"/>
      <c r="AB470" s="755"/>
      <c r="AC470" s="773"/>
      <c r="AD470" s="802"/>
      <c r="AF470" s="804"/>
      <c r="AG470" s="802"/>
      <c r="AH470" s="805"/>
      <c r="AI470" s="805"/>
      <c r="AJ470" s="805"/>
      <c r="AK470" s="805"/>
      <c r="AL470" s="806"/>
      <c r="AM470" s="805"/>
      <c r="AN470" s="805"/>
      <c r="AO470" s="807"/>
      <c r="AP470" s="805"/>
      <c r="AQ470" s="808"/>
      <c r="AR470" s="808"/>
      <c r="AS470" s="808"/>
      <c r="AT470" s="805"/>
      <c r="AU470" s="805"/>
      <c r="AV470" s="807"/>
      <c r="AW470" s="802"/>
    </row>
    <row r="471" spans="1:49" s="803" customFormat="1" ht="12" customHeight="1" x14ac:dyDescent="0.25">
      <c r="A471" s="1115"/>
      <c r="B471" s="752" t="s">
        <v>1175</v>
      </c>
      <c r="C471" s="799">
        <f>C478</f>
        <v>72.348051582088885</v>
      </c>
      <c r="D471" s="800">
        <f>C471*$D$5</f>
        <v>14.614306419581956</v>
      </c>
      <c r="E471" s="809" t="s">
        <v>1176</v>
      </c>
      <c r="F471" s="810"/>
      <c r="G471" s="756"/>
      <c r="H471" s="756"/>
      <c r="I471" s="757">
        <f>SUM(I472:I479)</f>
        <v>83.8536</v>
      </c>
      <c r="J471" s="758" t="s">
        <v>1176</v>
      </c>
      <c r="K471" s="811"/>
      <c r="L471" s="759"/>
      <c r="M471" s="759"/>
      <c r="N471" s="760">
        <f>SUM(N472:N479)</f>
        <v>0.27418500869828294</v>
      </c>
      <c r="O471" s="759" t="s">
        <v>1176</v>
      </c>
      <c r="P471" s="759"/>
      <c r="Q471" s="812"/>
      <c r="R471" s="813"/>
      <c r="S471" s="760">
        <f>SUM(S472:S479)</f>
        <v>0.17977397070317422</v>
      </c>
      <c r="T471" s="760"/>
      <c r="U471" s="760"/>
      <c r="V471" s="760"/>
      <c r="W471" s="760"/>
      <c r="X471" s="760"/>
      <c r="Y471" s="760">
        <f>SUM(Y472:Y479)</f>
        <v>11.63319193706981</v>
      </c>
      <c r="Z471" s="762">
        <f>(C471+D471+I471+N471+S471+Y471)*$Z$5</f>
        <v>237.80837118927158</v>
      </c>
      <c r="AA471" s="763">
        <f>C471+D471+I471+N471+S471+Y471+Z471</f>
        <v>420.71148010741365</v>
      </c>
      <c r="AB471" s="764">
        <v>0.25</v>
      </c>
      <c r="AC471" s="765">
        <f>AA471*(1+AB471)</f>
        <v>525.88935013426703</v>
      </c>
      <c r="AD471" s="814"/>
      <c r="AF471" s="804"/>
      <c r="AG471" s="802"/>
      <c r="AH471" s="805"/>
      <c r="AI471" s="808"/>
      <c r="AJ471" s="815"/>
      <c r="AK471" s="816"/>
      <c r="AL471" s="806"/>
      <c r="AM471" s="817"/>
      <c r="AN471" s="818"/>
      <c r="AO471" s="817"/>
      <c r="AP471" s="808"/>
      <c r="AQ471" s="808"/>
      <c r="AR471" s="808"/>
      <c r="AS471" s="808"/>
      <c r="AT471" s="808"/>
      <c r="AU471" s="817"/>
      <c r="AV471" s="817"/>
      <c r="AW471" s="819"/>
    </row>
    <row r="472" spans="1:49" s="803" customFormat="1" ht="12.75" customHeight="1" x14ac:dyDescent="0.25">
      <c r="A472" s="1115"/>
      <c r="B472" s="766" t="s">
        <v>830</v>
      </c>
      <c r="C472" s="799"/>
      <c r="D472" s="820"/>
      <c r="E472" s="767" t="s">
        <v>1437</v>
      </c>
      <c r="F472" s="768" t="s">
        <v>1438</v>
      </c>
      <c r="G472" s="769">
        <v>0.74</v>
      </c>
      <c r="H472" s="768">
        <v>0.01</v>
      </c>
      <c r="I472" s="770">
        <f t="shared" ref="I472:I477" si="44">G472*H472</f>
        <v>7.4000000000000003E-3</v>
      </c>
      <c r="J472" s="758" t="s">
        <v>1291</v>
      </c>
      <c r="K472" s="771">
        <v>2</v>
      </c>
      <c r="L472" s="772">
        <v>750</v>
      </c>
      <c r="M472" s="771">
        <v>2</v>
      </c>
      <c r="N472" s="760">
        <f>L472/'Исп. коэффициенты'!E31*(C476+C477)</f>
        <v>0.23636638680886463</v>
      </c>
      <c r="O472" s="759" t="s">
        <v>2200</v>
      </c>
      <c r="P472" s="759">
        <v>7250</v>
      </c>
      <c r="Q472" s="759">
        <v>19.670000000000002</v>
      </c>
      <c r="R472" s="759">
        <f>P472*Q472%</f>
        <v>1426.075</v>
      </c>
      <c r="S472" s="759">
        <f>R472/'Исп. коэффициенты'!E31*C476</f>
        <v>0.17977397070317422</v>
      </c>
      <c r="T472" s="755" t="s">
        <v>1435</v>
      </c>
      <c r="U472" s="756">
        <v>6785401.3499999996</v>
      </c>
      <c r="V472" s="785">
        <f>'Исп. коэффициенты'!E124</f>
        <v>2978.5</v>
      </c>
      <c r="W472" s="761">
        <f>'Исп. коэффициенты'!D124</f>
        <v>1.3599999999999999E-2</v>
      </c>
      <c r="X472" s="760">
        <f>U472*W472</f>
        <v>92281.45835999999</v>
      </c>
      <c r="Y472" s="759">
        <f>X472/'Исп. коэффициенты'!E31*C476</f>
        <v>11.63319193706981</v>
      </c>
      <c r="Z472" s="759"/>
      <c r="AA472" s="755"/>
      <c r="AB472" s="755"/>
      <c r="AC472" s="773"/>
      <c r="AD472" s="802"/>
      <c r="AF472" s="821"/>
      <c r="AG472" s="802"/>
      <c r="AH472" s="805"/>
      <c r="AI472" s="805"/>
      <c r="AJ472" s="822"/>
      <c r="AK472" s="805"/>
      <c r="AL472" s="806"/>
      <c r="AM472" s="805"/>
      <c r="AN472" s="805"/>
      <c r="AO472" s="807"/>
      <c r="AP472" s="805"/>
      <c r="AQ472" s="805"/>
      <c r="AR472" s="807"/>
      <c r="AS472" s="807"/>
      <c r="AT472" s="805"/>
      <c r="AU472" s="805"/>
      <c r="AV472" s="807"/>
      <c r="AW472" s="802"/>
    </row>
    <row r="473" spans="1:49" s="803" customFormat="1" x14ac:dyDescent="0.25">
      <c r="A473" s="1115"/>
      <c r="B473" s="774" t="s">
        <v>1178</v>
      </c>
      <c r="C473" s="823">
        <f>C463</f>
        <v>38.717865870069311</v>
      </c>
      <c r="D473" s="820"/>
      <c r="E473" s="767" t="s">
        <v>1439</v>
      </c>
      <c r="F473" s="768" t="s">
        <v>1438</v>
      </c>
      <c r="G473" s="769">
        <v>0.27</v>
      </c>
      <c r="H473" s="768">
        <v>0.01</v>
      </c>
      <c r="I473" s="775">
        <f t="shared" si="44"/>
        <v>2.7000000000000001E-3</v>
      </c>
      <c r="J473" s="758" t="s">
        <v>1445</v>
      </c>
      <c r="K473" s="760">
        <v>2</v>
      </c>
      <c r="L473" s="776">
        <v>95</v>
      </c>
      <c r="M473" s="771">
        <v>2</v>
      </c>
      <c r="N473" s="760">
        <f>L473/'Исп. коэффициенты'!E31*(C476+C477)</f>
        <v>2.9939742329122852E-2</v>
      </c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5"/>
      <c r="AB473" s="755"/>
      <c r="AC473" s="755"/>
      <c r="AD473" s="802"/>
      <c r="AF473" s="821"/>
      <c r="AG473" s="802"/>
      <c r="AH473" s="805"/>
      <c r="AI473" s="805"/>
      <c r="AJ473" s="822"/>
      <c r="AK473" s="805"/>
      <c r="AL473" s="806"/>
      <c r="AM473" s="824"/>
      <c r="AN473" s="805"/>
      <c r="AO473" s="807"/>
      <c r="AP473" s="805"/>
      <c r="AQ473" s="805"/>
      <c r="AR473" s="807"/>
      <c r="AS473" s="807"/>
      <c r="AT473" s="805"/>
      <c r="AU473" s="805"/>
      <c r="AV473" s="807"/>
      <c r="AW473" s="802"/>
    </row>
    <row r="474" spans="1:49" s="803" customFormat="1" ht="12.75" customHeight="1" x14ac:dyDescent="0.25">
      <c r="A474" s="1115"/>
      <c r="B474" s="754" t="s">
        <v>1179</v>
      </c>
      <c r="C474" s="799">
        <f>C464</f>
        <v>22.420123808013045</v>
      </c>
      <c r="D474" s="820"/>
      <c r="E474" s="767" t="s">
        <v>1598</v>
      </c>
      <c r="F474" s="768" t="s">
        <v>1441</v>
      </c>
      <c r="G474" s="769">
        <v>4.4000000000000004</v>
      </c>
      <c r="H474" s="769">
        <v>1</v>
      </c>
      <c r="I474" s="770">
        <f t="shared" si="44"/>
        <v>4.4000000000000004</v>
      </c>
      <c r="J474" s="758" t="s">
        <v>1513</v>
      </c>
      <c r="K474" s="760">
        <v>2</v>
      </c>
      <c r="L474" s="760">
        <v>25</v>
      </c>
      <c r="M474" s="771">
        <v>0.5</v>
      </c>
      <c r="N474" s="760">
        <f>L474/'Исп. коэффициенты'!E31*(C476+C477)</f>
        <v>7.8788795602954889E-3</v>
      </c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5"/>
      <c r="AB474" s="755"/>
      <c r="AC474" s="755"/>
      <c r="AD474" s="802"/>
      <c r="AF474" s="821"/>
      <c r="AG474" s="802"/>
      <c r="AH474" s="805"/>
      <c r="AI474" s="805"/>
      <c r="AJ474" s="822"/>
      <c r="AK474" s="805"/>
      <c r="AL474" s="806"/>
      <c r="AM474" s="805"/>
      <c r="AN474" s="805"/>
      <c r="AO474" s="807"/>
      <c r="AP474" s="805"/>
      <c r="AQ474" s="805"/>
      <c r="AR474" s="807"/>
      <c r="AS474" s="807"/>
      <c r="AT474" s="805"/>
      <c r="AU474" s="805"/>
      <c r="AV474" s="807"/>
      <c r="AW474" s="802"/>
    </row>
    <row r="475" spans="1:49" s="803" customFormat="1" ht="12.75" customHeight="1" x14ac:dyDescent="0.25">
      <c r="A475" s="1115"/>
      <c r="B475" s="754" t="s">
        <v>831</v>
      </c>
      <c r="C475" s="825"/>
      <c r="D475" s="820"/>
      <c r="E475" s="767" t="s">
        <v>1599</v>
      </c>
      <c r="F475" s="768" t="s">
        <v>1441</v>
      </c>
      <c r="G475" s="769">
        <v>77.28</v>
      </c>
      <c r="H475" s="768">
        <v>1</v>
      </c>
      <c r="I475" s="770">
        <f t="shared" si="44"/>
        <v>77.28</v>
      </c>
      <c r="J475" s="758"/>
      <c r="K475" s="760"/>
      <c r="L475" s="760"/>
      <c r="M475" s="760"/>
      <c r="N475" s="760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5"/>
      <c r="AB475" s="755"/>
      <c r="AC475" s="755"/>
      <c r="AD475" s="802"/>
      <c r="AF475" s="821"/>
      <c r="AG475" s="802"/>
      <c r="AH475" s="805"/>
      <c r="AI475" s="805"/>
      <c r="AJ475" s="822"/>
      <c r="AK475" s="805"/>
      <c r="AL475" s="806"/>
      <c r="AM475" s="805"/>
      <c r="AN475" s="805"/>
      <c r="AO475" s="807"/>
      <c r="AP475" s="805"/>
      <c r="AQ475" s="805"/>
      <c r="AR475" s="807"/>
      <c r="AS475" s="807"/>
      <c r="AT475" s="805"/>
      <c r="AU475" s="805"/>
      <c r="AV475" s="807"/>
      <c r="AW475" s="802"/>
    </row>
    <row r="476" spans="1:49" s="803" customFormat="1" ht="12.75" customHeight="1" x14ac:dyDescent="0.25">
      <c r="A476" s="1115"/>
      <c r="B476" s="774" t="s">
        <v>1178</v>
      </c>
      <c r="C476" s="826">
        <v>1</v>
      </c>
      <c r="D476" s="820"/>
      <c r="E476" s="767" t="s">
        <v>1442</v>
      </c>
      <c r="F476" s="768" t="s">
        <v>1443</v>
      </c>
      <c r="G476" s="769">
        <v>419.5</v>
      </c>
      <c r="H476" s="768">
        <v>1E-3</v>
      </c>
      <c r="I476" s="770">
        <f t="shared" si="44"/>
        <v>0.41949999999999998</v>
      </c>
      <c r="J476" s="758"/>
      <c r="K476" s="760"/>
      <c r="L476" s="760"/>
      <c r="M476" s="760"/>
      <c r="N476" s="760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5"/>
      <c r="AB476" s="755"/>
      <c r="AC476" s="755"/>
      <c r="AD476" s="802"/>
      <c r="AF476" s="821"/>
      <c r="AG476" s="802"/>
      <c r="AH476" s="805"/>
      <c r="AI476" s="805"/>
      <c r="AJ476" s="827"/>
      <c r="AK476" s="805"/>
      <c r="AL476" s="806"/>
      <c r="AM476" s="805"/>
      <c r="AN476" s="805"/>
      <c r="AO476" s="807"/>
      <c r="AP476" s="805"/>
      <c r="AQ476" s="805"/>
      <c r="AR476" s="807"/>
      <c r="AS476" s="807"/>
      <c r="AT476" s="805"/>
      <c r="AU476" s="805"/>
      <c r="AV476" s="807"/>
      <c r="AW476" s="802"/>
    </row>
    <row r="477" spans="1:49" s="803" customFormat="1" ht="12.75" customHeight="1" x14ac:dyDescent="0.25">
      <c r="A477" s="1115"/>
      <c r="B477" s="754" t="s">
        <v>1179</v>
      </c>
      <c r="C477" s="826">
        <v>1.5</v>
      </c>
      <c r="D477" s="820"/>
      <c r="E477" s="767" t="s">
        <v>1444</v>
      </c>
      <c r="F477" s="768" t="s">
        <v>1443</v>
      </c>
      <c r="G477" s="769">
        <v>872</v>
      </c>
      <c r="H477" s="768">
        <v>2E-3</v>
      </c>
      <c r="I477" s="770">
        <f t="shared" si="44"/>
        <v>1.744</v>
      </c>
      <c r="J477" s="758"/>
      <c r="K477" s="760"/>
      <c r="L477" s="760"/>
      <c r="M477" s="760"/>
      <c r="N477" s="760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5"/>
      <c r="AB477" s="755"/>
      <c r="AC477" s="755"/>
      <c r="AD477" s="802"/>
      <c r="AF477" s="821"/>
      <c r="AG477" s="802"/>
      <c r="AH477" s="805"/>
      <c r="AI477" s="805"/>
      <c r="AJ477" s="827"/>
      <c r="AK477" s="805"/>
      <c r="AL477" s="806"/>
      <c r="AM477" s="805"/>
      <c r="AN477" s="805"/>
      <c r="AO477" s="807"/>
      <c r="AP477" s="805"/>
      <c r="AQ477" s="805"/>
      <c r="AR477" s="807"/>
      <c r="AS477" s="807"/>
      <c r="AT477" s="805"/>
      <c r="AU477" s="805"/>
      <c r="AV477" s="807"/>
      <c r="AW477" s="802"/>
    </row>
    <row r="478" spans="1:49" s="803" customFormat="1" ht="12.75" customHeight="1" x14ac:dyDescent="0.25">
      <c r="A478" s="1115"/>
      <c r="B478" s="782" t="s">
        <v>1181</v>
      </c>
      <c r="C478" s="799">
        <f>C473*C476+C474*C477</f>
        <v>72.348051582088885</v>
      </c>
      <c r="D478" s="820"/>
      <c r="E478" s="780"/>
      <c r="F478" s="781"/>
      <c r="G478" s="769"/>
      <c r="H478" s="768"/>
      <c r="I478" s="770"/>
      <c r="J478" s="758"/>
      <c r="K478" s="828"/>
      <c r="L478" s="776"/>
      <c r="M478" s="771"/>
      <c r="N478" s="760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5"/>
      <c r="AB478" s="755"/>
      <c r="AC478" s="755"/>
      <c r="AD478" s="802"/>
      <c r="AF478" s="821"/>
      <c r="AG478" s="802"/>
      <c r="AH478" s="805"/>
      <c r="AI478" s="805"/>
      <c r="AJ478" s="822"/>
      <c r="AK478" s="805"/>
      <c r="AL478" s="806"/>
      <c r="AM478" s="805"/>
      <c r="AN478" s="805"/>
      <c r="AO478" s="807"/>
      <c r="AP478" s="805"/>
      <c r="AQ478" s="805"/>
      <c r="AR478" s="807"/>
      <c r="AS478" s="807"/>
      <c r="AT478" s="805"/>
      <c r="AU478" s="805"/>
      <c r="AV478" s="807"/>
      <c r="AW478" s="802"/>
    </row>
    <row r="479" spans="1:49" s="803" customFormat="1" ht="13.5" customHeight="1" x14ac:dyDescent="0.25">
      <c r="A479" s="1116"/>
      <c r="B479" s="783"/>
      <c r="C479" s="826"/>
      <c r="D479" s="829"/>
      <c r="E479" s="780"/>
      <c r="F479" s="781"/>
      <c r="G479" s="769"/>
      <c r="H479" s="768"/>
      <c r="I479" s="770"/>
      <c r="J479" s="758"/>
      <c r="K479" s="828"/>
      <c r="L479" s="760"/>
      <c r="M479" s="771"/>
      <c r="N479" s="760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5"/>
      <c r="AB479" s="755"/>
      <c r="AC479" s="755"/>
      <c r="AD479" s="802"/>
      <c r="AF479" s="821"/>
      <c r="AG479" s="802"/>
      <c r="AH479" s="805"/>
      <c r="AI479" s="805"/>
      <c r="AJ479" s="827"/>
      <c r="AK479" s="805"/>
      <c r="AL479" s="806"/>
      <c r="AM479" s="805"/>
      <c r="AN479" s="805"/>
      <c r="AO479" s="807"/>
      <c r="AP479" s="805"/>
      <c r="AQ479" s="805"/>
      <c r="AR479" s="807"/>
      <c r="AS479" s="807"/>
      <c r="AT479" s="805"/>
      <c r="AU479" s="805"/>
      <c r="AV479" s="807"/>
      <c r="AW479" s="802"/>
    </row>
    <row r="480" spans="1:49" s="3" customFormat="1" ht="56.25" hidden="1" customHeight="1" x14ac:dyDescent="0.25">
      <c r="A480" s="1012" t="s">
        <v>1649</v>
      </c>
      <c r="B480" s="258" t="s">
        <v>756</v>
      </c>
      <c r="C480" s="222"/>
      <c r="D480" s="219"/>
      <c r="E480" s="226" t="s">
        <v>488</v>
      </c>
      <c r="F480" s="53" t="s">
        <v>837</v>
      </c>
      <c r="G480" s="51" t="s">
        <v>489</v>
      </c>
      <c r="H480" s="52" t="s">
        <v>1170</v>
      </c>
      <c r="I480" s="53" t="s">
        <v>838</v>
      </c>
      <c r="J480" s="47" t="s">
        <v>1171</v>
      </c>
      <c r="K480" s="47" t="s">
        <v>490</v>
      </c>
      <c r="L480" s="54" t="s">
        <v>489</v>
      </c>
      <c r="M480" s="47" t="s">
        <v>1172</v>
      </c>
      <c r="N480" s="53" t="s">
        <v>838</v>
      </c>
      <c r="O480" s="47" t="s">
        <v>1171</v>
      </c>
      <c r="P480" s="47" t="s">
        <v>826</v>
      </c>
      <c r="Q480" s="47" t="s">
        <v>1173</v>
      </c>
      <c r="R480" s="47" t="s">
        <v>1174</v>
      </c>
      <c r="S480" s="47" t="s">
        <v>839</v>
      </c>
      <c r="T480" s="47" t="s">
        <v>1171</v>
      </c>
      <c r="U480" s="47" t="s">
        <v>1392</v>
      </c>
      <c r="V480" s="47" t="s">
        <v>841</v>
      </c>
      <c r="W480" s="231" t="s">
        <v>1173</v>
      </c>
      <c r="X480" s="47" t="s">
        <v>1394</v>
      </c>
      <c r="Y480" s="47" t="s">
        <v>839</v>
      </c>
      <c r="Z480" s="55"/>
      <c r="AA480" s="1"/>
      <c r="AB480" s="1"/>
      <c r="AC480" s="245"/>
      <c r="AD480" s="56"/>
      <c r="AF480" s="81"/>
      <c r="AG480" s="56"/>
      <c r="AH480" s="125"/>
      <c r="AI480" s="125"/>
      <c r="AJ480" s="125"/>
      <c r="AK480" s="125"/>
      <c r="AL480" s="127"/>
      <c r="AM480" s="125"/>
      <c r="AN480" s="125"/>
      <c r="AO480" s="128"/>
      <c r="AP480" s="125"/>
      <c r="AQ480" s="139"/>
      <c r="AR480" s="139"/>
      <c r="AS480" s="139"/>
      <c r="AT480" s="125"/>
      <c r="AU480" s="125"/>
      <c r="AV480" s="128"/>
      <c r="AW480" s="56"/>
    </row>
    <row r="481" spans="1:49" s="3" customFormat="1" ht="12" hidden="1" customHeight="1" x14ac:dyDescent="0.25">
      <c r="A481" s="1013"/>
      <c r="B481" s="36" t="s">
        <v>1175</v>
      </c>
      <c r="C481" s="222">
        <f>C488</f>
        <v>72.348051582088885</v>
      </c>
      <c r="D481" s="219">
        <f>C481*$D$5</f>
        <v>14.614306419581956</v>
      </c>
      <c r="E481" s="227" t="s">
        <v>1176</v>
      </c>
      <c r="F481" s="165"/>
      <c r="G481" s="58"/>
      <c r="H481" s="58"/>
      <c r="I481" s="2">
        <f>SUM(I482:I489)</f>
        <v>83.8536</v>
      </c>
      <c r="J481" s="59" t="s">
        <v>1176</v>
      </c>
      <c r="K481" s="169"/>
      <c r="L481" s="60"/>
      <c r="M481" s="60"/>
      <c r="N481" s="61">
        <f>SUM(N482:N489)</f>
        <v>8.4000000000000005E-2</v>
      </c>
      <c r="O481" s="60" t="s">
        <v>1176</v>
      </c>
      <c r="P481" s="60"/>
      <c r="Q481" s="62"/>
      <c r="R481" s="63"/>
      <c r="S481" s="61">
        <f>SUM(S482:S489)</f>
        <v>9.7215000000000007</v>
      </c>
      <c r="T481" s="61"/>
      <c r="U481" s="61"/>
      <c r="V481" s="61"/>
      <c r="W481" s="61"/>
      <c r="X481" s="61"/>
      <c r="Y481" s="61">
        <f>SUM(Y482:Y489)</f>
        <v>9.1999999999999998E-3</v>
      </c>
      <c r="Z481" s="64">
        <f>(C481+D481+I481+N481+S481+Y481)*$Z$5</f>
        <v>234.85375847519541</v>
      </c>
      <c r="AA481" s="65">
        <f>C481+D481+I481+N481+S481+Y481+Z481</f>
        <v>415.48441647686622</v>
      </c>
      <c r="AB481" s="66">
        <v>0.25</v>
      </c>
      <c r="AC481" s="244">
        <f>AA481*(1+AB481)</f>
        <v>519.35552059608278</v>
      </c>
      <c r="AD481" s="67"/>
      <c r="AF481" s="81"/>
      <c r="AG481" s="56"/>
      <c r="AH481" s="125"/>
      <c r="AI481" s="139"/>
      <c r="AJ481" s="140"/>
      <c r="AK481" s="141"/>
      <c r="AL481" s="127"/>
      <c r="AM481" s="142"/>
      <c r="AN481" s="143"/>
      <c r="AO481" s="142"/>
      <c r="AP481" s="139"/>
      <c r="AQ481" s="139"/>
      <c r="AR481" s="139"/>
      <c r="AS481" s="139"/>
      <c r="AT481" s="139"/>
      <c r="AU481" s="142"/>
      <c r="AV481" s="142"/>
      <c r="AW481" s="144"/>
    </row>
    <row r="482" spans="1:49" s="3" customFormat="1" ht="12.75" hidden="1" customHeight="1" x14ac:dyDescent="0.25">
      <c r="A482" s="1013"/>
      <c r="B482" s="50" t="s">
        <v>830</v>
      </c>
      <c r="C482" s="222"/>
      <c r="D482" s="220"/>
      <c r="E482" s="68" t="s">
        <v>1437</v>
      </c>
      <c r="F482" s="69" t="s">
        <v>1438</v>
      </c>
      <c r="G482" s="70">
        <v>0.74</v>
      </c>
      <c r="H482" s="69">
        <v>0.01</v>
      </c>
      <c r="I482" s="71">
        <f t="shared" ref="I482:I487" si="45">G482*H482</f>
        <v>7.4000000000000003E-3</v>
      </c>
      <c r="J482" s="59" t="s">
        <v>1291</v>
      </c>
      <c r="K482" s="61">
        <v>2</v>
      </c>
      <c r="L482" s="61">
        <v>640</v>
      </c>
      <c r="M482" s="61">
        <v>2</v>
      </c>
      <c r="N482" s="61">
        <v>0.05</v>
      </c>
      <c r="O482" s="60" t="s">
        <v>1239</v>
      </c>
      <c r="P482" s="60">
        <v>61189.5</v>
      </c>
      <c r="Q482" s="60">
        <v>19.670000000000002</v>
      </c>
      <c r="R482" s="60">
        <v>6513.87</v>
      </c>
      <c r="S482" s="60">
        <v>9.7215000000000007</v>
      </c>
      <c r="T482" s="239" t="s">
        <v>1435</v>
      </c>
      <c r="U482" s="240">
        <v>6785401.3499999996</v>
      </c>
      <c r="V482" s="241">
        <v>1.32E-2</v>
      </c>
      <c r="W482" s="239">
        <v>1508.3</v>
      </c>
      <c r="X482" s="61">
        <v>59.38</v>
      </c>
      <c r="Y482" s="60">
        <v>9.1999999999999998E-3</v>
      </c>
      <c r="Z482" s="60"/>
      <c r="AA482" s="1"/>
      <c r="AB482" s="1"/>
      <c r="AC482" s="245"/>
      <c r="AD482" s="56"/>
      <c r="AF482" s="151"/>
      <c r="AG482" s="56"/>
      <c r="AH482" s="125"/>
      <c r="AI482" s="125"/>
      <c r="AJ482" s="136"/>
      <c r="AK482" s="125"/>
      <c r="AL482" s="127"/>
      <c r="AM482" s="125"/>
      <c r="AN482" s="125"/>
      <c r="AO482" s="128"/>
      <c r="AP482" s="125"/>
      <c r="AQ482" s="125"/>
      <c r="AR482" s="128"/>
      <c r="AS482" s="128"/>
      <c r="AT482" s="125"/>
      <c r="AU482" s="125"/>
      <c r="AV482" s="128"/>
      <c r="AW482" s="56"/>
    </row>
    <row r="483" spans="1:49" s="3" customFormat="1" hidden="1" x14ac:dyDescent="0.25">
      <c r="A483" s="1013"/>
      <c r="B483" s="74" t="s">
        <v>1178</v>
      </c>
      <c r="C483" s="223">
        <f>C473</f>
        <v>38.717865870069311</v>
      </c>
      <c r="D483" s="220"/>
      <c r="E483" s="68" t="s">
        <v>1439</v>
      </c>
      <c r="F483" s="69" t="s">
        <v>1438</v>
      </c>
      <c r="G483" s="70">
        <v>0.27</v>
      </c>
      <c r="H483" s="69">
        <v>0.01</v>
      </c>
      <c r="I483" s="242">
        <f t="shared" si="45"/>
        <v>2.7000000000000001E-3</v>
      </c>
      <c r="J483" s="59" t="s">
        <v>1445</v>
      </c>
      <c r="K483" s="61">
        <v>2</v>
      </c>
      <c r="L483" s="61">
        <v>84</v>
      </c>
      <c r="M483" s="61">
        <v>2</v>
      </c>
      <c r="N483" s="61">
        <v>8.9999999999999993E-3</v>
      </c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1"/>
      <c r="AB483" s="1"/>
      <c r="AC483" s="245"/>
      <c r="AD483" s="56"/>
      <c r="AF483" s="151"/>
      <c r="AG483" s="56"/>
      <c r="AH483" s="125"/>
      <c r="AI483" s="125"/>
      <c r="AJ483" s="136"/>
      <c r="AK483" s="125"/>
      <c r="AL483" s="127"/>
      <c r="AM483" s="145"/>
      <c r="AN483" s="125"/>
      <c r="AO483" s="128"/>
      <c r="AP483" s="125"/>
      <c r="AQ483" s="125"/>
      <c r="AR483" s="128"/>
      <c r="AS483" s="128"/>
      <c r="AT483" s="125"/>
      <c r="AU483" s="125"/>
      <c r="AV483" s="128"/>
      <c r="AW483" s="56"/>
    </row>
    <row r="484" spans="1:49" s="3" customFormat="1" ht="12.75" hidden="1" customHeight="1" x14ac:dyDescent="0.25">
      <c r="A484" s="1013"/>
      <c r="B484" s="57" t="s">
        <v>1179</v>
      </c>
      <c r="C484" s="222">
        <f>C474</f>
        <v>22.420123808013045</v>
      </c>
      <c r="D484" s="220"/>
      <c r="E484" s="68" t="s">
        <v>1598</v>
      </c>
      <c r="F484" s="69" t="s">
        <v>1441</v>
      </c>
      <c r="G484" s="70">
        <v>4.4000000000000004</v>
      </c>
      <c r="H484" s="70">
        <v>1</v>
      </c>
      <c r="I484" s="71">
        <f t="shared" si="45"/>
        <v>4.4000000000000004</v>
      </c>
      <c r="J484" s="59" t="s">
        <v>1513</v>
      </c>
      <c r="K484" s="61">
        <v>2</v>
      </c>
      <c r="L484" s="61">
        <v>25</v>
      </c>
      <c r="M484" s="61">
        <v>0.5</v>
      </c>
      <c r="N484" s="61">
        <v>2.5000000000000001E-2</v>
      </c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1"/>
      <c r="AB484" s="1"/>
      <c r="AC484" s="245"/>
      <c r="AD484" s="56"/>
      <c r="AF484" s="151"/>
      <c r="AG484" s="56"/>
      <c r="AH484" s="125"/>
      <c r="AI484" s="125"/>
      <c r="AJ484" s="136"/>
      <c r="AK484" s="125"/>
      <c r="AL484" s="127"/>
      <c r="AM484" s="125"/>
      <c r="AN484" s="125"/>
      <c r="AO484" s="128"/>
      <c r="AP484" s="125"/>
      <c r="AQ484" s="125"/>
      <c r="AR484" s="128"/>
      <c r="AS484" s="128"/>
      <c r="AT484" s="125"/>
      <c r="AU484" s="125"/>
      <c r="AV484" s="128"/>
      <c r="AW484" s="56"/>
    </row>
    <row r="485" spans="1:49" s="3" customFormat="1" ht="12.75" hidden="1" customHeight="1" x14ac:dyDescent="0.25">
      <c r="A485" s="1013"/>
      <c r="B485" s="57" t="s">
        <v>831</v>
      </c>
      <c r="C485" s="224"/>
      <c r="D485" s="220"/>
      <c r="E485" s="68" t="s">
        <v>1599</v>
      </c>
      <c r="F485" s="69" t="s">
        <v>1441</v>
      </c>
      <c r="G485" s="70">
        <v>77.28</v>
      </c>
      <c r="H485" s="69">
        <v>1</v>
      </c>
      <c r="I485" s="71">
        <f t="shared" si="45"/>
        <v>77.28</v>
      </c>
      <c r="J485" s="59"/>
      <c r="K485" s="61"/>
      <c r="L485" s="61"/>
      <c r="M485" s="61"/>
      <c r="N485" s="61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1"/>
      <c r="AB485" s="1"/>
      <c r="AC485" s="245"/>
      <c r="AD485" s="56"/>
      <c r="AF485" s="151"/>
      <c r="AG485" s="56"/>
      <c r="AH485" s="125"/>
      <c r="AI485" s="125"/>
      <c r="AJ485" s="136"/>
      <c r="AK485" s="125"/>
      <c r="AL485" s="127"/>
      <c r="AM485" s="125"/>
      <c r="AN485" s="125"/>
      <c r="AO485" s="128"/>
      <c r="AP485" s="125"/>
      <c r="AQ485" s="125"/>
      <c r="AR485" s="128"/>
      <c r="AS485" s="128"/>
      <c r="AT485" s="125"/>
      <c r="AU485" s="125"/>
      <c r="AV485" s="128"/>
      <c r="AW485" s="56"/>
    </row>
    <row r="486" spans="1:49" s="3" customFormat="1" ht="12.75" hidden="1" customHeight="1" x14ac:dyDescent="0.25">
      <c r="A486" s="1013"/>
      <c r="B486" s="74" t="s">
        <v>1178</v>
      </c>
      <c r="C486" s="225">
        <v>1</v>
      </c>
      <c r="D486" s="220"/>
      <c r="E486" s="68" t="s">
        <v>1442</v>
      </c>
      <c r="F486" s="69" t="s">
        <v>1443</v>
      </c>
      <c r="G486" s="70">
        <v>419.5</v>
      </c>
      <c r="H486" s="69">
        <v>1E-3</v>
      </c>
      <c r="I486" s="71">
        <f t="shared" si="45"/>
        <v>0.41949999999999998</v>
      </c>
      <c r="J486" s="59"/>
      <c r="K486" s="61"/>
      <c r="L486" s="61"/>
      <c r="M486" s="61"/>
      <c r="N486" s="61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1"/>
      <c r="AB486" s="1"/>
      <c r="AC486" s="245"/>
      <c r="AD486" s="56"/>
      <c r="AF486" s="151"/>
      <c r="AG486" s="56"/>
      <c r="AH486" s="125"/>
      <c r="AI486" s="125"/>
      <c r="AJ486" s="146"/>
      <c r="AK486" s="125"/>
      <c r="AL486" s="127"/>
      <c r="AM486" s="125"/>
      <c r="AN486" s="125"/>
      <c r="AO486" s="128"/>
      <c r="AP486" s="125"/>
      <c r="AQ486" s="125"/>
      <c r="AR486" s="128"/>
      <c r="AS486" s="128"/>
      <c r="AT486" s="125"/>
      <c r="AU486" s="125"/>
      <c r="AV486" s="128"/>
      <c r="AW486" s="56"/>
    </row>
    <row r="487" spans="1:49" s="3" customFormat="1" ht="12.75" hidden="1" customHeight="1" x14ac:dyDescent="0.25">
      <c r="A487" s="1013"/>
      <c r="B487" s="57" t="s">
        <v>1179</v>
      </c>
      <c r="C487" s="225">
        <v>1.5</v>
      </c>
      <c r="D487" s="220"/>
      <c r="E487" s="68" t="s">
        <v>1444</v>
      </c>
      <c r="F487" s="69" t="s">
        <v>1443</v>
      </c>
      <c r="G487" s="70">
        <v>872</v>
      </c>
      <c r="H487" s="69">
        <v>2E-3</v>
      </c>
      <c r="I487" s="71">
        <f t="shared" si="45"/>
        <v>1.744</v>
      </c>
      <c r="J487" s="59"/>
      <c r="K487" s="61"/>
      <c r="L487" s="61"/>
      <c r="M487" s="61"/>
      <c r="N487" s="61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1"/>
      <c r="AB487" s="1"/>
      <c r="AC487" s="245"/>
      <c r="AD487" s="56"/>
      <c r="AF487" s="151"/>
      <c r="AG487" s="56"/>
      <c r="AH487" s="125"/>
      <c r="AI487" s="125"/>
      <c r="AJ487" s="146"/>
      <c r="AK487" s="125"/>
      <c r="AL487" s="127"/>
      <c r="AM487" s="125"/>
      <c r="AN487" s="125"/>
      <c r="AO487" s="128"/>
      <c r="AP487" s="125"/>
      <c r="AQ487" s="125"/>
      <c r="AR487" s="128"/>
      <c r="AS487" s="128"/>
      <c r="AT487" s="125"/>
      <c r="AU487" s="125"/>
      <c r="AV487" s="128"/>
      <c r="AW487" s="56"/>
    </row>
    <row r="488" spans="1:49" s="3" customFormat="1" ht="12.75" hidden="1" customHeight="1" x14ac:dyDescent="0.25">
      <c r="A488" s="1013"/>
      <c r="B488" s="79" t="s">
        <v>1181</v>
      </c>
      <c r="C488" s="222">
        <f>C483*C486+C484*C487</f>
        <v>72.348051582088885</v>
      </c>
      <c r="D488" s="220"/>
      <c r="E488" s="228"/>
      <c r="F488" s="166"/>
      <c r="G488" s="70"/>
      <c r="H488" s="69"/>
      <c r="I488" s="71"/>
      <c r="J488" s="59"/>
      <c r="K488" s="170"/>
      <c r="L488" s="76"/>
      <c r="M488" s="72"/>
      <c r="N488" s="61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1"/>
      <c r="AB488" s="1"/>
      <c r="AC488" s="245"/>
      <c r="AD488" s="56"/>
      <c r="AF488" s="151"/>
      <c r="AG488" s="56"/>
      <c r="AH488" s="125"/>
      <c r="AI488" s="125"/>
      <c r="AJ488" s="136"/>
      <c r="AK488" s="125"/>
      <c r="AL488" s="127"/>
      <c r="AM488" s="125"/>
      <c r="AN488" s="125"/>
      <c r="AO488" s="128"/>
      <c r="AP488" s="125"/>
      <c r="AQ488" s="125"/>
      <c r="AR488" s="128"/>
      <c r="AS488" s="128"/>
      <c r="AT488" s="125"/>
      <c r="AU488" s="125"/>
      <c r="AV488" s="128"/>
      <c r="AW488" s="56"/>
    </row>
    <row r="489" spans="1:49" s="3" customFormat="1" ht="13.5" hidden="1" customHeight="1" x14ac:dyDescent="0.25">
      <c r="A489" s="1014"/>
      <c r="B489" s="123"/>
      <c r="C489" s="225"/>
      <c r="D489" s="221"/>
      <c r="E489" s="228"/>
      <c r="F489" s="166"/>
      <c r="G489" s="70"/>
      <c r="H489" s="69"/>
      <c r="I489" s="71"/>
      <c r="J489" s="59"/>
      <c r="K489" s="170"/>
      <c r="L489" s="61"/>
      <c r="M489" s="72"/>
      <c r="N489" s="61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1"/>
      <c r="AB489" s="1"/>
      <c r="AC489" s="245"/>
      <c r="AD489" s="56"/>
      <c r="AF489" s="151"/>
      <c r="AG489" s="56"/>
      <c r="AH489" s="125"/>
      <c r="AI489" s="125"/>
      <c r="AJ489" s="146"/>
      <c r="AK489" s="125"/>
      <c r="AL489" s="127"/>
      <c r="AM489" s="125"/>
      <c r="AN489" s="125"/>
      <c r="AO489" s="128"/>
      <c r="AP489" s="125"/>
      <c r="AQ489" s="125"/>
      <c r="AR489" s="128"/>
      <c r="AS489" s="128"/>
      <c r="AT489" s="125"/>
      <c r="AU489" s="125"/>
      <c r="AV489" s="128"/>
      <c r="AW489" s="56"/>
    </row>
    <row r="490" spans="1:49" s="3" customFormat="1" ht="56.25" hidden="1" customHeight="1" x14ac:dyDescent="0.25">
      <c r="A490" s="1012" t="s">
        <v>1673</v>
      </c>
      <c r="B490" s="258" t="s">
        <v>757</v>
      </c>
      <c r="C490" s="222"/>
      <c r="D490" s="219"/>
      <c r="E490" s="226" t="s">
        <v>488</v>
      </c>
      <c r="F490" s="53" t="s">
        <v>837</v>
      </c>
      <c r="G490" s="51" t="s">
        <v>489</v>
      </c>
      <c r="H490" s="52" t="s">
        <v>1170</v>
      </c>
      <c r="I490" s="53" t="s">
        <v>838</v>
      </c>
      <c r="J490" s="47" t="s">
        <v>1171</v>
      </c>
      <c r="K490" s="47" t="s">
        <v>490</v>
      </c>
      <c r="L490" s="54" t="s">
        <v>489</v>
      </c>
      <c r="M490" s="47" t="s">
        <v>1172</v>
      </c>
      <c r="N490" s="53" t="s">
        <v>838</v>
      </c>
      <c r="O490" s="47" t="s">
        <v>1171</v>
      </c>
      <c r="P490" s="47" t="s">
        <v>826</v>
      </c>
      <c r="Q490" s="47" t="s">
        <v>1173</v>
      </c>
      <c r="R490" s="47" t="s">
        <v>1174</v>
      </c>
      <c r="S490" s="47" t="s">
        <v>839</v>
      </c>
      <c r="T490" s="47" t="s">
        <v>1171</v>
      </c>
      <c r="U490" s="47" t="s">
        <v>1392</v>
      </c>
      <c r="V490" s="47" t="s">
        <v>841</v>
      </c>
      <c r="W490" s="231" t="s">
        <v>1173</v>
      </c>
      <c r="X490" s="47" t="s">
        <v>1394</v>
      </c>
      <c r="Y490" s="47" t="s">
        <v>839</v>
      </c>
      <c r="Z490" s="55"/>
      <c r="AA490" s="1"/>
      <c r="AB490" s="1"/>
      <c r="AC490" s="245"/>
      <c r="AD490" s="56"/>
      <c r="AF490" s="81"/>
      <c r="AG490" s="56"/>
      <c r="AH490" s="125"/>
      <c r="AI490" s="125"/>
      <c r="AJ490" s="125"/>
      <c r="AK490" s="125"/>
      <c r="AL490" s="127"/>
      <c r="AM490" s="125"/>
      <c r="AN490" s="125"/>
      <c r="AO490" s="128"/>
      <c r="AP490" s="125"/>
      <c r="AQ490" s="139"/>
      <c r="AR490" s="139"/>
      <c r="AS490" s="139"/>
      <c r="AT490" s="125"/>
      <c r="AU490" s="125"/>
      <c r="AV490" s="128"/>
      <c r="AW490" s="56"/>
    </row>
    <row r="491" spans="1:49" s="3" customFormat="1" ht="12" hidden="1" customHeight="1" x14ac:dyDescent="0.25">
      <c r="A491" s="1013"/>
      <c r="B491" s="36" t="s">
        <v>1175</v>
      </c>
      <c r="C491" s="222">
        <f>C498</f>
        <v>72.348051582088885</v>
      </c>
      <c r="D491" s="219">
        <f>C491*$D$5</f>
        <v>14.614306419581956</v>
      </c>
      <c r="E491" s="227" t="s">
        <v>1176</v>
      </c>
      <c r="F491" s="165"/>
      <c r="G491" s="58"/>
      <c r="H491" s="58"/>
      <c r="I491" s="2">
        <f>SUM(I492:I499)</f>
        <v>83.8536</v>
      </c>
      <c r="J491" s="59" t="s">
        <v>1176</v>
      </c>
      <c r="K491" s="169"/>
      <c r="L491" s="60"/>
      <c r="M491" s="60"/>
      <c r="N491" s="61">
        <f>SUM(N492:N499)</f>
        <v>8.4000000000000005E-2</v>
      </c>
      <c r="O491" s="60" t="s">
        <v>1176</v>
      </c>
      <c r="P491" s="60"/>
      <c r="Q491" s="62"/>
      <c r="R491" s="63"/>
      <c r="S491" s="61">
        <f>SUM(S492:S499)</f>
        <v>9.7215000000000007</v>
      </c>
      <c r="T491" s="61"/>
      <c r="U491" s="61"/>
      <c r="V491" s="61"/>
      <c r="W491" s="61"/>
      <c r="X491" s="61"/>
      <c r="Y491" s="61">
        <f>SUM(Y492:Y499)</f>
        <v>9.1999999999999998E-3</v>
      </c>
      <c r="Z491" s="64">
        <f>(C491+D491+I491+N491+S491+Y491)*$Z$5</f>
        <v>234.85375847519541</v>
      </c>
      <c r="AA491" s="65">
        <f>C491+D491+I491+N491+S491+Y491+Z491</f>
        <v>415.48441647686622</v>
      </c>
      <c r="AB491" s="66">
        <v>0.25</v>
      </c>
      <c r="AC491" s="244">
        <f>AA491*(1+AB491)</f>
        <v>519.35552059608278</v>
      </c>
      <c r="AD491" s="67"/>
      <c r="AF491" s="81"/>
      <c r="AG491" s="56"/>
      <c r="AH491" s="125"/>
      <c r="AI491" s="139"/>
      <c r="AJ491" s="140"/>
      <c r="AK491" s="141"/>
      <c r="AL491" s="127"/>
      <c r="AM491" s="142"/>
      <c r="AN491" s="143"/>
      <c r="AO491" s="142"/>
      <c r="AP491" s="139"/>
      <c r="AQ491" s="139"/>
      <c r="AR491" s="139"/>
      <c r="AS491" s="139"/>
      <c r="AT491" s="139"/>
      <c r="AU491" s="142"/>
      <c r="AV491" s="142"/>
      <c r="AW491" s="144"/>
    </row>
    <row r="492" spans="1:49" s="3" customFormat="1" ht="12.75" hidden="1" customHeight="1" x14ac:dyDescent="0.25">
      <c r="A492" s="1013"/>
      <c r="B492" s="50" t="s">
        <v>830</v>
      </c>
      <c r="C492" s="222"/>
      <c r="D492" s="220"/>
      <c r="E492" s="68" t="s">
        <v>1437</v>
      </c>
      <c r="F492" s="69" t="s">
        <v>1438</v>
      </c>
      <c r="G492" s="70">
        <v>0.74</v>
      </c>
      <c r="H492" s="69">
        <v>0.01</v>
      </c>
      <c r="I492" s="71">
        <f t="shared" ref="I492:I497" si="46">G492*H492</f>
        <v>7.4000000000000003E-3</v>
      </c>
      <c r="J492" s="59" t="s">
        <v>1291</v>
      </c>
      <c r="K492" s="61">
        <v>2</v>
      </c>
      <c r="L492" s="61">
        <v>640</v>
      </c>
      <c r="M492" s="61">
        <v>2</v>
      </c>
      <c r="N492" s="61">
        <v>0.05</v>
      </c>
      <c r="O492" s="60" t="s">
        <v>1239</v>
      </c>
      <c r="P492" s="60">
        <v>61189.5</v>
      </c>
      <c r="Q492" s="60">
        <v>19.670000000000002</v>
      </c>
      <c r="R492" s="60">
        <v>6513.87</v>
      </c>
      <c r="S492" s="60">
        <v>9.7215000000000007</v>
      </c>
      <c r="T492" s="239" t="s">
        <v>1435</v>
      </c>
      <c r="U492" s="240">
        <v>6785401.3499999996</v>
      </c>
      <c r="V492" s="241">
        <v>1.32E-2</v>
      </c>
      <c r="W492" s="239">
        <v>1508.3</v>
      </c>
      <c r="X492" s="61">
        <v>59.38</v>
      </c>
      <c r="Y492" s="60">
        <v>9.1999999999999998E-3</v>
      </c>
      <c r="Z492" s="60"/>
      <c r="AA492" s="1"/>
      <c r="AB492" s="1"/>
      <c r="AC492" s="245"/>
      <c r="AD492" s="56"/>
      <c r="AF492" s="151"/>
      <c r="AG492" s="56"/>
      <c r="AH492" s="125"/>
      <c r="AI492" s="125"/>
      <c r="AJ492" s="136"/>
      <c r="AK492" s="125"/>
      <c r="AL492" s="127"/>
      <c r="AM492" s="125"/>
      <c r="AN492" s="125"/>
      <c r="AO492" s="128"/>
      <c r="AP492" s="125"/>
      <c r="AQ492" s="125"/>
      <c r="AR492" s="128"/>
      <c r="AS492" s="128"/>
      <c r="AT492" s="125"/>
      <c r="AU492" s="125"/>
      <c r="AV492" s="128"/>
      <c r="AW492" s="56"/>
    </row>
    <row r="493" spans="1:49" s="3" customFormat="1" hidden="1" x14ac:dyDescent="0.25">
      <c r="A493" s="1013"/>
      <c r="B493" s="74" t="s">
        <v>1178</v>
      </c>
      <c r="C493" s="223">
        <f>C483</f>
        <v>38.717865870069311</v>
      </c>
      <c r="D493" s="220"/>
      <c r="E493" s="68" t="s">
        <v>1439</v>
      </c>
      <c r="F493" s="69" t="s">
        <v>1438</v>
      </c>
      <c r="G493" s="70">
        <v>0.27</v>
      </c>
      <c r="H493" s="69">
        <v>0.01</v>
      </c>
      <c r="I493" s="242">
        <f t="shared" si="46"/>
        <v>2.7000000000000001E-3</v>
      </c>
      <c r="J493" s="59" t="s">
        <v>1445</v>
      </c>
      <c r="K493" s="61">
        <v>2</v>
      </c>
      <c r="L493" s="61">
        <v>84</v>
      </c>
      <c r="M493" s="61">
        <v>2</v>
      </c>
      <c r="N493" s="61">
        <v>8.9999999999999993E-3</v>
      </c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1"/>
      <c r="AB493" s="1"/>
      <c r="AC493" s="245"/>
      <c r="AD493" s="56"/>
      <c r="AF493" s="151"/>
      <c r="AG493" s="56"/>
      <c r="AH493" s="125"/>
      <c r="AI493" s="125"/>
      <c r="AJ493" s="136"/>
      <c r="AK493" s="125"/>
      <c r="AL493" s="127"/>
      <c r="AM493" s="145"/>
      <c r="AN493" s="125"/>
      <c r="AO493" s="128"/>
      <c r="AP493" s="125"/>
      <c r="AQ493" s="125"/>
      <c r="AR493" s="128"/>
      <c r="AS493" s="128"/>
      <c r="AT493" s="125"/>
      <c r="AU493" s="125"/>
      <c r="AV493" s="128"/>
      <c r="AW493" s="56"/>
    </row>
    <row r="494" spans="1:49" s="3" customFormat="1" ht="12.75" hidden="1" customHeight="1" x14ac:dyDescent="0.25">
      <c r="A494" s="1013"/>
      <c r="B494" s="57" t="s">
        <v>1179</v>
      </c>
      <c r="C494" s="222">
        <f>C484</f>
        <v>22.420123808013045</v>
      </c>
      <c r="D494" s="220"/>
      <c r="E494" s="68" t="s">
        <v>1598</v>
      </c>
      <c r="F494" s="69" t="s">
        <v>1441</v>
      </c>
      <c r="G494" s="70">
        <v>4.4000000000000004</v>
      </c>
      <c r="H494" s="70">
        <v>1</v>
      </c>
      <c r="I494" s="71">
        <f t="shared" si="46"/>
        <v>4.4000000000000004</v>
      </c>
      <c r="J494" s="59" t="s">
        <v>1513</v>
      </c>
      <c r="K494" s="61">
        <v>2</v>
      </c>
      <c r="L494" s="61">
        <v>25</v>
      </c>
      <c r="M494" s="61">
        <v>0.5</v>
      </c>
      <c r="N494" s="61">
        <v>2.5000000000000001E-2</v>
      </c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1"/>
      <c r="AB494" s="1"/>
      <c r="AC494" s="245"/>
      <c r="AD494" s="56"/>
      <c r="AF494" s="151"/>
      <c r="AG494" s="56"/>
      <c r="AH494" s="125"/>
      <c r="AI494" s="125"/>
      <c r="AJ494" s="136"/>
      <c r="AK494" s="125"/>
      <c r="AL494" s="127"/>
      <c r="AM494" s="125"/>
      <c r="AN494" s="125"/>
      <c r="AO494" s="128"/>
      <c r="AP494" s="125"/>
      <c r="AQ494" s="125"/>
      <c r="AR494" s="128"/>
      <c r="AS494" s="128"/>
      <c r="AT494" s="125"/>
      <c r="AU494" s="125"/>
      <c r="AV494" s="128"/>
      <c r="AW494" s="56"/>
    </row>
    <row r="495" spans="1:49" s="3" customFormat="1" ht="12.75" hidden="1" customHeight="1" x14ac:dyDescent="0.25">
      <c r="A495" s="1013"/>
      <c r="B495" s="57" t="s">
        <v>831</v>
      </c>
      <c r="C495" s="224"/>
      <c r="D495" s="220"/>
      <c r="E495" s="68" t="s">
        <v>1599</v>
      </c>
      <c r="F495" s="69" t="s">
        <v>1441</v>
      </c>
      <c r="G495" s="70">
        <v>77.28</v>
      </c>
      <c r="H495" s="69">
        <v>1</v>
      </c>
      <c r="I495" s="71">
        <f t="shared" si="46"/>
        <v>77.28</v>
      </c>
      <c r="J495" s="59"/>
      <c r="K495" s="61"/>
      <c r="L495" s="61"/>
      <c r="M495" s="61"/>
      <c r="N495" s="61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1"/>
      <c r="AB495" s="1"/>
      <c r="AC495" s="245"/>
      <c r="AD495" s="56"/>
      <c r="AF495" s="151"/>
      <c r="AG495" s="56"/>
      <c r="AH495" s="125"/>
      <c r="AI495" s="125"/>
      <c r="AJ495" s="136"/>
      <c r="AK495" s="125"/>
      <c r="AL495" s="127"/>
      <c r="AM495" s="125"/>
      <c r="AN495" s="125"/>
      <c r="AO495" s="128"/>
      <c r="AP495" s="125"/>
      <c r="AQ495" s="125"/>
      <c r="AR495" s="128"/>
      <c r="AS495" s="128"/>
      <c r="AT495" s="125"/>
      <c r="AU495" s="125"/>
      <c r="AV495" s="128"/>
      <c r="AW495" s="56"/>
    </row>
    <row r="496" spans="1:49" s="3" customFormat="1" ht="12.75" hidden="1" customHeight="1" x14ac:dyDescent="0.25">
      <c r="A496" s="1013"/>
      <c r="B496" s="74" t="s">
        <v>1178</v>
      </c>
      <c r="C496" s="225">
        <v>1</v>
      </c>
      <c r="D496" s="220"/>
      <c r="E496" s="68" t="s">
        <v>1442</v>
      </c>
      <c r="F496" s="69" t="s">
        <v>1443</v>
      </c>
      <c r="G496" s="70">
        <v>419.5</v>
      </c>
      <c r="H496" s="69">
        <v>1E-3</v>
      </c>
      <c r="I496" s="71">
        <f t="shared" si="46"/>
        <v>0.41949999999999998</v>
      </c>
      <c r="J496" s="59"/>
      <c r="K496" s="61"/>
      <c r="L496" s="61"/>
      <c r="M496" s="61"/>
      <c r="N496" s="61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1"/>
      <c r="AB496" s="1"/>
      <c r="AC496" s="245"/>
      <c r="AD496" s="56"/>
      <c r="AF496" s="151"/>
      <c r="AG496" s="56"/>
      <c r="AH496" s="125"/>
      <c r="AI496" s="125"/>
      <c r="AJ496" s="146"/>
      <c r="AK496" s="125"/>
      <c r="AL496" s="127"/>
      <c r="AM496" s="125"/>
      <c r="AN496" s="125"/>
      <c r="AO496" s="128"/>
      <c r="AP496" s="125"/>
      <c r="AQ496" s="125"/>
      <c r="AR496" s="128"/>
      <c r="AS496" s="128"/>
      <c r="AT496" s="125"/>
      <c r="AU496" s="125"/>
      <c r="AV496" s="128"/>
      <c r="AW496" s="56"/>
    </row>
    <row r="497" spans="1:49" s="3" customFormat="1" ht="12.75" hidden="1" customHeight="1" x14ac:dyDescent="0.25">
      <c r="A497" s="1013"/>
      <c r="B497" s="57" t="s">
        <v>1179</v>
      </c>
      <c r="C497" s="225">
        <v>1.5</v>
      </c>
      <c r="D497" s="220"/>
      <c r="E497" s="68" t="s">
        <v>1444</v>
      </c>
      <c r="F497" s="69" t="s">
        <v>1443</v>
      </c>
      <c r="G497" s="70">
        <v>872</v>
      </c>
      <c r="H497" s="69">
        <v>2E-3</v>
      </c>
      <c r="I497" s="71">
        <f t="shared" si="46"/>
        <v>1.744</v>
      </c>
      <c r="J497" s="59"/>
      <c r="K497" s="61"/>
      <c r="L497" s="61"/>
      <c r="M497" s="61"/>
      <c r="N497" s="61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1"/>
      <c r="AB497" s="1"/>
      <c r="AC497" s="245"/>
      <c r="AD497" s="56"/>
      <c r="AF497" s="151"/>
      <c r="AG497" s="56"/>
      <c r="AH497" s="125"/>
      <c r="AI497" s="125"/>
      <c r="AJ497" s="146"/>
      <c r="AK497" s="125"/>
      <c r="AL497" s="127"/>
      <c r="AM497" s="125"/>
      <c r="AN497" s="125"/>
      <c r="AO497" s="128"/>
      <c r="AP497" s="125"/>
      <c r="AQ497" s="125"/>
      <c r="AR497" s="128"/>
      <c r="AS497" s="128"/>
      <c r="AT497" s="125"/>
      <c r="AU497" s="125"/>
      <c r="AV497" s="128"/>
      <c r="AW497" s="56"/>
    </row>
    <row r="498" spans="1:49" s="3" customFormat="1" ht="12.75" hidden="1" customHeight="1" x14ac:dyDescent="0.25">
      <c r="A498" s="1013"/>
      <c r="B498" s="79" t="s">
        <v>1181</v>
      </c>
      <c r="C498" s="222">
        <f>C493*C496+C494*C497</f>
        <v>72.348051582088885</v>
      </c>
      <c r="D498" s="220"/>
      <c r="E498" s="228"/>
      <c r="F498" s="166"/>
      <c r="G498" s="70"/>
      <c r="H498" s="69"/>
      <c r="I498" s="71"/>
      <c r="J498" s="59"/>
      <c r="K498" s="170"/>
      <c r="L498" s="76"/>
      <c r="M498" s="72"/>
      <c r="N498" s="61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1"/>
      <c r="AB498" s="1"/>
      <c r="AC498" s="245"/>
      <c r="AD498" s="56"/>
      <c r="AF498" s="151"/>
      <c r="AG498" s="56"/>
      <c r="AH498" s="125"/>
      <c r="AI498" s="125"/>
      <c r="AJ498" s="136"/>
      <c r="AK498" s="125"/>
      <c r="AL498" s="127"/>
      <c r="AM498" s="125"/>
      <c r="AN498" s="125"/>
      <c r="AO498" s="128"/>
      <c r="AP498" s="125"/>
      <c r="AQ498" s="125"/>
      <c r="AR498" s="128"/>
      <c r="AS498" s="128"/>
      <c r="AT498" s="125"/>
      <c r="AU498" s="125"/>
      <c r="AV498" s="128"/>
      <c r="AW498" s="56"/>
    </row>
    <row r="499" spans="1:49" s="3" customFormat="1" ht="13.5" hidden="1" customHeight="1" x14ac:dyDescent="0.25">
      <c r="A499" s="1014"/>
      <c r="B499" s="123"/>
      <c r="C499" s="225"/>
      <c r="D499" s="221"/>
      <c r="E499" s="228"/>
      <c r="F499" s="166"/>
      <c r="G499" s="70"/>
      <c r="H499" s="69"/>
      <c r="I499" s="71"/>
      <c r="J499" s="59"/>
      <c r="K499" s="170"/>
      <c r="L499" s="61"/>
      <c r="M499" s="72"/>
      <c r="N499" s="61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1"/>
      <c r="AB499" s="1"/>
      <c r="AC499" s="245"/>
      <c r="AD499" s="56"/>
      <c r="AF499" s="151"/>
      <c r="AG499" s="56"/>
      <c r="AH499" s="125"/>
      <c r="AI499" s="125"/>
      <c r="AJ499" s="146"/>
      <c r="AK499" s="125"/>
      <c r="AL499" s="127"/>
      <c r="AM499" s="125"/>
      <c r="AN499" s="125"/>
      <c r="AO499" s="128"/>
      <c r="AP499" s="125"/>
      <c r="AQ499" s="125"/>
      <c r="AR499" s="128"/>
      <c r="AS499" s="128"/>
      <c r="AT499" s="125"/>
      <c r="AU499" s="125"/>
      <c r="AV499" s="128"/>
      <c r="AW499" s="56"/>
    </row>
    <row r="500" spans="1:49" s="803" customFormat="1" ht="56.25" customHeight="1" x14ac:dyDescent="0.25">
      <c r="A500" s="1114" t="s">
        <v>1674</v>
      </c>
      <c r="B500" s="778" t="s">
        <v>758</v>
      </c>
      <c r="C500" s="799"/>
      <c r="D500" s="800"/>
      <c r="E500" s="801" t="s">
        <v>488</v>
      </c>
      <c r="F500" s="792" t="s">
        <v>837</v>
      </c>
      <c r="G500" s="778" t="s">
        <v>489</v>
      </c>
      <c r="H500" s="791" t="s">
        <v>1170</v>
      </c>
      <c r="I500" s="792" t="s">
        <v>838</v>
      </c>
      <c r="J500" s="793" t="s">
        <v>1171</v>
      </c>
      <c r="K500" s="793" t="s">
        <v>490</v>
      </c>
      <c r="L500" s="794" t="s">
        <v>489</v>
      </c>
      <c r="M500" s="793" t="s">
        <v>1172</v>
      </c>
      <c r="N500" s="792" t="s">
        <v>838</v>
      </c>
      <c r="O500" s="793" t="s">
        <v>1171</v>
      </c>
      <c r="P500" s="793" t="s">
        <v>826</v>
      </c>
      <c r="Q500" s="793" t="s">
        <v>1173</v>
      </c>
      <c r="R500" s="793" t="s">
        <v>1174</v>
      </c>
      <c r="S500" s="793" t="s">
        <v>839</v>
      </c>
      <c r="T500" s="793" t="s">
        <v>1171</v>
      </c>
      <c r="U500" s="793" t="s">
        <v>1392</v>
      </c>
      <c r="V500" s="793" t="s">
        <v>841</v>
      </c>
      <c r="W500" s="795" t="s">
        <v>1173</v>
      </c>
      <c r="X500" s="793" t="s">
        <v>1394</v>
      </c>
      <c r="Y500" s="793" t="s">
        <v>839</v>
      </c>
      <c r="Z500" s="796"/>
      <c r="AA500" s="755"/>
      <c r="AB500" s="755"/>
      <c r="AC500" s="773"/>
      <c r="AD500" s="802"/>
      <c r="AF500" s="804"/>
      <c r="AG500" s="802"/>
      <c r="AH500" s="805"/>
      <c r="AI500" s="805"/>
      <c r="AJ500" s="805"/>
      <c r="AK500" s="805"/>
      <c r="AL500" s="806"/>
      <c r="AM500" s="805"/>
      <c r="AN500" s="805"/>
      <c r="AO500" s="807"/>
      <c r="AP500" s="805"/>
      <c r="AQ500" s="808"/>
      <c r="AR500" s="808"/>
      <c r="AS500" s="808"/>
      <c r="AT500" s="805"/>
      <c r="AU500" s="805"/>
      <c r="AV500" s="807"/>
      <c r="AW500" s="802"/>
    </row>
    <row r="501" spans="1:49" s="803" customFormat="1" ht="12" customHeight="1" x14ac:dyDescent="0.25">
      <c r="A501" s="1115"/>
      <c r="B501" s="752" t="s">
        <v>1175</v>
      </c>
      <c r="C501" s="799">
        <f>C508</f>
        <v>72.348051582088885</v>
      </c>
      <c r="D501" s="800">
        <f>C501*$D$5</f>
        <v>14.614306419581956</v>
      </c>
      <c r="E501" s="809" t="s">
        <v>1176</v>
      </c>
      <c r="F501" s="810"/>
      <c r="G501" s="756"/>
      <c r="H501" s="756"/>
      <c r="I501" s="757">
        <f>SUM(I502:I509)</f>
        <v>83.8536</v>
      </c>
      <c r="J501" s="758" t="s">
        <v>1176</v>
      </c>
      <c r="K501" s="811"/>
      <c r="L501" s="759"/>
      <c r="M501" s="759"/>
      <c r="N501" s="760">
        <f>SUM(N502:N509)</f>
        <v>0.27418500869828294</v>
      </c>
      <c r="O501" s="759" t="s">
        <v>1176</v>
      </c>
      <c r="P501" s="759"/>
      <c r="Q501" s="812"/>
      <c r="R501" s="813"/>
      <c r="S501" s="760">
        <f>SUM(S502:S509)</f>
        <v>0.17977397070317422</v>
      </c>
      <c r="T501" s="760"/>
      <c r="U501" s="760"/>
      <c r="V501" s="760"/>
      <c r="W501" s="760"/>
      <c r="X501" s="760"/>
      <c r="Y501" s="760">
        <f>SUM(Y502:Y509)</f>
        <v>11.63319193706981</v>
      </c>
      <c r="Z501" s="762">
        <f>(C501+D501+I501+N501+S501+Y501)*$Z$5</f>
        <v>237.80837118927158</v>
      </c>
      <c r="AA501" s="763">
        <f>C501+D501+I501+N501+S501+Y501+Z501</f>
        <v>420.71148010741365</v>
      </c>
      <c r="AB501" s="764">
        <v>0.25</v>
      </c>
      <c r="AC501" s="765">
        <f>AA501*(1+AB501)</f>
        <v>525.88935013426703</v>
      </c>
      <c r="AD501" s="814"/>
      <c r="AF501" s="804"/>
      <c r="AG501" s="802"/>
      <c r="AH501" s="805"/>
      <c r="AI501" s="808"/>
      <c r="AJ501" s="815"/>
      <c r="AK501" s="816"/>
      <c r="AL501" s="806"/>
      <c r="AM501" s="817"/>
      <c r="AN501" s="818"/>
      <c r="AO501" s="817"/>
      <c r="AP501" s="808"/>
      <c r="AQ501" s="808"/>
      <c r="AR501" s="808"/>
      <c r="AS501" s="808"/>
      <c r="AT501" s="808"/>
      <c r="AU501" s="817"/>
      <c r="AV501" s="817"/>
      <c r="AW501" s="819"/>
    </row>
    <row r="502" spans="1:49" s="803" customFormat="1" ht="12.75" customHeight="1" x14ac:dyDescent="0.25">
      <c r="A502" s="1115"/>
      <c r="B502" s="766" t="s">
        <v>830</v>
      </c>
      <c r="C502" s="799"/>
      <c r="D502" s="820"/>
      <c r="E502" s="767" t="s">
        <v>1437</v>
      </c>
      <c r="F502" s="768" t="s">
        <v>1438</v>
      </c>
      <c r="G502" s="769">
        <v>0.74</v>
      </c>
      <c r="H502" s="768">
        <v>0.01</v>
      </c>
      <c r="I502" s="770">
        <f t="shared" ref="I502:I507" si="47">G502*H502</f>
        <v>7.4000000000000003E-3</v>
      </c>
      <c r="J502" s="758" t="s">
        <v>1291</v>
      </c>
      <c r="K502" s="771">
        <v>2</v>
      </c>
      <c r="L502" s="772">
        <v>750</v>
      </c>
      <c r="M502" s="771">
        <v>2</v>
      </c>
      <c r="N502" s="760">
        <f>L502/'Исп. коэффициенты'!E31*(C506+C507)</f>
        <v>0.23636638680886463</v>
      </c>
      <c r="O502" s="759" t="s">
        <v>2200</v>
      </c>
      <c r="P502" s="759">
        <v>7250</v>
      </c>
      <c r="Q502" s="759">
        <v>19.670000000000002</v>
      </c>
      <c r="R502" s="759">
        <f>P502*Q502%</f>
        <v>1426.075</v>
      </c>
      <c r="S502" s="759">
        <f>R502/'Исп. коэффициенты'!E31*C506</f>
        <v>0.17977397070317422</v>
      </c>
      <c r="T502" s="755" t="s">
        <v>1435</v>
      </c>
      <c r="U502" s="756">
        <v>6785401.3499999996</v>
      </c>
      <c r="V502" s="785">
        <f>'Исп. коэффициенты'!E124</f>
        <v>2978.5</v>
      </c>
      <c r="W502" s="761">
        <f>'Исп. коэффициенты'!D124</f>
        <v>1.3599999999999999E-2</v>
      </c>
      <c r="X502" s="760">
        <f>U502*W502</f>
        <v>92281.45835999999</v>
      </c>
      <c r="Y502" s="759">
        <f>X502/'Исп. коэффициенты'!E31*C506</f>
        <v>11.63319193706981</v>
      </c>
      <c r="Z502" s="759"/>
      <c r="AA502" s="755"/>
      <c r="AB502" s="755"/>
      <c r="AC502" s="773"/>
      <c r="AD502" s="802"/>
      <c r="AF502" s="821"/>
      <c r="AG502" s="802"/>
      <c r="AH502" s="805"/>
      <c r="AI502" s="805"/>
      <c r="AJ502" s="822"/>
      <c r="AK502" s="805"/>
      <c r="AL502" s="806"/>
      <c r="AM502" s="805"/>
      <c r="AN502" s="805"/>
      <c r="AO502" s="807"/>
      <c r="AP502" s="805"/>
      <c r="AQ502" s="805"/>
      <c r="AR502" s="807"/>
      <c r="AS502" s="807"/>
      <c r="AT502" s="805"/>
      <c r="AU502" s="805"/>
      <c r="AV502" s="807"/>
      <c r="AW502" s="802"/>
    </row>
    <row r="503" spans="1:49" s="803" customFormat="1" x14ac:dyDescent="0.25">
      <c r="A503" s="1115"/>
      <c r="B503" s="774" t="s">
        <v>1178</v>
      </c>
      <c r="C503" s="823">
        <f>C493</f>
        <v>38.717865870069311</v>
      </c>
      <c r="D503" s="820"/>
      <c r="E503" s="767" t="s">
        <v>1439</v>
      </c>
      <c r="F503" s="768" t="s">
        <v>1438</v>
      </c>
      <c r="G503" s="769">
        <v>0.27</v>
      </c>
      <c r="H503" s="768">
        <v>0.01</v>
      </c>
      <c r="I503" s="775">
        <f t="shared" si="47"/>
        <v>2.7000000000000001E-3</v>
      </c>
      <c r="J503" s="758" t="s">
        <v>1445</v>
      </c>
      <c r="K503" s="760">
        <v>2</v>
      </c>
      <c r="L503" s="776">
        <v>95</v>
      </c>
      <c r="M503" s="771">
        <v>2</v>
      </c>
      <c r="N503" s="760">
        <f>L503/'Исп. коэффициенты'!E31*(C506+C507)</f>
        <v>2.9939742329122852E-2</v>
      </c>
      <c r="O503" s="759"/>
      <c r="P503" s="759"/>
      <c r="Q503" s="759"/>
      <c r="R503" s="759"/>
      <c r="S503" s="759"/>
      <c r="T503" s="759"/>
      <c r="U503" s="759"/>
      <c r="V503" s="759"/>
      <c r="W503" s="759"/>
      <c r="X503" s="759"/>
      <c r="Y503" s="759"/>
      <c r="Z503" s="759"/>
      <c r="AA503" s="755"/>
      <c r="AB503" s="755"/>
      <c r="AC503" s="773"/>
      <c r="AD503" s="802"/>
      <c r="AF503" s="821"/>
      <c r="AG503" s="802"/>
      <c r="AH503" s="805"/>
      <c r="AI503" s="805"/>
      <c r="AJ503" s="822"/>
      <c r="AK503" s="805"/>
      <c r="AL503" s="806"/>
      <c r="AM503" s="824"/>
      <c r="AN503" s="805"/>
      <c r="AO503" s="807"/>
      <c r="AP503" s="805"/>
      <c r="AQ503" s="805"/>
      <c r="AR503" s="807"/>
      <c r="AS503" s="807"/>
      <c r="AT503" s="805"/>
      <c r="AU503" s="805"/>
      <c r="AV503" s="807"/>
      <c r="AW503" s="802"/>
    </row>
    <row r="504" spans="1:49" s="803" customFormat="1" ht="12.75" customHeight="1" x14ac:dyDescent="0.25">
      <c r="A504" s="1115"/>
      <c r="B504" s="754" t="s">
        <v>1179</v>
      </c>
      <c r="C504" s="799">
        <f>C494</f>
        <v>22.420123808013045</v>
      </c>
      <c r="D504" s="820"/>
      <c r="E504" s="767" t="s">
        <v>1598</v>
      </c>
      <c r="F504" s="768" t="s">
        <v>1441</v>
      </c>
      <c r="G504" s="769">
        <v>4.4000000000000004</v>
      </c>
      <c r="H504" s="769">
        <v>1</v>
      </c>
      <c r="I504" s="770">
        <f t="shared" si="47"/>
        <v>4.4000000000000004</v>
      </c>
      <c r="J504" s="758" t="s">
        <v>1513</v>
      </c>
      <c r="K504" s="760">
        <v>2</v>
      </c>
      <c r="L504" s="760">
        <v>25</v>
      </c>
      <c r="M504" s="771">
        <v>0.5</v>
      </c>
      <c r="N504" s="760">
        <f>L504/'Исп. коэффициенты'!E31*(C506+C507)</f>
        <v>7.8788795602954889E-3</v>
      </c>
      <c r="O504" s="759"/>
      <c r="P504" s="759"/>
      <c r="Q504" s="759"/>
      <c r="R504" s="759"/>
      <c r="S504" s="759"/>
      <c r="T504" s="759"/>
      <c r="U504" s="759"/>
      <c r="V504" s="759"/>
      <c r="W504" s="759"/>
      <c r="X504" s="759"/>
      <c r="Y504" s="759"/>
      <c r="Z504" s="759"/>
      <c r="AA504" s="755"/>
      <c r="AB504" s="755"/>
      <c r="AC504" s="773"/>
      <c r="AD504" s="802"/>
      <c r="AF504" s="821"/>
      <c r="AG504" s="802"/>
      <c r="AH504" s="805"/>
      <c r="AI504" s="805"/>
      <c r="AJ504" s="822"/>
      <c r="AK504" s="805"/>
      <c r="AL504" s="806"/>
      <c r="AM504" s="805"/>
      <c r="AN504" s="805"/>
      <c r="AO504" s="807"/>
      <c r="AP504" s="805"/>
      <c r="AQ504" s="805"/>
      <c r="AR504" s="807"/>
      <c r="AS504" s="807"/>
      <c r="AT504" s="805"/>
      <c r="AU504" s="805"/>
      <c r="AV504" s="807"/>
      <c r="AW504" s="802"/>
    </row>
    <row r="505" spans="1:49" s="803" customFormat="1" ht="12.75" customHeight="1" x14ac:dyDescent="0.25">
      <c r="A505" s="1115"/>
      <c r="B505" s="754" t="s">
        <v>831</v>
      </c>
      <c r="C505" s="825"/>
      <c r="D505" s="820"/>
      <c r="E505" s="767" t="s">
        <v>1599</v>
      </c>
      <c r="F505" s="768" t="s">
        <v>1441</v>
      </c>
      <c r="G505" s="769">
        <v>77.28</v>
      </c>
      <c r="H505" s="768">
        <v>1</v>
      </c>
      <c r="I505" s="770">
        <f t="shared" si="47"/>
        <v>77.28</v>
      </c>
      <c r="J505" s="758"/>
      <c r="K505" s="760"/>
      <c r="L505" s="760"/>
      <c r="M505" s="760"/>
      <c r="N505" s="760"/>
      <c r="O505" s="759"/>
      <c r="P505" s="759"/>
      <c r="Q505" s="759"/>
      <c r="R505" s="759"/>
      <c r="S505" s="759"/>
      <c r="T505" s="759"/>
      <c r="U505" s="759"/>
      <c r="V505" s="759"/>
      <c r="W505" s="759"/>
      <c r="X505" s="759"/>
      <c r="Y505" s="759"/>
      <c r="Z505" s="759"/>
      <c r="AA505" s="755"/>
      <c r="AB505" s="755"/>
      <c r="AC505" s="773"/>
      <c r="AD505" s="802"/>
      <c r="AF505" s="821"/>
      <c r="AG505" s="802"/>
      <c r="AH505" s="805"/>
      <c r="AI505" s="805"/>
      <c r="AJ505" s="822"/>
      <c r="AK505" s="805"/>
      <c r="AL505" s="806"/>
      <c r="AM505" s="805"/>
      <c r="AN505" s="805"/>
      <c r="AO505" s="807"/>
      <c r="AP505" s="805"/>
      <c r="AQ505" s="805"/>
      <c r="AR505" s="807"/>
      <c r="AS505" s="807"/>
      <c r="AT505" s="805"/>
      <c r="AU505" s="805"/>
      <c r="AV505" s="807"/>
      <c r="AW505" s="802"/>
    </row>
    <row r="506" spans="1:49" s="803" customFormat="1" ht="12.75" customHeight="1" x14ac:dyDescent="0.25">
      <c r="A506" s="1115"/>
      <c r="B506" s="774" t="s">
        <v>1178</v>
      </c>
      <c r="C506" s="826">
        <v>1</v>
      </c>
      <c r="D506" s="820"/>
      <c r="E506" s="767" t="s">
        <v>1442</v>
      </c>
      <c r="F506" s="768" t="s">
        <v>1443</v>
      </c>
      <c r="G506" s="769">
        <v>419.5</v>
      </c>
      <c r="H506" s="768">
        <v>1E-3</v>
      </c>
      <c r="I506" s="770">
        <f t="shared" si="47"/>
        <v>0.41949999999999998</v>
      </c>
      <c r="J506" s="758"/>
      <c r="K506" s="760"/>
      <c r="L506" s="760"/>
      <c r="M506" s="760"/>
      <c r="N506" s="760"/>
      <c r="O506" s="759"/>
      <c r="P506" s="759"/>
      <c r="Q506" s="759"/>
      <c r="R506" s="759"/>
      <c r="S506" s="759"/>
      <c r="T506" s="759"/>
      <c r="U506" s="759"/>
      <c r="V506" s="759"/>
      <c r="W506" s="759"/>
      <c r="X506" s="759"/>
      <c r="Y506" s="759"/>
      <c r="Z506" s="759"/>
      <c r="AA506" s="755"/>
      <c r="AB506" s="755"/>
      <c r="AC506" s="773"/>
      <c r="AD506" s="802"/>
      <c r="AF506" s="821"/>
      <c r="AG506" s="802"/>
      <c r="AH506" s="805"/>
      <c r="AI506" s="805"/>
      <c r="AJ506" s="827"/>
      <c r="AK506" s="805"/>
      <c r="AL506" s="806"/>
      <c r="AM506" s="805"/>
      <c r="AN506" s="805"/>
      <c r="AO506" s="807"/>
      <c r="AP506" s="805"/>
      <c r="AQ506" s="805"/>
      <c r="AR506" s="807"/>
      <c r="AS506" s="807"/>
      <c r="AT506" s="805"/>
      <c r="AU506" s="805"/>
      <c r="AV506" s="807"/>
      <c r="AW506" s="802"/>
    </row>
    <row r="507" spans="1:49" s="803" customFormat="1" ht="12.75" customHeight="1" x14ac:dyDescent="0.25">
      <c r="A507" s="1115"/>
      <c r="B507" s="754" t="s">
        <v>1179</v>
      </c>
      <c r="C507" s="826">
        <v>1.5</v>
      </c>
      <c r="D507" s="820"/>
      <c r="E507" s="767" t="s">
        <v>1444</v>
      </c>
      <c r="F507" s="768" t="s">
        <v>1443</v>
      </c>
      <c r="G507" s="769">
        <v>872</v>
      </c>
      <c r="H507" s="768">
        <v>2E-3</v>
      </c>
      <c r="I507" s="770">
        <f t="shared" si="47"/>
        <v>1.744</v>
      </c>
      <c r="J507" s="758"/>
      <c r="K507" s="760"/>
      <c r="L507" s="760"/>
      <c r="M507" s="760"/>
      <c r="N507" s="760"/>
      <c r="O507" s="759"/>
      <c r="P507" s="759"/>
      <c r="Q507" s="759"/>
      <c r="R507" s="759"/>
      <c r="S507" s="759"/>
      <c r="T507" s="759"/>
      <c r="U507" s="759"/>
      <c r="V507" s="759"/>
      <c r="W507" s="759"/>
      <c r="X507" s="759"/>
      <c r="Y507" s="759"/>
      <c r="Z507" s="759"/>
      <c r="AA507" s="755"/>
      <c r="AB507" s="755"/>
      <c r="AC507" s="773"/>
      <c r="AD507" s="802"/>
      <c r="AF507" s="821"/>
      <c r="AG507" s="802"/>
      <c r="AH507" s="805"/>
      <c r="AI507" s="805"/>
      <c r="AJ507" s="827"/>
      <c r="AK507" s="805"/>
      <c r="AL507" s="806"/>
      <c r="AM507" s="805"/>
      <c r="AN507" s="805"/>
      <c r="AO507" s="807"/>
      <c r="AP507" s="805"/>
      <c r="AQ507" s="805"/>
      <c r="AR507" s="807"/>
      <c r="AS507" s="807"/>
      <c r="AT507" s="805"/>
      <c r="AU507" s="805"/>
      <c r="AV507" s="807"/>
      <c r="AW507" s="802"/>
    </row>
    <row r="508" spans="1:49" s="803" customFormat="1" ht="12.75" customHeight="1" x14ac:dyDescent="0.25">
      <c r="A508" s="1115"/>
      <c r="B508" s="782" t="s">
        <v>1181</v>
      </c>
      <c r="C508" s="799">
        <f>C503*C506+C504*C507</f>
        <v>72.348051582088885</v>
      </c>
      <c r="D508" s="820"/>
      <c r="E508" s="780"/>
      <c r="F508" s="781"/>
      <c r="G508" s="769"/>
      <c r="H508" s="768"/>
      <c r="I508" s="770"/>
      <c r="J508" s="758"/>
      <c r="K508" s="828"/>
      <c r="L508" s="776"/>
      <c r="M508" s="771"/>
      <c r="N508" s="760"/>
      <c r="O508" s="759"/>
      <c r="P508" s="759"/>
      <c r="Q508" s="759"/>
      <c r="R508" s="759"/>
      <c r="S508" s="759"/>
      <c r="T508" s="759"/>
      <c r="U508" s="759"/>
      <c r="V508" s="759"/>
      <c r="W508" s="759"/>
      <c r="X508" s="759"/>
      <c r="Y508" s="759"/>
      <c r="Z508" s="759"/>
      <c r="AA508" s="755"/>
      <c r="AB508" s="755"/>
      <c r="AC508" s="773"/>
      <c r="AD508" s="802"/>
      <c r="AF508" s="821"/>
      <c r="AG508" s="802"/>
      <c r="AH508" s="805"/>
      <c r="AI508" s="805"/>
      <c r="AJ508" s="822"/>
      <c r="AK508" s="805"/>
      <c r="AL508" s="806"/>
      <c r="AM508" s="805"/>
      <c r="AN508" s="805"/>
      <c r="AO508" s="807"/>
      <c r="AP508" s="805"/>
      <c r="AQ508" s="805"/>
      <c r="AR508" s="807"/>
      <c r="AS508" s="807"/>
      <c r="AT508" s="805"/>
      <c r="AU508" s="805"/>
      <c r="AV508" s="807"/>
      <c r="AW508" s="802"/>
    </row>
    <row r="509" spans="1:49" s="803" customFormat="1" ht="13.5" customHeight="1" x14ac:dyDescent="0.25">
      <c r="A509" s="1116"/>
      <c r="B509" s="783"/>
      <c r="C509" s="826"/>
      <c r="D509" s="829"/>
      <c r="E509" s="780"/>
      <c r="F509" s="781"/>
      <c r="G509" s="769"/>
      <c r="H509" s="768"/>
      <c r="I509" s="770"/>
      <c r="J509" s="758"/>
      <c r="K509" s="828"/>
      <c r="L509" s="760"/>
      <c r="M509" s="771"/>
      <c r="N509" s="760"/>
      <c r="O509" s="759"/>
      <c r="P509" s="759"/>
      <c r="Q509" s="759"/>
      <c r="R509" s="759"/>
      <c r="S509" s="759"/>
      <c r="T509" s="759"/>
      <c r="U509" s="759"/>
      <c r="V509" s="759"/>
      <c r="W509" s="759"/>
      <c r="X509" s="759"/>
      <c r="Y509" s="759"/>
      <c r="Z509" s="759"/>
      <c r="AA509" s="755"/>
      <c r="AB509" s="755"/>
      <c r="AC509" s="773"/>
      <c r="AD509" s="802"/>
      <c r="AF509" s="821"/>
      <c r="AG509" s="802"/>
      <c r="AH509" s="805"/>
      <c r="AI509" s="805"/>
      <c r="AJ509" s="827"/>
      <c r="AK509" s="805"/>
      <c r="AL509" s="806"/>
      <c r="AM509" s="805"/>
      <c r="AN509" s="805"/>
      <c r="AO509" s="807"/>
      <c r="AP509" s="805"/>
      <c r="AQ509" s="805"/>
      <c r="AR509" s="807"/>
      <c r="AS509" s="807"/>
      <c r="AT509" s="805"/>
      <c r="AU509" s="805"/>
      <c r="AV509" s="807"/>
      <c r="AW509" s="802"/>
    </row>
    <row r="510" spans="1:49" s="803" customFormat="1" ht="56.25" customHeight="1" x14ac:dyDescent="0.25">
      <c r="A510" s="1114" t="s">
        <v>1675</v>
      </c>
      <c r="B510" s="778" t="s">
        <v>759</v>
      </c>
      <c r="C510" s="799"/>
      <c r="D510" s="800"/>
      <c r="E510" s="801" t="s">
        <v>488</v>
      </c>
      <c r="F510" s="792" t="s">
        <v>837</v>
      </c>
      <c r="G510" s="778" t="s">
        <v>489</v>
      </c>
      <c r="H510" s="791" t="s">
        <v>1170</v>
      </c>
      <c r="I510" s="792" t="s">
        <v>838</v>
      </c>
      <c r="J510" s="793" t="s">
        <v>1171</v>
      </c>
      <c r="K510" s="793" t="s">
        <v>490</v>
      </c>
      <c r="L510" s="794" t="s">
        <v>489</v>
      </c>
      <c r="M510" s="793" t="s">
        <v>1172</v>
      </c>
      <c r="N510" s="792" t="s">
        <v>838</v>
      </c>
      <c r="O510" s="793" t="s">
        <v>1171</v>
      </c>
      <c r="P510" s="793" t="s">
        <v>826</v>
      </c>
      <c r="Q510" s="793" t="s">
        <v>1173</v>
      </c>
      <c r="R510" s="793" t="s">
        <v>1174</v>
      </c>
      <c r="S510" s="793" t="s">
        <v>839</v>
      </c>
      <c r="T510" s="793" t="s">
        <v>1171</v>
      </c>
      <c r="U510" s="793" t="s">
        <v>1392</v>
      </c>
      <c r="V510" s="793" t="s">
        <v>841</v>
      </c>
      <c r="W510" s="795" t="s">
        <v>1173</v>
      </c>
      <c r="X510" s="793" t="s">
        <v>1394</v>
      </c>
      <c r="Y510" s="793" t="s">
        <v>839</v>
      </c>
      <c r="Z510" s="796"/>
      <c r="AA510" s="755"/>
      <c r="AB510" s="755"/>
      <c r="AC510" s="773"/>
      <c r="AD510" s="802"/>
      <c r="AF510" s="804"/>
      <c r="AG510" s="802"/>
      <c r="AH510" s="805"/>
      <c r="AI510" s="805"/>
      <c r="AJ510" s="805"/>
      <c r="AK510" s="805"/>
      <c r="AL510" s="806"/>
      <c r="AM510" s="805"/>
      <c r="AN510" s="805"/>
      <c r="AO510" s="807"/>
      <c r="AP510" s="805"/>
      <c r="AQ510" s="808"/>
      <c r="AR510" s="808"/>
      <c r="AS510" s="808"/>
      <c r="AT510" s="805"/>
      <c r="AU510" s="805"/>
      <c r="AV510" s="807"/>
      <c r="AW510" s="802"/>
    </row>
    <row r="511" spans="1:49" s="803" customFormat="1" ht="12" customHeight="1" x14ac:dyDescent="0.25">
      <c r="A511" s="1115"/>
      <c r="B511" s="752" t="s">
        <v>1175</v>
      </c>
      <c r="C511" s="799">
        <f>C518</f>
        <v>72.348051582088885</v>
      </c>
      <c r="D511" s="800">
        <f>C511*$D$5</f>
        <v>14.614306419581956</v>
      </c>
      <c r="E511" s="809" t="s">
        <v>1176</v>
      </c>
      <c r="F511" s="810"/>
      <c r="G511" s="756"/>
      <c r="H511" s="756"/>
      <c r="I511" s="757">
        <f>SUM(I512:I519)</f>
        <v>83.8536</v>
      </c>
      <c r="J511" s="758" t="s">
        <v>1176</v>
      </c>
      <c r="K511" s="811"/>
      <c r="L511" s="759"/>
      <c r="M511" s="759"/>
      <c r="N511" s="760">
        <f>SUM(N512:N519)</f>
        <v>0.27418500869828294</v>
      </c>
      <c r="O511" s="759" t="s">
        <v>1176</v>
      </c>
      <c r="P511" s="759"/>
      <c r="Q511" s="812"/>
      <c r="R511" s="813"/>
      <c r="S511" s="760">
        <f>SUM(S512:S519)</f>
        <v>0.17977397070317422</v>
      </c>
      <c r="T511" s="760"/>
      <c r="U511" s="760"/>
      <c r="V511" s="760"/>
      <c r="W511" s="760"/>
      <c r="X511" s="760"/>
      <c r="Y511" s="760">
        <f>SUM(Y512:Y519)</f>
        <v>11.63319193706981</v>
      </c>
      <c r="Z511" s="762">
        <f>(C511+D511+I511+N511+S511+Y511)*$Z$5</f>
        <v>237.80837118927158</v>
      </c>
      <c r="AA511" s="763">
        <f>C511+D511+I511+N511+S511+Y511+Z511</f>
        <v>420.71148010741365</v>
      </c>
      <c r="AB511" s="764">
        <v>0.25</v>
      </c>
      <c r="AC511" s="765">
        <f>AA511*(1+AB511)</f>
        <v>525.88935013426703</v>
      </c>
      <c r="AD511" s="814"/>
      <c r="AF511" s="804"/>
      <c r="AG511" s="802"/>
      <c r="AH511" s="805"/>
      <c r="AI511" s="808"/>
      <c r="AJ511" s="815"/>
      <c r="AK511" s="816"/>
      <c r="AL511" s="806"/>
      <c r="AM511" s="817"/>
      <c r="AN511" s="818"/>
      <c r="AO511" s="817"/>
      <c r="AP511" s="808"/>
      <c r="AQ511" s="808"/>
      <c r="AR511" s="808"/>
      <c r="AS511" s="808"/>
      <c r="AT511" s="808"/>
      <c r="AU511" s="817"/>
      <c r="AV511" s="817"/>
      <c r="AW511" s="819"/>
    </row>
    <row r="512" spans="1:49" s="803" customFormat="1" ht="12.75" customHeight="1" x14ac:dyDescent="0.25">
      <c r="A512" s="1115"/>
      <c r="B512" s="766" t="s">
        <v>830</v>
      </c>
      <c r="C512" s="799"/>
      <c r="D512" s="820"/>
      <c r="E512" s="767" t="s">
        <v>1437</v>
      </c>
      <c r="F512" s="768" t="s">
        <v>1438</v>
      </c>
      <c r="G512" s="769">
        <v>0.74</v>
      </c>
      <c r="H512" s="768">
        <v>0.01</v>
      </c>
      <c r="I512" s="770">
        <f t="shared" ref="I512:I517" si="48">G512*H512</f>
        <v>7.4000000000000003E-3</v>
      </c>
      <c r="J512" s="758" t="s">
        <v>1291</v>
      </c>
      <c r="K512" s="771">
        <v>2</v>
      </c>
      <c r="L512" s="772">
        <v>750</v>
      </c>
      <c r="M512" s="771">
        <v>2</v>
      </c>
      <c r="N512" s="760">
        <f>L512/'Исп. коэффициенты'!E31*(C516+C517)</f>
        <v>0.23636638680886463</v>
      </c>
      <c r="O512" s="759" t="s">
        <v>2200</v>
      </c>
      <c r="P512" s="759">
        <v>7250</v>
      </c>
      <c r="Q512" s="759">
        <v>19.670000000000002</v>
      </c>
      <c r="R512" s="759">
        <f>P512*Q512%</f>
        <v>1426.075</v>
      </c>
      <c r="S512" s="759">
        <f>R512/'Исп. коэффициенты'!E31*C516</f>
        <v>0.17977397070317422</v>
      </c>
      <c r="T512" s="755" t="s">
        <v>1435</v>
      </c>
      <c r="U512" s="756">
        <v>6785401.3499999996</v>
      </c>
      <c r="V512" s="785">
        <f>'Исп. коэффициенты'!E124</f>
        <v>2978.5</v>
      </c>
      <c r="W512" s="761">
        <f>'Исп. коэффициенты'!D124</f>
        <v>1.3599999999999999E-2</v>
      </c>
      <c r="X512" s="760">
        <f>U512*W512</f>
        <v>92281.45835999999</v>
      </c>
      <c r="Y512" s="759">
        <f>X512/'Исп. коэффициенты'!E31*C516</f>
        <v>11.63319193706981</v>
      </c>
      <c r="Z512" s="759"/>
      <c r="AA512" s="755"/>
      <c r="AB512" s="755"/>
      <c r="AC512" s="773"/>
      <c r="AD512" s="802"/>
      <c r="AF512" s="821"/>
      <c r="AG512" s="802"/>
      <c r="AH512" s="805"/>
      <c r="AI512" s="805"/>
      <c r="AJ512" s="822"/>
      <c r="AK512" s="805"/>
      <c r="AL512" s="806"/>
      <c r="AM512" s="805"/>
      <c r="AN512" s="805"/>
      <c r="AO512" s="807"/>
      <c r="AP512" s="805"/>
      <c r="AQ512" s="805"/>
      <c r="AR512" s="807"/>
      <c r="AS512" s="807"/>
      <c r="AT512" s="805"/>
      <c r="AU512" s="805"/>
      <c r="AV512" s="807"/>
      <c r="AW512" s="802"/>
    </row>
    <row r="513" spans="1:49" s="803" customFormat="1" x14ac:dyDescent="0.25">
      <c r="A513" s="1115"/>
      <c r="B513" s="774" t="s">
        <v>1178</v>
      </c>
      <c r="C513" s="823">
        <f>C503</f>
        <v>38.717865870069311</v>
      </c>
      <c r="D513" s="820"/>
      <c r="E513" s="767" t="s">
        <v>1439</v>
      </c>
      <c r="F513" s="768" t="s">
        <v>1438</v>
      </c>
      <c r="G513" s="769">
        <v>0.27</v>
      </c>
      <c r="H513" s="768">
        <v>0.01</v>
      </c>
      <c r="I513" s="775">
        <f t="shared" si="48"/>
        <v>2.7000000000000001E-3</v>
      </c>
      <c r="J513" s="758" t="s">
        <v>1445</v>
      </c>
      <c r="K513" s="760">
        <v>2</v>
      </c>
      <c r="L513" s="776">
        <v>95</v>
      </c>
      <c r="M513" s="771">
        <v>2</v>
      </c>
      <c r="N513" s="760">
        <f>L513/'Исп. коэффициенты'!E31*(C516+C517)</f>
        <v>2.9939742329122852E-2</v>
      </c>
      <c r="O513" s="759"/>
      <c r="P513" s="759"/>
      <c r="Q513" s="759"/>
      <c r="R513" s="759"/>
      <c r="S513" s="759"/>
      <c r="T513" s="759"/>
      <c r="U513" s="759"/>
      <c r="V513" s="759"/>
      <c r="W513" s="759"/>
      <c r="X513" s="759"/>
      <c r="Y513" s="759"/>
      <c r="Z513" s="759"/>
      <c r="AA513" s="755"/>
      <c r="AB513" s="755"/>
      <c r="AC513" s="773"/>
      <c r="AD513" s="802"/>
      <c r="AF513" s="821"/>
      <c r="AG513" s="802"/>
      <c r="AH513" s="805"/>
      <c r="AI513" s="805"/>
      <c r="AJ513" s="822"/>
      <c r="AK513" s="805"/>
      <c r="AL513" s="806"/>
      <c r="AM513" s="824"/>
      <c r="AN513" s="805"/>
      <c r="AO513" s="807"/>
      <c r="AP513" s="805"/>
      <c r="AQ513" s="805"/>
      <c r="AR513" s="807"/>
      <c r="AS513" s="807"/>
      <c r="AT513" s="805"/>
      <c r="AU513" s="805"/>
      <c r="AV513" s="807"/>
      <c r="AW513" s="802"/>
    </row>
    <row r="514" spans="1:49" s="803" customFormat="1" ht="12.75" customHeight="1" x14ac:dyDescent="0.25">
      <c r="A514" s="1115"/>
      <c r="B514" s="754" t="s">
        <v>1179</v>
      </c>
      <c r="C514" s="799">
        <f>C504</f>
        <v>22.420123808013045</v>
      </c>
      <c r="D514" s="820"/>
      <c r="E514" s="767" t="s">
        <v>1598</v>
      </c>
      <c r="F514" s="768" t="s">
        <v>1441</v>
      </c>
      <c r="G514" s="769">
        <v>4.4000000000000004</v>
      </c>
      <c r="H514" s="769">
        <v>1</v>
      </c>
      <c r="I514" s="770">
        <f t="shared" si="48"/>
        <v>4.4000000000000004</v>
      </c>
      <c r="J514" s="758" t="s">
        <v>1513</v>
      </c>
      <c r="K514" s="760">
        <v>2</v>
      </c>
      <c r="L514" s="760">
        <v>25</v>
      </c>
      <c r="M514" s="771">
        <v>0.5</v>
      </c>
      <c r="N514" s="760">
        <f>L514/'Исп. коэффициенты'!E31*(C516+C517)</f>
        <v>7.8788795602954889E-3</v>
      </c>
      <c r="O514" s="759"/>
      <c r="P514" s="759"/>
      <c r="Q514" s="759"/>
      <c r="R514" s="759"/>
      <c r="S514" s="759"/>
      <c r="T514" s="759"/>
      <c r="U514" s="759"/>
      <c r="V514" s="759"/>
      <c r="W514" s="759"/>
      <c r="X514" s="759"/>
      <c r="Y514" s="759"/>
      <c r="Z514" s="759"/>
      <c r="AA514" s="755"/>
      <c r="AB514" s="755"/>
      <c r="AC514" s="773"/>
      <c r="AD514" s="802"/>
      <c r="AF514" s="821"/>
      <c r="AG514" s="802"/>
      <c r="AH514" s="805"/>
      <c r="AI514" s="805"/>
      <c r="AJ514" s="822"/>
      <c r="AK514" s="805"/>
      <c r="AL514" s="806"/>
      <c r="AM514" s="805"/>
      <c r="AN514" s="805"/>
      <c r="AO514" s="807"/>
      <c r="AP514" s="805"/>
      <c r="AQ514" s="805"/>
      <c r="AR514" s="807"/>
      <c r="AS514" s="807"/>
      <c r="AT514" s="805"/>
      <c r="AU514" s="805"/>
      <c r="AV514" s="807"/>
      <c r="AW514" s="802"/>
    </row>
    <row r="515" spans="1:49" s="803" customFormat="1" ht="12.75" customHeight="1" x14ac:dyDescent="0.25">
      <c r="A515" s="1115"/>
      <c r="B515" s="754" t="s">
        <v>831</v>
      </c>
      <c r="C515" s="825"/>
      <c r="D515" s="820"/>
      <c r="E515" s="767" t="s">
        <v>1599</v>
      </c>
      <c r="F515" s="768" t="s">
        <v>1441</v>
      </c>
      <c r="G515" s="769">
        <v>77.28</v>
      </c>
      <c r="H515" s="768">
        <v>1</v>
      </c>
      <c r="I515" s="770">
        <f t="shared" si="48"/>
        <v>77.28</v>
      </c>
      <c r="J515" s="758"/>
      <c r="K515" s="760"/>
      <c r="L515" s="760"/>
      <c r="M515" s="760"/>
      <c r="N515" s="760"/>
      <c r="O515" s="759"/>
      <c r="P515" s="759"/>
      <c r="Q515" s="759"/>
      <c r="R515" s="759"/>
      <c r="S515" s="759"/>
      <c r="T515" s="759"/>
      <c r="U515" s="759"/>
      <c r="V515" s="759"/>
      <c r="W515" s="759"/>
      <c r="X515" s="759"/>
      <c r="Y515" s="759"/>
      <c r="Z515" s="759"/>
      <c r="AA515" s="755"/>
      <c r="AB515" s="755"/>
      <c r="AC515" s="773"/>
      <c r="AD515" s="802"/>
      <c r="AF515" s="821"/>
      <c r="AG515" s="802"/>
      <c r="AH515" s="805"/>
      <c r="AI515" s="805"/>
      <c r="AJ515" s="822"/>
      <c r="AK515" s="805"/>
      <c r="AL515" s="806"/>
      <c r="AM515" s="805"/>
      <c r="AN515" s="805"/>
      <c r="AO515" s="807"/>
      <c r="AP515" s="805"/>
      <c r="AQ515" s="805"/>
      <c r="AR515" s="807"/>
      <c r="AS515" s="807"/>
      <c r="AT515" s="805"/>
      <c r="AU515" s="805"/>
      <c r="AV515" s="807"/>
      <c r="AW515" s="802"/>
    </row>
    <row r="516" spans="1:49" s="803" customFormat="1" ht="12.75" customHeight="1" x14ac:dyDescent="0.25">
      <c r="A516" s="1115"/>
      <c r="B516" s="774" t="s">
        <v>1178</v>
      </c>
      <c r="C516" s="826">
        <v>1</v>
      </c>
      <c r="D516" s="820"/>
      <c r="E516" s="767" t="s">
        <v>1442</v>
      </c>
      <c r="F516" s="768" t="s">
        <v>1443</v>
      </c>
      <c r="G516" s="769">
        <v>419.5</v>
      </c>
      <c r="H516" s="768">
        <v>1E-3</v>
      </c>
      <c r="I516" s="770">
        <f t="shared" si="48"/>
        <v>0.41949999999999998</v>
      </c>
      <c r="J516" s="758"/>
      <c r="K516" s="760"/>
      <c r="L516" s="760"/>
      <c r="M516" s="760"/>
      <c r="N516" s="760"/>
      <c r="O516" s="759"/>
      <c r="P516" s="759"/>
      <c r="Q516" s="759"/>
      <c r="R516" s="759"/>
      <c r="S516" s="759"/>
      <c r="T516" s="759"/>
      <c r="U516" s="759"/>
      <c r="V516" s="759"/>
      <c r="W516" s="759"/>
      <c r="X516" s="759"/>
      <c r="Y516" s="759"/>
      <c r="Z516" s="759"/>
      <c r="AA516" s="755"/>
      <c r="AB516" s="755"/>
      <c r="AC516" s="773"/>
      <c r="AD516" s="802"/>
      <c r="AF516" s="821"/>
      <c r="AG516" s="802"/>
      <c r="AH516" s="805"/>
      <c r="AI516" s="805"/>
      <c r="AJ516" s="827"/>
      <c r="AK516" s="805"/>
      <c r="AL516" s="806"/>
      <c r="AM516" s="805"/>
      <c r="AN516" s="805"/>
      <c r="AO516" s="807"/>
      <c r="AP516" s="805"/>
      <c r="AQ516" s="805"/>
      <c r="AR516" s="807"/>
      <c r="AS516" s="807"/>
      <c r="AT516" s="805"/>
      <c r="AU516" s="805"/>
      <c r="AV516" s="807"/>
      <c r="AW516" s="802"/>
    </row>
    <row r="517" spans="1:49" s="803" customFormat="1" ht="12.75" customHeight="1" x14ac:dyDescent="0.25">
      <c r="A517" s="1115"/>
      <c r="B517" s="754" t="s">
        <v>1179</v>
      </c>
      <c r="C517" s="826">
        <v>1.5</v>
      </c>
      <c r="D517" s="820"/>
      <c r="E517" s="767" t="s">
        <v>1444</v>
      </c>
      <c r="F517" s="768" t="s">
        <v>1443</v>
      </c>
      <c r="G517" s="769">
        <v>872</v>
      </c>
      <c r="H517" s="768">
        <v>2E-3</v>
      </c>
      <c r="I517" s="770">
        <f t="shared" si="48"/>
        <v>1.744</v>
      </c>
      <c r="J517" s="758"/>
      <c r="K517" s="760"/>
      <c r="L517" s="760"/>
      <c r="M517" s="760"/>
      <c r="N517" s="760"/>
      <c r="O517" s="759"/>
      <c r="P517" s="759"/>
      <c r="Q517" s="759"/>
      <c r="R517" s="759"/>
      <c r="S517" s="759"/>
      <c r="T517" s="759"/>
      <c r="U517" s="759"/>
      <c r="V517" s="759"/>
      <c r="W517" s="759"/>
      <c r="X517" s="759"/>
      <c r="Y517" s="759"/>
      <c r="Z517" s="759"/>
      <c r="AA517" s="755"/>
      <c r="AB517" s="755"/>
      <c r="AC517" s="773"/>
      <c r="AD517" s="802"/>
      <c r="AF517" s="821"/>
      <c r="AG517" s="802"/>
      <c r="AH517" s="805"/>
      <c r="AI517" s="805"/>
      <c r="AJ517" s="827"/>
      <c r="AK517" s="805"/>
      <c r="AL517" s="806"/>
      <c r="AM517" s="805"/>
      <c r="AN517" s="805"/>
      <c r="AO517" s="807"/>
      <c r="AP517" s="805"/>
      <c r="AQ517" s="805"/>
      <c r="AR517" s="807"/>
      <c r="AS517" s="807"/>
      <c r="AT517" s="805"/>
      <c r="AU517" s="805"/>
      <c r="AV517" s="807"/>
      <c r="AW517" s="802"/>
    </row>
    <row r="518" spans="1:49" s="803" customFormat="1" ht="12.75" customHeight="1" x14ac:dyDescent="0.25">
      <c r="A518" s="1115"/>
      <c r="B518" s="782" t="s">
        <v>1181</v>
      </c>
      <c r="C518" s="799">
        <f>C513*C516+C514*C517</f>
        <v>72.348051582088885</v>
      </c>
      <c r="D518" s="820"/>
      <c r="E518" s="780"/>
      <c r="F518" s="781"/>
      <c r="G518" s="769"/>
      <c r="H518" s="768"/>
      <c r="I518" s="770"/>
      <c r="J518" s="758"/>
      <c r="K518" s="828"/>
      <c r="L518" s="776"/>
      <c r="M518" s="771"/>
      <c r="N518" s="760"/>
      <c r="O518" s="759"/>
      <c r="P518" s="759"/>
      <c r="Q518" s="759"/>
      <c r="R518" s="759"/>
      <c r="S518" s="759"/>
      <c r="T518" s="759"/>
      <c r="U518" s="759"/>
      <c r="V518" s="759"/>
      <c r="W518" s="759"/>
      <c r="X518" s="759"/>
      <c r="Y518" s="759"/>
      <c r="Z518" s="759"/>
      <c r="AA518" s="755"/>
      <c r="AB518" s="755"/>
      <c r="AC518" s="773"/>
      <c r="AD518" s="802"/>
      <c r="AF518" s="821"/>
      <c r="AG518" s="802"/>
      <c r="AH518" s="805"/>
      <c r="AI518" s="805"/>
      <c r="AJ518" s="822"/>
      <c r="AK518" s="805"/>
      <c r="AL518" s="806"/>
      <c r="AM518" s="805"/>
      <c r="AN518" s="805"/>
      <c r="AO518" s="807"/>
      <c r="AP518" s="805"/>
      <c r="AQ518" s="805"/>
      <c r="AR518" s="807"/>
      <c r="AS518" s="807"/>
      <c r="AT518" s="805"/>
      <c r="AU518" s="805"/>
      <c r="AV518" s="807"/>
      <c r="AW518" s="802"/>
    </row>
    <row r="519" spans="1:49" s="803" customFormat="1" ht="13.5" customHeight="1" x14ac:dyDescent="0.25">
      <c r="A519" s="1116"/>
      <c r="B519" s="783"/>
      <c r="C519" s="826"/>
      <c r="D519" s="829"/>
      <c r="E519" s="780"/>
      <c r="F519" s="781"/>
      <c r="G519" s="769"/>
      <c r="H519" s="768"/>
      <c r="I519" s="770"/>
      <c r="J519" s="758"/>
      <c r="K519" s="828"/>
      <c r="L519" s="760"/>
      <c r="M519" s="771"/>
      <c r="N519" s="760"/>
      <c r="O519" s="759"/>
      <c r="P519" s="759"/>
      <c r="Q519" s="759"/>
      <c r="R519" s="759"/>
      <c r="S519" s="759"/>
      <c r="T519" s="759"/>
      <c r="U519" s="759"/>
      <c r="V519" s="759"/>
      <c r="W519" s="759"/>
      <c r="X519" s="759"/>
      <c r="Y519" s="759"/>
      <c r="Z519" s="759"/>
      <c r="AA519" s="755"/>
      <c r="AB519" s="755"/>
      <c r="AC519" s="773"/>
      <c r="AD519" s="802"/>
      <c r="AF519" s="821"/>
      <c r="AG519" s="802"/>
      <c r="AH519" s="805"/>
      <c r="AI519" s="805"/>
      <c r="AJ519" s="827"/>
      <c r="AK519" s="805"/>
      <c r="AL519" s="806"/>
      <c r="AM519" s="805"/>
      <c r="AN519" s="805"/>
      <c r="AO519" s="807"/>
      <c r="AP519" s="805"/>
      <c r="AQ519" s="805"/>
      <c r="AR519" s="807"/>
      <c r="AS519" s="807"/>
      <c r="AT519" s="805"/>
      <c r="AU519" s="805"/>
      <c r="AV519" s="807"/>
      <c r="AW519" s="802"/>
    </row>
    <row r="520" spans="1:49" s="803" customFormat="1" ht="56.25" customHeight="1" x14ac:dyDescent="0.25">
      <c r="A520" s="1114" t="s">
        <v>1676</v>
      </c>
      <c r="B520" s="778" t="s">
        <v>760</v>
      </c>
      <c r="C520" s="799"/>
      <c r="D520" s="800"/>
      <c r="E520" s="801" t="s">
        <v>488</v>
      </c>
      <c r="F520" s="792" t="s">
        <v>837</v>
      </c>
      <c r="G520" s="778" t="s">
        <v>489</v>
      </c>
      <c r="H520" s="791" t="s">
        <v>1170</v>
      </c>
      <c r="I520" s="792" t="s">
        <v>838</v>
      </c>
      <c r="J520" s="793" t="s">
        <v>1171</v>
      </c>
      <c r="K520" s="793" t="s">
        <v>490</v>
      </c>
      <c r="L520" s="794" t="s">
        <v>489</v>
      </c>
      <c r="M520" s="793" t="s">
        <v>1172</v>
      </c>
      <c r="N520" s="792" t="s">
        <v>838</v>
      </c>
      <c r="O520" s="793" t="s">
        <v>1171</v>
      </c>
      <c r="P520" s="793" t="s">
        <v>826</v>
      </c>
      <c r="Q520" s="793" t="s">
        <v>1173</v>
      </c>
      <c r="R520" s="793" t="s">
        <v>1174</v>
      </c>
      <c r="S520" s="793" t="s">
        <v>839</v>
      </c>
      <c r="T520" s="793" t="s">
        <v>1171</v>
      </c>
      <c r="U520" s="793" t="s">
        <v>1392</v>
      </c>
      <c r="V520" s="793" t="s">
        <v>841</v>
      </c>
      <c r="W520" s="795" t="s">
        <v>1173</v>
      </c>
      <c r="X520" s="793" t="s">
        <v>1394</v>
      </c>
      <c r="Y520" s="793" t="s">
        <v>839</v>
      </c>
      <c r="Z520" s="796"/>
      <c r="AA520" s="755"/>
      <c r="AB520" s="755"/>
      <c r="AC520" s="773"/>
      <c r="AD520" s="802"/>
      <c r="AF520" s="804"/>
      <c r="AG520" s="802"/>
      <c r="AH520" s="805"/>
      <c r="AI520" s="805"/>
      <c r="AJ520" s="805"/>
      <c r="AK520" s="805"/>
      <c r="AL520" s="806"/>
      <c r="AM520" s="805"/>
      <c r="AN520" s="805"/>
      <c r="AO520" s="807"/>
      <c r="AP520" s="805"/>
      <c r="AQ520" s="808"/>
      <c r="AR520" s="808"/>
      <c r="AS520" s="808"/>
      <c r="AT520" s="805"/>
      <c r="AU520" s="805"/>
      <c r="AV520" s="807"/>
      <c r="AW520" s="802"/>
    </row>
    <row r="521" spans="1:49" s="803" customFormat="1" ht="12" customHeight="1" x14ac:dyDescent="0.25">
      <c r="A521" s="1115"/>
      <c r="B521" s="752" t="s">
        <v>1175</v>
      </c>
      <c r="C521" s="799">
        <f>C528</f>
        <v>72.348051582088885</v>
      </c>
      <c r="D521" s="800">
        <f>C521*$D$5</f>
        <v>14.614306419581956</v>
      </c>
      <c r="E521" s="809" t="s">
        <v>1176</v>
      </c>
      <c r="F521" s="810"/>
      <c r="G521" s="756"/>
      <c r="H521" s="756"/>
      <c r="I521" s="757">
        <f>SUM(I522:I529)</f>
        <v>83.8536</v>
      </c>
      <c r="J521" s="758" t="s">
        <v>1176</v>
      </c>
      <c r="K521" s="811"/>
      <c r="L521" s="759"/>
      <c r="M521" s="759"/>
      <c r="N521" s="760">
        <f>SUM(N522:N529)</f>
        <v>0.27418500869828294</v>
      </c>
      <c r="O521" s="759" t="s">
        <v>1176</v>
      </c>
      <c r="P521" s="759"/>
      <c r="Q521" s="812"/>
      <c r="R521" s="813"/>
      <c r="S521" s="760">
        <f>SUM(S522:S529)</f>
        <v>0.17977397070317422</v>
      </c>
      <c r="T521" s="760"/>
      <c r="U521" s="760"/>
      <c r="V521" s="760"/>
      <c r="W521" s="760"/>
      <c r="X521" s="760"/>
      <c r="Y521" s="760">
        <f>SUM(Y522:Y529)</f>
        <v>11.63319193706981</v>
      </c>
      <c r="Z521" s="762">
        <f>(C521+D521+I521+N521+S521+Y521)*$Z$5</f>
        <v>237.80837118927158</v>
      </c>
      <c r="AA521" s="763">
        <f>C521+D521+I521+N521+S521+Y521+Z521</f>
        <v>420.71148010741365</v>
      </c>
      <c r="AB521" s="764">
        <v>0.25</v>
      </c>
      <c r="AC521" s="765">
        <f>AA521*(1+AB521)</f>
        <v>525.88935013426703</v>
      </c>
      <c r="AD521" s="814"/>
      <c r="AF521" s="804"/>
      <c r="AG521" s="802"/>
      <c r="AH521" s="805"/>
      <c r="AI521" s="808"/>
      <c r="AJ521" s="815"/>
      <c r="AK521" s="816"/>
      <c r="AL521" s="806"/>
      <c r="AM521" s="817"/>
      <c r="AN521" s="818"/>
      <c r="AO521" s="817"/>
      <c r="AP521" s="808"/>
      <c r="AQ521" s="808"/>
      <c r="AR521" s="808"/>
      <c r="AS521" s="808"/>
      <c r="AT521" s="808"/>
      <c r="AU521" s="817"/>
      <c r="AV521" s="817"/>
      <c r="AW521" s="819"/>
    </row>
    <row r="522" spans="1:49" s="803" customFormat="1" ht="12.75" customHeight="1" x14ac:dyDescent="0.25">
      <c r="A522" s="1115"/>
      <c r="B522" s="766" t="s">
        <v>830</v>
      </c>
      <c r="C522" s="799"/>
      <c r="D522" s="820"/>
      <c r="E522" s="767" t="s">
        <v>1437</v>
      </c>
      <c r="F522" s="768" t="s">
        <v>1438</v>
      </c>
      <c r="G522" s="769">
        <v>0.74</v>
      </c>
      <c r="H522" s="768">
        <v>0.01</v>
      </c>
      <c r="I522" s="770">
        <f t="shared" ref="I522:I527" si="49">G522*H522</f>
        <v>7.4000000000000003E-3</v>
      </c>
      <c r="J522" s="758" t="s">
        <v>1291</v>
      </c>
      <c r="K522" s="771">
        <v>2</v>
      </c>
      <c r="L522" s="772">
        <v>750</v>
      </c>
      <c r="M522" s="771">
        <v>2</v>
      </c>
      <c r="N522" s="760">
        <f>L522/'Исп. коэффициенты'!E31*(C526+C527)</f>
        <v>0.23636638680886463</v>
      </c>
      <c r="O522" s="759" t="s">
        <v>2200</v>
      </c>
      <c r="P522" s="759">
        <v>7250</v>
      </c>
      <c r="Q522" s="759">
        <v>19.670000000000002</v>
      </c>
      <c r="R522" s="759">
        <f>P522*Q522%</f>
        <v>1426.075</v>
      </c>
      <c r="S522" s="759">
        <f>R522/'Исп. коэффициенты'!E31*C526</f>
        <v>0.17977397070317422</v>
      </c>
      <c r="T522" s="755" t="s">
        <v>1435</v>
      </c>
      <c r="U522" s="756">
        <v>6785401.3499999996</v>
      </c>
      <c r="V522" s="785">
        <f>'Исп. коэффициенты'!E124</f>
        <v>2978.5</v>
      </c>
      <c r="W522" s="761">
        <f>'Исп. коэффициенты'!D124</f>
        <v>1.3599999999999999E-2</v>
      </c>
      <c r="X522" s="760">
        <f>U522*W522</f>
        <v>92281.45835999999</v>
      </c>
      <c r="Y522" s="759">
        <f>X522/'Исп. коэффициенты'!E31*C526</f>
        <v>11.63319193706981</v>
      </c>
      <c r="Z522" s="759"/>
      <c r="AA522" s="755"/>
      <c r="AB522" s="755"/>
      <c r="AC522" s="755"/>
      <c r="AD522" s="802"/>
      <c r="AF522" s="821"/>
      <c r="AG522" s="802"/>
      <c r="AH522" s="805"/>
      <c r="AI522" s="805"/>
      <c r="AJ522" s="822"/>
      <c r="AK522" s="805"/>
      <c r="AL522" s="806"/>
      <c r="AM522" s="805"/>
      <c r="AN522" s="805"/>
      <c r="AO522" s="807"/>
      <c r="AP522" s="805"/>
      <c r="AQ522" s="805"/>
      <c r="AR522" s="807"/>
      <c r="AS522" s="807"/>
      <c r="AT522" s="805"/>
      <c r="AU522" s="805"/>
      <c r="AV522" s="807"/>
      <c r="AW522" s="802"/>
    </row>
    <row r="523" spans="1:49" s="803" customFormat="1" x14ac:dyDescent="0.25">
      <c r="A523" s="1115"/>
      <c r="B523" s="774" t="s">
        <v>1178</v>
      </c>
      <c r="C523" s="823">
        <f>C513</f>
        <v>38.717865870069311</v>
      </c>
      <c r="D523" s="820"/>
      <c r="E523" s="767" t="s">
        <v>1439</v>
      </c>
      <c r="F523" s="768" t="s">
        <v>1438</v>
      </c>
      <c r="G523" s="769">
        <v>0.27</v>
      </c>
      <c r="H523" s="768">
        <v>0.01</v>
      </c>
      <c r="I523" s="775">
        <f t="shared" si="49"/>
        <v>2.7000000000000001E-3</v>
      </c>
      <c r="J523" s="758" t="s">
        <v>1445</v>
      </c>
      <c r="K523" s="760">
        <v>2</v>
      </c>
      <c r="L523" s="776">
        <v>95</v>
      </c>
      <c r="M523" s="771">
        <v>2</v>
      </c>
      <c r="N523" s="760">
        <f>L523/'Исп. коэффициенты'!E31*(C526+C527)</f>
        <v>2.9939742329122852E-2</v>
      </c>
      <c r="O523" s="759"/>
      <c r="P523" s="759"/>
      <c r="Q523" s="759"/>
      <c r="R523" s="759"/>
      <c r="S523" s="759"/>
      <c r="T523" s="759"/>
      <c r="U523" s="759"/>
      <c r="V523" s="759"/>
      <c r="W523" s="759"/>
      <c r="X523" s="759"/>
      <c r="Y523" s="759"/>
      <c r="Z523" s="759"/>
      <c r="AA523" s="755"/>
      <c r="AB523" s="755"/>
      <c r="AC523" s="755"/>
      <c r="AD523" s="802"/>
      <c r="AF523" s="821"/>
      <c r="AG523" s="802"/>
      <c r="AH523" s="805"/>
      <c r="AI523" s="805"/>
      <c r="AJ523" s="822"/>
      <c r="AK523" s="805"/>
      <c r="AL523" s="806"/>
      <c r="AM523" s="824"/>
      <c r="AN523" s="805"/>
      <c r="AO523" s="807"/>
      <c r="AP523" s="805"/>
      <c r="AQ523" s="805"/>
      <c r="AR523" s="807"/>
      <c r="AS523" s="807"/>
      <c r="AT523" s="805"/>
      <c r="AU523" s="805"/>
      <c r="AV523" s="807"/>
      <c r="AW523" s="802"/>
    </row>
    <row r="524" spans="1:49" s="803" customFormat="1" ht="12.75" customHeight="1" x14ac:dyDescent="0.25">
      <c r="A524" s="1115"/>
      <c r="B524" s="754" t="s">
        <v>1179</v>
      </c>
      <c r="C524" s="799">
        <f>C514</f>
        <v>22.420123808013045</v>
      </c>
      <c r="D524" s="820"/>
      <c r="E524" s="767" t="s">
        <v>1598</v>
      </c>
      <c r="F524" s="768" t="s">
        <v>1441</v>
      </c>
      <c r="G524" s="769">
        <v>4.4000000000000004</v>
      </c>
      <c r="H524" s="769">
        <v>1</v>
      </c>
      <c r="I524" s="770">
        <f t="shared" si="49"/>
        <v>4.4000000000000004</v>
      </c>
      <c r="J524" s="758" t="s">
        <v>1513</v>
      </c>
      <c r="K524" s="760">
        <v>2</v>
      </c>
      <c r="L524" s="760">
        <v>25</v>
      </c>
      <c r="M524" s="771">
        <v>0.5</v>
      </c>
      <c r="N524" s="760">
        <f>L524/'Исп. коэффициенты'!E31*(C526+C527)</f>
        <v>7.8788795602954889E-3</v>
      </c>
      <c r="O524" s="759"/>
      <c r="P524" s="759"/>
      <c r="Q524" s="759"/>
      <c r="R524" s="759"/>
      <c r="S524" s="759"/>
      <c r="T524" s="759"/>
      <c r="U524" s="759"/>
      <c r="V524" s="759"/>
      <c r="W524" s="759"/>
      <c r="X524" s="759"/>
      <c r="Y524" s="759"/>
      <c r="Z524" s="759"/>
      <c r="AA524" s="755"/>
      <c r="AB524" s="755"/>
      <c r="AC524" s="755"/>
      <c r="AD524" s="802"/>
      <c r="AF524" s="821"/>
      <c r="AG524" s="802"/>
      <c r="AH524" s="805"/>
      <c r="AI524" s="805"/>
      <c r="AJ524" s="822"/>
      <c r="AK524" s="805"/>
      <c r="AL524" s="806"/>
      <c r="AM524" s="805"/>
      <c r="AN524" s="805"/>
      <c r="AO524" s="807"/>
      <c r="AP524" s="805"/>
      <c r="AQ524" s="805"/>
      <c r="AR524" s="807"/>
      <c r="AS524" s="807"/>
      <c r="AT524" s="805"/>
      <c r="AU524" s="805"/>
      <c r="AV524" s="807"/>
      <c r="AW524" s="802"/>
    </row>
    <row r="525" spans="1:49" s="803" customFormat="1" ht="12.75" customHeight="1" x14ac:dyDescent="0.25">
      <c r="A525" s="1115"/>
      <c r="B525" s="754" t="s">
        <v>831</v>
      </c>
      <c r="C525" s="825"/>
      <c r="D525" s="820"/>
      <c r="E525" s="767" t="s">
        <v>1599</v>
      </c>
      <c r="F525" s="768" t="s">
        <v>1441</v>
      </c>
      <c r="G525" s="769">
        <v>77.28</v>
      </c>
      <c r="H525" s="768">
        <v>1</v>
      </c>
      <c r="I525" s="770">
        <f t="shared" si="49"/>
        <v>77.28</v>
      </c>
      <c r="J525" s="758"/>
      <c r="K525" s="760"/>
      <c r="L525" s="760"/>
      <c r="M525" s="760"/>
      <c r="N525" s="760"/>
      <c r="O525" s="759"/>
      <c r="P525" s="759"/>
      <c r="Q525" s="759"/>
      <c r="R525" s="759"/>
      <c r="S525" s="759"/>
      <c r="T525" s="759"/>
      <c r="U525" s="759"/>
      <c r="V525" s="759"/>
      <c r="W525" s="759"/>
      <c r="X525" s="759"/>
      <c r="Y525" s="759"/>
      <c r="Z525" s="759"/>
      <c r="AA525" s="755"/>
      <c r="AB525" s="755"/>
      <c r="AC525" s="755"/>
      <c r="AD525" s="802"/>
      <c r="AF525" s="821"/>
      <c r="AG525" s="802"/>
      <c r="AH525" s="805"/>
      <c r="AI525" s="805"/>
      <c r="AJ525" s="822"/>
      <c r="AK525" s="805"/>
      <c r="AL525" s="806"/>
      <c r="AM525" s="805"/>
      <c r="AN525" s="805"/>
      <c r="AO525" s="807"/>
      <c r="AP525" s="805"/>
      <c r="AQ525" s="805"/>
      <c r="AR525" s="807"/>
      <c r="AS525" s="807"/>
      <c r="AT525" s="805"/>
      <c r="AU525" s="805"/>
      <c r="AV525" s="807"/>
      <c r="AW525" s="802"/>
    </row>
    <row r="526" spans="1:49" s="803" customFormat="1" ht="12.75" customHeight="1" x14ac:dyDescent="0.25">
      <c r="A526" s="1115"/>
      <c r="B526" s="774" t="s">
        <v>1178</v>
      </c>
      <c r="C526" s="826">
        <v>1</v>
      </c>
      <c r="D526" s="820"/>
      <c r="E526" s="767" t="s">
        <v>1442</v>
      </c>
      <c r="F526" s="768" t="s">
        <v>1443</v>
      </c>
      <c r="G526" s="769">
        <v>419.5</v>
      </c>
      <c r="H526" s="768">
        <v>1E-3</v>
      </c>
      <c r="I526" s="770">
        <f t="shared" si="49"/>
        <v>0.41949999999999998</v>
      </c>
      <c r="J526" s="758"/>
      <c r="K526" s="760"/>
      <c r="L526" s="760"/>
      <c r="M526" s="760"/>
      <c r="N526" s="760"/>
      <c r="O526" s="759"/>
      <c r="P526" s="759"/>
      <c r="Q526" s="759"/>
      <c r="R526" s="759"/>
      <c r="S526" s="759"/>
      <c r="T526" s="759"/>
      <c r="U526" s="759"/>
      <c r="V526" s="759"/>
      <c r="W526" s="759"/>
      <c r="X526" s="759"/>
      <c r="Y526" s="759"/>
      <c r="Z526" s="759"/>
      <c r="AA526" s="755"/>
      <c r="AB526" s="755"/>
      <c r="AC526" s="755"/>
      <c r="AD526" s="802"/>
      <c r="AF526" s="821"/>
      <c r="AG526" s="802"/>
      <c r="AH526" s="805"/>
      <c r="AI526" s="805"/>
      <c r="AJ526" s="827"/>
      <c r="AK526" s="805"/>
      <c r="AL526" s="806"/>
      <c r="AM526" s="805"/>
      <c r="AN526" s="805"/>
      <c r="AO526" s="807"/>
      <c r="AP526" s="805"/>
      <c r="AQ526" s="805"/>
      <c r="AR526" s="807"/>
      <c r="AS526" s="807"/>
      <c r="AT526" s="805"/>
      <c r="AU526" s="805"/>
      <c r="AV526" s="807"/>
      <c r="AW526" s="802"/>
    </row>
    <row r="527" spans="1:49" s="803" customFormat="1" ht="12.75" customHeight="1" x14ac:dyDescent="0.25">
      <c r="A527" s="1115"/>
      <c r="B527" s="754" t="s">
        <v>1179</v>
      </c>
      <c r="C527" s="826">
        <v>1.5</v>
      </c>
      <c r="D527" s="820"/>
      <c r="E527" s="767" t="s">
        <v>1444</v>
      </c>
      <c r="F527" s="768" t="s">
        <v>1443</v>
      </c>
      <c r="G527" s="769">
        <v>872</v>
      </c>
      <c r="H527" s="768">
        <v>2E-3</v>
      </c>
      <c r="I527" s="770">
        <f t="shared" si="49"/>
        <v>1.744</v>
      </c>
      <c r="J527" s="758"/>
      <c r="K527" s="760"/>
      <c r="L527" s="760"/>
      <c r="M527" s="760"/>
      <c r="N527" s="760"/>
      <c r="O527" s="759"/>
      <c r="P527" s="759"/>
      <c r="Q527" s="759"/>
      <c r="R527" s="759"/>
      <c r="S527" s="759"/>
      <c r="T527" s="759"/>
      <c r="U527" s="759"/>
      <c r="V527" s="759"/>
      <c r="W527" s="759"/>
      <c r="X527" s="759"/>
      <c r="Y527" s="759"/>
      <c r="Z527" s="759"/>
      <c r="AA527" s="755"/>
      <c r="AB527" s="755"/>
      <c r="AC527" s="755"/>
      <c r="AD527" s="802"/>
      <c r="AF527" s="821"/>
      <c r="AG527" s="802"/>
      <c r="AH527" s="805"/>
      <c r="AI527" s="805"/>
      <c r="AJ527" s="827"/>
      <c r="AK527" s="805"/>
      <c r="AL527" s="806"/>
      <c r="AM527" s="805"/>
      <c r="AN527" s="805"/>
      <c r="AO527" s="807"/>
      <c r="AP527" s="805"/>
      <c r="AQ527" s="805"/>
      <c r="AR527" s="807"/>
      <c r="AS527" s="807"/>
      <c r="AT527" s="805"/>
      <c r="AU527" s="805"/>
      <c r="AV527" s="807"/>
      <c r="AW527" s="802"/>
    </row>
    <row r="528" spans="1:49" s="803" customFormat="1" ht="12.75" customHeight="1" x14ac:dyDescent="0.25">
      <c r="A528" s="1115"/>
      <c r="B528" s="782" t="s">
        <v>1181</v>
      </c>
      <c r="C528" s="799">
        <f>C523*C526+C524*C527</f>
        <v>72.348051582088885</v>
      </c>
      <c r="D528" s="820"/>
      <c r="E528" s="780"/>
      <c r="F528" s="781"/>
      <c r="G528" s="769"/>
      <c r="H528" s="768"/>
      <c r="I528" s="770"/>
      <c r="J528" s="758"/>
      <c r="K528" s="828"/>
      <c r="L528" s="776"/>
      <c r="M528" s="771"/>
      <c r="N528" s="760"/>
      <c r="O528" s="759"/>
      <c r="P528" s="759"/>
      <c r="Q528" s="759"/>
      <c r="R528" s="759"/>
      <c r="S528" s="759"/>
      <c r="T528" s="759"/>
      <c r="U528" s="759"/>
      <c r="V528" s="759"/>
      <c r="W528" s="759"/>
      <c r="X528" s="759"/>
      <c r="Y528" s="759"/>
      <c r="Z528" s="759"/>
      <c r="AA528" s="755"/>
      <c r="AB528" s="755"/>
      <c r="AC528" s="755"/>
      <c r="AD528" s="802"/>
      <c r="AF528" s="821"/>
      <c r="AG528" s="802"/>
      <c r="AH528" s="805"/>
      <c r="AI528" s="805"/>
      <c r="AJ528" s="822"/>
      <c r="AK528" s="805"/>
      <c r="AL528" s="806"/>
      <c r="AM528" s="805"/>
      <c r="AN528" s="805"/>
      <c r="AO528" s="807"/>
      <c r="AP528" s="805"/>
      <c r="AQ528" s="805"/>
      <c r="AR528" s="807"/>
      <c r="AS528" s="807"/>
      <c r="AT528" s="805"/>
      <c r="AU528" s="805"/>
      <c r="AV528" s="807"/>
      <c r="AW528" s="802"/>
    </row>
    <row r="529" spans="1:49" s="803" customFormat="1" ht="13.5" customHeight="1" x14ac:dyDescent="0.25">
      <c r="A529" s="1116"/>
      <c r="B529" s="783"/>
      <c r="C529" s="826"/>
      <c r="D529" s="829"/>
      <c r="E529" s="780"/>
      <c r="F529" s="781"/>
      <c r="G529" s="769"/>
      <c r="H529" s="768"/>
      <c r="I529" s="770"/>
      <c r="J529" s="758"/>
      <c r="K529" s="828"/>
      <c r="L529" s="760"/>
      <c r="M529" s="771"/>
      <c r="N529" s="760"/>
      <c r="O529" s="759"/>
      <c r="P529" s="759"/>
      <c r="Q529" s="759"/>
      <c r="R529" s="759"/>
      <c r="S529" s="759"/>
      <c r="T529" s="759"/>
      <c r="U529" s="759"/>
      <c r="V529" s="759"/>
      <c r="W529" s="759"/>
      <c r="X529" s="759"/>
      <c r="Y529" s="759"/>
      <c r="Z529" s="759"/>
      <c r="AA529" s="755"/>
      <c r="AB529" s="755"/>
      <c r="AC529" s="755"/>
      <c r="AD529" s="802"/>
      <c r="AF529" s="821"/>
      <c r="AG529" s="802"/>
      <c r="AH529" s="805"/>
      <c r="AI529" s="805"/>
      <c r="AJ529" s="827"/>
      <c r="AK529" s="805"/>
      <c r="AL529" s="806"/>
      <c r="AM529" s="805"/>
      <c r="AN529" s="805"/>
      <c r="AO529" s="807"/>
      <c r="AP529" s="805"/>
      <c r="AQ529" s="805"/>
      <c r="AR529" s="807"/>
      <c r="AS529" s="807"/>
      <c r="AT529" s="805"/>
      <c r="AU529" s="805"/>
      <c r="AV529" s="807"/>
      <c r="AW529" s="802"/>
    </row>
    <row r="530" spans="1:49" s="3" customFormat="1" ht="56.25" hidden="1" customHeight="1" x14ac:dyDescent="0.25">
      <c r="A530" s="1012" t="s">
        <v>1677</v>
      </c>
      <c r="B530" s="258" t="s">
        <v>761</v>
      </c>
      <c r="C530" s="222"/>
      <c r="D530" s="219"/>
      <c r="E530" s="226" t="s">
        <v>488</v>
      </c>
      <c r="F530" s="53" t="s">
        <v>837</v>
      </c>
      <c r="G530" s="51" t="s">
        <v>489</v>
      </c>
      <c r="H530" s="52" t="s">
        <v>1170</v>
      </c>
      <c r="I530" s="53" t="s">
        <v>838</v>
      </c>
      <c r="J530" s="47" t="s">
        <v>1171</v>
      </c>
      <c r="K530" s="47" t="s">
        <v>490</v>
      </c>
      <c r="L530" s="54" t="s">
        <v>489</v>
      </c>
      <c r="M530" s="47" t="s">
        <v>1172</v>
      </c>
      <c r="N530" s="53" t="s">
        <v>838</v>
      </c>
      <c r="O530" s="47" t="s">
        <v>1171</v>
      </c>
      <c r="P530" s="47" t="s">
        <v>826</v>
      </c>
      <c r="Q530" s="47" t="s">
        <v>1173</v>
      </c>
      <c r="R530" s="47" t="s">
        <v>1174</v>
      </c>
      <c r="S530" s="47" t="s">
        <v>839</v>
      </c>
      <c r="T530" s="47" t="s">
        <v>1171</v>
      </c>
      <c r="U530" s="47" t="s">
        <v>1392</v>
      </c>
      <c r="V530" s="47" t="s">
        <v>841</v>
      </c>
      <c r="W530" s="231" t="s">
        <v>1173</v>
      </c>
      <c r="X530" s="47" t="s">
        <v>1394</v>
      </c>
      <c r="Y530" s="47" t="s">
        <v>839</v>
      </c>
      <c r="Z530" s="55"/>
      <c r="AA530" s="1"/>
      <c r="AB530" s="1"/>
      <c r="AC530" s="1"/>
      <c r="AD530" s="56"/>
      <c r="AF530" s="81"/>
      <c r="AG530" s="56"/>
      <c r="AH530" s="125"/>
      <c r="AI530" s="125"/>
      <c r="AJ530" s="125"/>
      <c r="AK530" s="125"/>
      <c r="AL530" s="127"/>
      <c r="AM530" s="125"/>
      <c r="AN530" s="125"/>
      <c r="AO530" s="128"/>
      <c r="AP530" s="125"/>
      <c r="AQ530" s="139"/>
      <c r="AR530" s="139"/>
      <c r="AS530" s="139"/>
      <c r="AT530" s="125"/>
      <c r="AU530" s="125"/>
      <c r="AV530" s="128"/>
      <c r="AW530" s="56"/>
    </row>
    <row r="531" spans="1:49" s="3" customFormat="1" ht="12" hidden="1" customHeight="1" x14ac:dyDescent="0.25">
      <c r="A531" s="1013"/>
      <c r="B531" s="36" t="s">
        <v>1175</v>
      </c>
      <c r="C531" s="222">
        <f>C538</f>
        <v>83.558113486095408</v>
      </c>
      <c r="D531" s="219">
        <f>C531*$D$5</f>
        <v>16.878738924191275</v>
      </c>
      <c r="E531" s="227" t="s">
        <v>1176</v>
      </c>
      <c r="F531" s="165"/>
      <c r="G531" s="58"/>
      <c r="H531" s="58"/>
      <c r="I531" s="2">
        <f>SUM(I532:I539)</f>
        <v>83.8536</v>
      </c>
      <c r="J531" s="59" t="s">
        <v>1176</v>
      </c>
      <c r="K531" s="169"/>
      <c r="L531" s="60"/>
      <c r="M531" s="60"/>
      <c r="N531" s="61">
        <f>SUM(N532:N539)</f>
        <v>8.4000000000000005E-2</v>
      </c>
      <c r="O531" s="60" t="s">
        <v>1176</v>
      </c>
      <c r="P531" s="60"/>
      <c r="Q531" s="62"/>
      <c r="R531" s="63"/>
      <c r="S531" s="61">
        <f>SUM(S532:S539)</f>
        <v>9.7215000000000007</v>
      </c>
      <c r="T531" s="61"/>
      <c r="U531" s="61"/>
      <c r="V531" s="61"/>
      <c r="W531" s="61"/>
      <c r="X531" s="61"/>
      <c r="Y531" s="61">
        <f>SUM(Y532:Y539)</f>
        <v>9.1999999999999998E-3</v>
      </c>
      <c r="Z531" s="64">
        <f>(C531+D531+I531+N531+S531+Y531)*$Z$5</f>
        <v>252.37313027190984</v>
      </c>
      <c r="AA531" s="65">
        <f>C531+D531+I531+N531+S531+Y531+Z531</f>
        <v>446.47828268219655</v>
      </c>
      <c r="AB531" s="66">
        <v>0.25</v>
      </c>
      <c r="AC531" s="244">
        <f>AA531*(1+AB531)</f>
        <v>558.09785335274569</v>
      </c>
      <c r="AD531" s="67"/>
      <c r="AF531" s="81"/>
      <c r="AG531" s="56"/>
      <c r="AH531" s="125"/>
      <c r="AI531" s="139"/>
      <c r="AJ531" s="140"/>
      <c r="AK531" s="141"/>
      <c r="AL531" s="127"/>
      <c r="AM531" s="142"/>
      <c r="AN531" s="143"/>
      <c r="AO531" s="142"/>
      <c r="AP531" s="139"/>
      <c r="AQ531" s="139"/>
      <c r="AR531" s="139"/>
      <c r="AS531" s="139"/>
      <c r="AT531" s="139"/>
      <c r="AU531" s="142"/>
      <c r="AV531" s="142"/>
      <c r="AW531" s="144"/>
    </row>
    <row r="532" spans="1:49" s="3" customFormat="1" ht="12.75" hidden="1" customHeight="1" x14ac:dyDescent="0.25">
      <c r="A532" s="1013"/>
      <c r="B532" s="50" t="s">
        <v>830</v>
      </c>
      <c r="C532" s="222"/>
      <c r="D532" s="220"/>
      <c r="E532" s="68" t="s">
        <v>1437</v>
      </c>
      <c r="F532" s="69" t="s">
        <v>1438</v>
      </c>
      <c r="G532" s="70">
        <v>0.74</v>
      </c>
      <c r="H532" s="69">
        <v>0.01</v>
      </c>
      <c r="I532" s="71">
        <f t="shared" ref="I532:I537" si="50">G532*H532</f>
        <v>7.4000000000000003E-3</v>
      </c>
      <c r="J532" s="59" t="s">
        <v>1291</v>
      </c>
      <c r="K532" s="61">
        <v>2</v>
      </c>
      <c r="L532" s="61">
        <v>640</v>
      </c>
      <c r="M532" s="61">
        <v>2</v>
      </c>
      <c r="N532" s="61">
        <v>0.05</v>
      </c>
      <c r="O532" s="60" t="s">
        <v>1239</v>
      </c>
      <c r="P532" s="60">
        <v>61189.5</v>
      </c>
      <c r="Q532" s="60">
        <v>19.670000000000002</v>
      </c>
      <c r="R532" s="60">
        <v>6513.87</v>
      </c>
      <c r="S532" s="60">
        <v>9.7215000000000007</v>
      </c>
      <c r="T532" s="239" t="s">
        <v>1435</v>
      </c>
      <c r="U532" s="240">
        <v>6785401.3499999996</v>
      </c>
      <c r="V532" s="241">
        <v>1.32E-2</v>
      </c>
      <c r="W532" s="239">
        <v>1508.3</v>
      </c>
      <c r="X532" s="61">
        <v>59.38</v>
      </c>
      <c r="Y532" s="60">
        <v>9.1999999999999998E-3</v>
      </c>
      <c r="Z532" s="60"/>
      <c r="AA532" s="1"/>
      <c r="AB532" s="1"/>
      <c r="AC532" s="245"/>
      <c r="AD532" s="56"/>
      <c r="AF532" s="151"/>
      <c r="AG532" s="56"/>
      <c r="AH532" s="125"/>
      <c r="AI532" s="125"/>
      <c r="AJ532" s="136"/>
      <c r="AK532" s="125"/>
      <c r="AL532" s="127"/>
      <c r="AM532" s="125"/>
      <c r="AN532" s="125"/>
      <c r="AO532" s="128"/>
      <c r="AP532" s="125"/>
      <c r="AQ532" s="125"/>
      <c r="AR532" s="128"/>
      <c r="AS532" s="128"/>
      <c r="AT532" s="125"/>
      <c r="AU532" s="125"/>
      <c r="AV532" s="128"/>
      <c r="AW532" s="56"/>
    </row>
    <row r="533" spans="1:49" s="3" customFormat="1" hidden="1" x14ac:dyDescent="0.25">
      <c r="A533" s="1013"/>
      <c r="B533" s="74" t="s">
        <v>1178</v>
      </c>
      <c r="C533" s="223">
        <f>C523</f>
        <v>38.717865870069311</v>
      </c>
      <c r="D533" s="220"/>
      <c r="E533" s="68" t="s">
        <v>1439</v>
      </c>
      <c r="F533" s="69" t="s">
        <v>1438</v>
      </c>
      <c r="G533" s="70">
        <v>0.27</v>
      </c>
      <c r="H533" s="69">
        <v>0.01</v>
      </c>
      <c r="I533" s="242">
        <f t="shared" si="50"/>
        <v>2.7000000000000001E-3</v>
      </c>
      <c r="J533" s="59" t="s">
        <v>1445</v>
      </c>
      <c r="K533" s="61">
        <v>2</v>
      </c>
      <c r="L533" s="61">
        <v>84</v>
      </c>
      <c r="M533" s="61">
        <v>2</v>
      </c>
      <c r="N533" s="61">
        <v>8.9999999999999993E-3</v>
      </c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1"/>
      <c r="AB533" s="1"/>
      <c r="AC533" s="245"/>
      <c r="AD533" s="56"/>
      <c r="AF533" s="151"/>
      <c r="AG533" s="56"/>
      <c r="AH533" s="125"/>
      <c r="AI533" s="125"/>
      <c r="AJ533" s="136"/>
      <c r="AK533" s="125"/>
      <c r="AL533" s="127"/>
      <c r="AM533" s="145"/>
      <c r="AN533" s="125"/>
      <c r="AO533" s="128"/>
      <c r="AP533" s="125"/>
      <c r="AQ533" s="125"/>
      <c r="AR533" s="128"/>
      <c r="AS533" s="128"/>
      <c r="AT533" s="125"/>
      <c r="AU533" s="125"/>
      <c r="AV533" s="128"/>
      <c r="AW533" s="56"/>
    </row>
    <row r="534" spans="1:49" s="3" customFormat="1" ht="12.75" hidden="1" customHeight="1" x14ac:dyDescent="0.25">
      <c r="A534" s="1013"/>
      <c r="B534" s="57" t="s">
        <v>1179</v>
      </c>
      <c r="C534" s="222">
        <f>C524</f>
        <v>22.420123808013045</v>
      </c>
      <c r="D534" s="220"/>
      <c r="E534" s="68" t="s">
        <v>1598</v>
      </c>
      <c r="F534" s="69" t="s">
        <v>1441</v>
      </c>
      <c r="G534" s="70">
        <v>4.4000000000000004</v>
      </c>
      <c r="H534" s="70">
        <v>1</v>
      </c>
      <c r="I534" s="71">
        <f t="shared" si="50"/>
        <v>4.4000000000000004</v>
      </c>
      <c r="J534" s="59" t="s">
        <v>1513</v>
      </c>
      <c r="K534" s="61">
        <v>2</v>
      </c>
      <c r="L534" s="61">
        <v>25</v>
      </c>
      <c r="M534" s="61">
        <v>0.5</v>
      </c>
      <c r="N534" s="61">
        <v>2.5000000000000001E-2</v>
      </c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1"/>
      <c r="AB534" s="1"/>
      <c r="AC534" s="245"/>
      <c r="AD534" s="56"/>
      <c r="AF534" s="151"/>
      <c r="AG534" s="56"/>
      <c r="AH534" s="125"/>
      <c r="AI534" s="125"/>
      <c r="AJ534" s="136"/>
      <c r="AK534" s="125"/>
      <c r="AL534" s="127"/>
      <c r="AM534" s="125"/>
      <c r="AN534" s="125"/>
      <c r="AO534" s="128"/>
      <c r="AP534" s="125"/>
      <c r="AQ534" s="125"/>
      <c r="AR534" s="128"/>
      <c r="AS534" s="128"/>
      <c r="AT534" s="125"/>
      <c r="AU534" s="125"/>
      <c r="AV534" s="128"/>
      <c r="AW534" s="56"/>
    </row>
    <row r="535" spans="1:49" s="3" customFormat="1" ht="12.75" hidden="1" customHeight="1" x14ac:dyDescent="0.25">
      <c r="A535" s="1013"/>
      <c r="B535" s="57" t="s">
        <v>831</v>
      </c>
      <c r="C535" s="224"/>
      <c r="D535" s="220"/>
      <c r="E535" s="68" t="s">
        <v>1599</v>
      </c>
      <c r="F535" s="69" t="s">
        <v>1441</v>
      </c>
      <c r="G535" s="70">
        <v>77.28</v>
      </c>
      <c r="H535" s="69">
        <v>1</v>
      </c>
      <c r="I535" s="71">
        <f t="shared" si="50"/>
        <v>77.28</v>
      </c>
      <c r="J535" s="59"/>
      <c r="K535" s="61"/>
      <c r="L535" s="61"/>
      <c r="M535" s="61"/>
      <c r="N535" s="61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1"/>
      <c r="AB535" s="1"/>
      <c r="AC535" s="245"/>
      <c r="AD535" s="56"/>
      <c r="AF535" s="151"/>
      <c r="AG535" s="56"/>
      <c r="AH535" s="125"/>
      <c r="AI535" s="125"/>
      <c r="AJ535" s="136"/>
      <c r="AK535" s="125"/>
      <c r="AL535" s="127"/>
      <c r="AM535" s="125"/>
      <c r="AN535" s="125"/>
      <c r="AO535" s="128"/>
      <c r="AP535" s="125"/>
      <c r="AQ535" s="125"/>
      <c r="AR535" s="128"/>
      <c r="AS535" s="128"/>
      <c r="AT535" s="125"/>
      <c r="AU535" s="125"/>
      <c r="AV535" s="128"/>
      <c r="AW535" s="56"/>
    </row>
    <row r="536" spans="1:49" s="3" customFormat="1" ht="12.75" hidden="1" customHeight="1" x14ac:dyDescent="0.25">
      <c r="A536" s="1013"/>
      <c r="B536" s="74" t="s">
        <v>1178</v>
      </c>
      <c r="C536" s="225">
        <v>1</v>
      </c>
      <c r="D536" s="220"/>
      <c r="E536" s="68" t="s">
        <v>1442</v>
      </c>
      <c r="F536" s="69" t="s">
        <v>1443</v>
      </c>
      <c r="G536" s="70">
        <v>419.5</v>
      </c>
      <c r="H536" s="69">
        <v>1E-3</v>
      </c>
      <c r="I536" s="71">
        <f t="shared" si="50"/>
        <v>0.41949999999999998</v>
      </c>
      <c r="J536" s="59"/>
      <c r="K536" s="61"/>
      <c r="L536" s="61"/>
      <c r="M536" s="61"/>
      <c r="N536" s="61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1"/>
      <c r="AB536" s="1"/>
      <c r="AC536" s="245"/>
      <c r="AD536" s="56"/>
      <c r="AF536" s="151"/>
      <c r="AG536" s="56"/>
      <c r="AH536" s="125"/>
      <c r="AI536" s="125"/>
      <c r="AJ536" s="146"/>
      <c r="AK536" s="125"/>
      <c r="AL536" s="127"/>
      <c r="AM536" s="125"/>
      <c r="AN536" s="125"/>
      <c r="AO536" s="128"/>
      <c r="AP536" s="125"/>
      <c r="AQ536" s="125"/>
      <c r="AR536" s="128"/>
      <c r="AS536" s="128"/>
      <c r="AT536" s="125"/>
      <c r="AU536" s="125"/>
      <c r="AV536" s="128"/>
      <c r="AW536" s="56"/>
    </row>
    <row r="537" spans="1:49" s="3" customFormat="1" ht="12.75" hidden="1" customHeight="1" x14ac:dyDescent="0.25">
      <c r="A537" s="1013"/>
      <c r="B537" s="57" t="s">
        <v>1179</v>
      </c>
      <c r="C537" s="225">
        <v>2</v>
      </c>
      <c r="D537" s="220"/>
      <c r="E537" s="68" t="s">
        <v>1444</v>
      </c>
      <c r="F537" s="69" t="s">
        <v>1443</v>
      </c>
      <c r="G537" s="70">
        <v>872</v>
      </c>
      <c r="H537" s="69">
        <v>2E-3</v>
      </c>
      <c r="I537" s="71">
        <f t="shared" si="50"/>
        <v>1.744</v>
      </c>
      <c r="J537" s="59"/>
      <c r="K537" s="61"/>
      <c r="L537" s="61"/>
      <c r="M537" s="61"/>
      <c r="N537" s="61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1"/>
      <c r="AB537" s="1"/>
      <c r="AC537" s="245"/>
      <c r="AD537" s="56"/>
      <c r="AF537" s="151"/>
      <c r="AG537" s="56"/>
      <c r="AH537" s="125"/>
      <c r="AI537" s="125"/>
      <c r="AJ537" s="146"/>
      <c r="AK537" s="125"/>
      <c r="AL537" s="127"/>
      <c r="AM537" s="125"/>
      <c r="AN537" s="125"/>
      <c r="AO537" s="128"/>
      <c r="AP537" s="125"/>
      <c r="AQ537" s="125"/>
      <c r="AR537" s="128"/>
      <c r="AS537" s="128"/>
      <c r="AT537" s="125"/>
      <c r="AU537" s="125"/>
      <c r="AV537" s="128"/>
      <c r="AW537" s="56"/>
    </row>
    <row r="538" spans="1:49" s="3" customFormat="1" ht="12.75" hidden="1" customHeight="1" x14ac:dyDescent="0.25">
      <c r="A538" s="1013"/>
      <c r="B538" s="79" t="s">
        <v>1181</v>
      </c>
      <c r="C538" s="222">
        <f>C533*C536+C534*C537</f>
        <v>83.558113486095408</v>
      </c>
      <c r="D538" s="220"/>
      <c r="E538" s="228"/>
      <c r="F538" s="166"/>
      <c r="G538" s="70"/>
      <c r="H538" s="69"/>
      <c r="I538" s="71"/>
      <c r="J538" s="59"/>
      <c r="K538" s="170"/>
      <c r="L538" s="76"/>
      <c r="M538" s="72"/>
      <c r="N538" s="61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1"/>
      <c r="AB538" s="1"/>
      <c r="AC538" s="245"/>
      <c r="AD538" s="56"/>
      <c r="AF538" s="151"/>
      <c r="AG538" s="56"/>
      <c r="AH538" s="125"/>
      <c r="AI538" s="125"/>
      <c r="AJ538" s="136"/>
      <c r="AK538" s="125"/>
      <c r="AL538" s="127"/>
      <c r="AM538" s="125"/>
      <c r="AN538" s="125"/>
      <c r="AO538" s="128"/>
      <c r="AP538" s="125"/>
      <c r="AQ538" s="125"/>
      <c r="AR538" s="128"/>
      <c r="AS538" s="128"/>
      <c r="AT538" s="125"/>
      <c r="AU538" s="125"/>
      <c r="AV538" s="128"/>
      <c r="AW538" s="56"/>
    </row>
    <row r="539" spans="1:49" s="3" customFormat="1" ht="13.5" hidden="1" customHeight="1" x14ac:dyDescent="0.25">
      <c r="A539" s="1014"/>
      <c r="B539" s="123"/>
      <c r="C539" s="225"/>
      <c r="D539" s="221"/>
      <c r="E539" s="228"/>
      <c r="F539" s="166"/>
      <c r="G539" s="70"/>
      <c r="H539" s="69"/>
      <c r="I539" s="71"/>
      <c r="J539" s="59"/>
      <c r="K539" s="170"/>
      <c r="L539" s="61"/>
      <c r="M539" s="72"/>
      <c r="N539" s="61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1"/>
      <c r="AB539" s="1"/>
      <c r="AC539" s="245"/>
      <c r="AD539" s="56"/>
      <c r="AF539" s="151"/>
      <c r="AG539" s="56"/>
      <c r="AH539" s="125"/>
      <c r="AI539" s="125"/>
      <c r="AJ539" s="146"/>
      <c r="AK539" s="125"/>
      <c r="AL539" s="127"/>
      <c r="AM539" s="125"/>
      <c r="AN539" s="125"/>
      <c r="AO539" s="128"/>
      <c r="AP539" s="125"/>
      <c r="AQ539" s="125"/>
      <c r="AR539" s="128"/>
      <c r="AS539" s="128"/>
      <c r="AT539" s="125"/>
      <c r="AU539" s="125"/>
      <c r="AV539" s="128"/>
      <c r="AW539" s="56"/>
    </row>
    <row r="540" spans="1:49" s="3" customFormat="1" ht="56.25" hidden="1" customHeight="1" x14ac:dyDescent="0.25">
      <c r="A540" s="1012" t="s">
        <v>1678</v>
      </c>
      <c r="B540" s="258" t="s">
        <v>762</v>
      </c>
      <c r="C540" s="222"/>
      <c r="D540" s="219"/>
      <c r="E540" s="226" t="s">
        <v>488</v>
      </c>
      <c r="F540" s="53" t="s">
        <v>837</v>
      </c>
      <c r="G540" s="51" t="s">
        <v>489</v>
      </c>
      <c r="H540" s="52" t="s">
        <v>1170</v>
      </c>
      <c r="I540" s="53" t="s">
        <v>838</v>
      </c>
      <c r="J540" s="47" t="s">
        <v>1171</v>
      </c>
      <c r="K540" s="47" t="s">
        <v>490</v>
      </c>
      <c r="L540" s="54" t="s">
        <v>489</v>
      </c>
      <c r="M540" s="47" t="s">
        <v>1172</v>
      </c>
      <c r="N540" s="53" t="s">
        <v>838</v>
      </c>
      <c r="O540" s="47" t="s">
        <v>1171</v>
      </c>
      <c r="P540" s="47" t="s">
        <v>826</v>
      </c>
      <c r="Q540" s="47" t="s">
        <v>1173</v>
      </c>
      <c r="R540" s="47" t="s">
        <v>1174</v>
      </c>
      <c r="S540" s="47" t="s">
        <v>839</v>
      </c>
      <c r="T540" s="47" t="s">
        <v>1171</v>
      </c>
      <c r="U540" s="47" t="s">
        <v>1392</v>
      </c>
      <c r="V540" s="47" t="s">
        <v>841</v>
      </c>
      <c r="W540" s="231" t="s">
        <v>1173</v>
      </c>
      <c r="X540" s="47" t="s">
        <v>1394</v>
      </c>
      <c r="Y540" s="47" t="s">
        <v>839</v>
      </c>
      <c r="Z540" s="55"/>
      <c r="AA540" s="1"/>
      <c r="AB540" s="1"/>
      <c r="AC540" s="245"/>
      <c r="AD540" s="56"/>
      <c r="AF540" s="81"/>
      <c r="AG540" s="56"/>
      <c r="AH540" s="125"/>
      <c r="AI540" s="125"/>
      <c r="AJ540" s="125"/>
      <c r="AK540" s="125"/>
      <c r="AL540" s="127"/>
      <c r="AM540" s="125"/>
      <c r="AN540" s="125"/>
      <c r="AO540" s="128"/>
      <c r="AP540" s="125"/>
      <c r="AQ540" s="139"/>
      <c r="AR540" s="139"/>
      <c r="AS540" s="139"/>
      <c r="AT540" s="125"/>
      <c r="AU540" s="125"/>
      <c r="AV540" s="128"/>
      <c r="AW540" s="56"/>
    </row>
    <row r="541" spans="1:49" s="3" customFormat="1" ht="12" hidden="1" customHeight="1" x14ac:dyDescent="0.25">
      <c r="A541" s="1013"/>
      <c r="B541" s="36" t="s">
        <v>1175</v>
      </c>
      <c r="C541" s="222">
        <f>C548</f>
        <v>72.348051582088885</v>
      </c>
      <c r="D541" s="219">
        <f>C541*$D$5</f>
        <v>14.614306419581956</v>
      </c>
      <c r="E541" s="227" t="s">
        <v>1176</v>
      </c>
      <c r="F541" s="165"/>
      <c r="G541" s="58"/>
      <c r="H541" s="58"/>
      <c r="I541" s="2">
        <f>SUM(I542:I549)</f>
        <v>83.8536</v>
      </c>
      <c r="J541" s="59" t="s">
        <v>1176</v>
      </c>
      <c r="K541" s="169"/>
      <c r="L541" s="60"/>
      <c r="M541" s="60"/>
      <c r="N541" s="61">
        <f>SUM(N542:N549)</f>
        <v>8.4000000000000005E-2</v>
      </c>
      <c r="O541" s="60" t="s">
        <v>1176</v>
      </c>
      <c r="P541" s="60"/>
      <c r="Q541" s="62"/>
      <c r="R541" s="63"/>
      <c r="S541" s="61">
        <f>SUM(S542:S549)</f>
        <v>9.7215000000000007</v>
      </c>
      <c r="T541" s="61"/>
      <c r="U541" s="61"/>
      <c r="V541" s="61"/>
      <c r="W541" s="61"/>
      <c r="X541" s="61"/>
      <c r="Y541" s="61">
        <f>SUM(Y542:Y549)</f>
        <v>9.1999999999999998E-3</v>
      </c>
      <c r="Z541" s="64">
        <f>(C541+D541+I541+N541+S541+Y541)*$Z$5</f>
        <v>234.85375847519541</v>
      </c>
      <c r="AA541" s="65">
        <f>C541+D541+I541+N541+S541+Y541+Z541</f>
        <v>415.48441647686622</v>
      </c>
      <c r="AB541" s="66">
        <v>0.25</v>
      </c>
      <c r="AC541" s="244">
        <f>AA541*(1+AB541)</f>
        <v>519.35552059608278</v>
      </c>
      <c r="AD541" s="67"/>
      <c r="AF541" s="81"/>
      <c r="AG541" s="56"/>
      <c r="AH541" s="125"/>
      <c r="AI541" s="139"/>
      <c r="AJ541" s="140"/>
      <c r="AK541" s="141"/>
      <c r="AL541" s="127"/>
      <c r="AM541" s="142"/>
      <c r="AN541" s="143"/>
      <c r="AO541" s="142"/>
      <c r="AP541" s="139"/>
      <c r="AQ541" s="139"/>
      <c r="AR541" s="139"/>
      <c r="AS541" s="139"/>
      <c r="AT541" s="139"/>
      <c r="AU541" s="142"/>
      <c r="AV541" s="142"/>
      <c r="AW541" s="144"/>
    </row>
    <row r="542" spans="1:49" s="3" customFormat="1" ht="12.75" hidden="1" customHeight="1" x14ac:dyDescent="0.25">
      <c r="A542" s="1013"/>
      <c r="B542" s="50" t="s">
        <v>830</v>
      </c>
      <c r="C542" s="222"/>
      <c r="D542" s="220"/>
      <c r="E542" s="68" t="s">
        <v>1437</v>
      </c>
      <c r="F542" s="69" t="s">
        <v>1438</v>
      </c>
      <c r="G542" s="70">
        <v>0.74</v>
      </c>
      <c r="H542" s="69">
        <v>0.01</v>
      </c>
      <c r="I542" s="71">
        <f t="shared" ref="I542:I547" si="51">G542*H542</f>
        <v>7.4000000000000003E-3</v>
      </c>
      <c r="J542" s="59" t="s">
        <v>1291</v>
      </c>
      <c r="K542" s="61">
        <v>2</v>
      </c>
      <c r="L542" s="61">
        <v>640</v>
      </c>
      <c r="M542" s="61">
        <v>2</v>
      </c>
      <c r="N542" s="61">
        <v>0.05</v>
      </c>
      <c r="O542" s="60" t="s">
        <v>1239</v>
      </c>
      <c r="P542" s="60">
        <v>61189.5</v>
      </c>
      <c r="Q542" s="60">
        <v>19.670000000000002</v>
      </c>
      <c r="R542" s="60">
        <v>6513.87</v>
      </c>
      <c r="S542" s="60">
        <v>9.7215000000000007</v>
      </c>
      <c r="T542" s="239" t="s">
        <v>1435</v>
      </c>
      <c r="U542" s="240">
        <v>6785401.3499999996</v>
      </c>
      <c r="V542" s="241">
        <v>1.32E-2</v>
      </c>
      <c r="W542" s="239">
        <v>1508.3</v>
      </c>
      <c r="X542" s="61">
        <v>59.38</v>
      </c>
      <c r="Y542" s="60">
        <v>9.1999999999999998E-3</v>
      </c>
      <c r="Z542" s="60"/>
      <c r="AA542" s="1"/>
      <c r="AB542" s="1"/>
      <c r="AC542" s="245"/>
      <c r="AD542" s="56"/>
      <c r="AF542" s="151"/>
      <c r="AG542" s="56"/>
      <c r="AH542" s="125"/>
      <c r="AI542" s="125"/>
      <c r="AJ542" s="136"/>
      <c r="AK542" s="125"/>
      <c r="AL542" s="127"/>
      <c r="AM542" s="125"/>
      <c r="AN542" s="125"/>
      <c r="AO542" s="128"/>
      <c r="AP542" s="125"/>
      <c r="AQ542" s="125"/>
      <c r="AR542" s="128"/>
      <c r="AS542" s="128"/>
      <c r="AT542" s="125"/>
      <c r="AU542" s="125"/>
      <c r="AV542" s="128"/>
      <c r="AW542" s="56"/>
    </row>
    <row r="543" spans="1:49" s="3" customFormat="1" hidden="1" x14ac:dyDescent="0.25">
      <c r="A543" s="1013"/>
      <c r="B543" s="74" t="s">
        <v>1178</v>
      </c>
      <c r="C543" s="223">
        <f>C533</f>
        <v>38.717865870069311</v>
      </c>
      <c r="D543" s="220"/>
      <c r="E543" s="68" t="s">
        <v>1439</v>
      </c>
      <c r="F543" s="69" t="s">
        <v>1438</v>
      </c>
      <c r="G543" s="70">
        <v>0.27</v>
      </c>
      <c r="H543" s="69">
        <v>0.01</v>
      </c>
      <c r="I543" s="242">
        <f t="shared" si="51"/>
        <v>2.7000000000000001E-3</v>
      </c>
      <c r="J543" s="59" t="s">
        <v>1445</v>
      </c>
      <c r="K543" s="61">
        <v>2</v>
      </c>
      <c r="L543" s="61">
        <v>84</v>
      </c>
      <c r="M543" s="61">
        <v>2</v>
      </c>
      <c r="N543" s="61">
        <v>8.9999999999999993E-3</v>
      </c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1"/>
      <c r="AB543" s="1"/>
      <c r="AC543" s="245"/>
      <c r="AD543" s="56"/>
      <c r="AF543" s="151"/>
      <c r="AG543" s="56"/>
      <c r="AH543" s="125"/>
      <c r="AI543" s="125"/>
      <c r="AJ543" s="136"/>
      <c r="AK543" s="125"/>
      <c r="AL543" s="127"/>
      <c r="AM543" s="145"/>
      <c r="AN543" s="125"/>
      <c r="AO543" s="128"/>
      <c r="AP543" s="125"/>
      <c r="AQ543" s="125"/>
      <c r="AR543" s="128"/>
      <c r="AS543" s="128"/>
      <c r="AT543" s="125"/>
      <c r="AU543" s="125"/>
      <c r="AV543" s="128"/>
      <c r="AW543" s="56"/>
    </row>
    <row r="544" spans="1:49" s="3" customFormat="1" ht="12.75" hidden="1" customHeight="1" x14ac:dyDescent="0.25">
      <c r="A544" s="1013"/>
      <c r="B544" s="57" t="s">
        <v>1179</v>
      </c>
      <c r="C544" s="222">
        <f>C534</f>
        <v>22.420123808013045</v>
      </c>
      <c r="D544" s="220"/>
      <c r="E544" s="68" t="s">
        <v>1598</v>
      </c>
      <c r="F544" s="69" t="s">
        <v>1441</v>
      </c>
      <c r="G544" s="70">
        <v>4.4000000000000004</v>
      </c>
      <c r="H544" s="70">
        <v>1</v>
      </c>
      <c r="I544" s="71">
        <f t="shared" si="51"/>
        <v>4.4000000000000004</v>
      </c>
      <c r="J544" s="59" t="s">
        <v>1513</v>
      </c>
      <c r="K544" s="61">
        <v>2</v>
      </c>
      <c r="L544" s="61">
        <v>25</v>
      </c>
      <c r="M544" s="61">
        <v>0.5</v>
      </c>
      <c r="N544" s="61">
        <v>2.5000000000000001E-2</v>
      </c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1"/>
      <c r="AB544" s="1"/>
      <c r="AC544" s="245"/>
      <c r="AD544" s="56"/>
      <c r="AF544" s="151"/>
      <c r="AG544" s="56"/>
      <c r="AH544" s="125"/>
      <c r="AI544" s="125"/>
      <c r="AJ544" s="136"/>
      <c r="AK544" s="125"/>
      <c r="AL544" s="127"/>
      <c r="AM544" s="125"/>
      <c r="AN544" s="125"/>
      <c r="AO544" s="128"/>
      <c r="AP544" s="125"/>
      <c r="AQ544" s="125"/>
      <c r="AR544" s="128"/>
      <c r="AS544" s="128"/>
      <c r="AT544" s="125"/>
      <c r="AU544" s="125"/>
      <c r="AV544" s="128"/>
      <c r="AW544" s="56"/>
    </row>
    <row r="545" spans="1:49" s="3" customFormat="1" ht="12.75" hidden="1" customHeight="1" x14ac:dyDescent="0.25">
      <c r="A545" s="1013"/>
      <c r="B545" s="57" t="s">
        <v>831</v>
      </c>
      <c r="C545" s="224"/>
      <c r="D545" s="220"/>
      <c r="E545" s="68" t="s">
        <v>1599</v>
      </c>
      <c r="F545" s="69" t="s">
        <v>1441</v>
      </c>
      <c r="G545" s="70">
        <v>77.28</v>
      </c>
      <c r="H545" s="69">
        <v>1</v>
      </c>
      <c r="I545" s="71">
        <f t="shared" si="51"/>
        <v>77.28</v>
      </c>
      <c r="J545" s="59"/>
      <c r="K545" s="61"/>
      <c r="L545" s="61"/>
      <c r="M545" s="61"/>
      <c r="N545" s="61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1"/>
      <c r="AB545" s="1"/>
      <c r="AC545" s="245"/>
      <c r="AD545" s="56"/>
      <c r="AF545" s="151"/>
      <c r="AG545" s="56"/>
      <c r="AH545" s="125"/>
      <c r="AI545" s="125"/>
      <c r="AJ545" s="136"/>
      <c r="AK545" s="125"/>
      <c r="AL545" s="127"/>
      <c r="AM545" s="125"/>
      <c r="AN545" s="125"/>
      <c r="AO545" s="128"/>
      <c r="AP545" s="125"/>
      <c r="AQ545" s="125"/>
      <c r="AR545" s="128"/>
      <c r="AS545" s="128"/>
      <c r="AT545" s="125"/>
      <c r="AU545" s="125"/>
      <c r="AV545" s="128"/>
      <c r="AW545" s="56"/>
    </row>
    <row r="546" spans="1:49" s="3" customFormat="1" ht="12.75" hidden="1" customHeight="1" x14ac:dyDescent="0.25">
      <c r="A546" s="1013"/>
      <c r="B546" s="74" t="s">
        <v>1178</v>
      </c>
      <c r="C546" s="225">
        <v>1</v>
      </c>
      <c r="D546" s="220"/>
      <c r="E546" s="68" t="s">
        <v>1442</v>
      </c>
      <c r="F546" s="69" t="s">
        <v>1443</v>
      </c>
      <c r="G546" s="70">
        <v>419.5</v>
      </c>
      <c r="H546" s="69">
        <v>1E-3</v>
      </c>
      <c r="I546" s="71">
        <f t="shared" si="51"/>
        <v>0.41949999999999998</v>
      </c>
      <c r="J546" s="59"/>
      <c r="K546" s="61"/>
      <c r="L546" s="61"/>
      <c r="M546" s="61"/>
      <c r="N546" s="61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1"/>
      <c r="AB546" s="1"/>
      <c r="AC546" s="245"/>
      <c r="AD546" s="56"/>
      <c r="AF546" s="151"/>
      <c r="AG546" s="56"/>
      <c r="AH546" s="125"/>
      <c r="AI546" s="125"/>
      <c r="AJ546" s="146"/>
      <c r="AK546" s="125"/>
      <c r="AL546" s="127"/>
      <c r="AM546" s="125"/>
      <c r="AN546" s="125"/>
      <c r="AO546" s="128"/>
      <c r="AP546" s="125"/>
      <c r="AQ546" s="125"/>
      <c r="AR546" s="128"/>
      <c r="AS546" s="128"/>
      <c r="AT546" s="125"/>
      <c r="AU546" s="125"/>
      <c r="AV546" s="128"/>
      <c r="AW546" s="56"/>
    </row>
    <row r="547" spans="1:49" s="3" customFormat="1" ht="12.75" hidden="1" customHeight="1" x14ac:dyDescent="0.25">
      <c r="A547" s="1013"/>
      <c r="B547" s="57" t="s">
        <v>1179</v>
      </c>
      <c r="C547" s="225">
        <v>1.5</v>
      </c>
      <c r="D547" s="220"/>
      <c r="E547" s="68" t="s">
        <v>1444</v>
      </c>
      <c r="F547" s="69" t="s">
        <v>1443</v>
      </c>
      <c r="G547" s="70">
        <v>872</v>
      </c>
      <c r="H547" s="69">
        <v>2E-3</v>
      </c>
      <c r="I547" s="71">
        <f t="shared" si="51"/>
        <v>1.744</v>
      </c>
      <c r="J547" s="59"/>
      <c r="K547" s="61"/>
      <c r="L547" s="61"/>
      <c r="M547" s="61"/>
      <c r="N547" s="61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1"/>
      <c r="AB547" s="1"/>
      <c r="AC547" s="245"/>
      <c r="AD547" s="56"/>
      <c r="AF547" s="151"/>
      <c r="AG547" s="56"/>
      <c r="AH547" s="125"/>
      <c r="AI547" s="125"/>
      <c r="AJ547" s="146"/>
      <c r="AK547" s="125"/>
      <c r="AL547" s="127"/>
      <c r="AM547" s="125"/>
      <c r="AN547" s="125"/>
      <c r="AO547" s="128"/>
      <c r="AP547" s="125"/>
      <c r="AQ547" s="125"/>
      <c r="AR547" s="128"/>
      <c r="AS547" s="128"/>
      <c r="AT547" s="125"/>
      <c r="AU547" s="125"/>
      <c r="AV547" s="128"/>
      <c r="AW547" s="56"/>
    </row>
    <row r="548" spans="1:49" s="3" customFormat="1" ht="12.75" hidden="1" customHeight="1" x14ac:dyDescent="0.25">
      <c r="A548" s="1013"/>
      <c r="B548" s="79" t="s">
        <v>1181</v>
      </c>
      <c r="C548" s="222">
        <f>C543*C546+C544*C547</f>
        <v>72.348051582088885</v>
      </c>
      <c r="D548" s="220"/>
      <c r="E548" s="228"/>
      <c r="F548" s="166"/>
      <c r="G548" s="70"/>
      <c r="H548" s="69"/>
      <c r="I548" s="71"/>
      <c r="J548" s="59"/>
      <c r="K548" s="170"/>
      <c r="L548" s="76"/>
      <c r="M548" s="72"/>
      <c r="N548" s="61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1"/>
      <c r="AB548" s="1"/>
      <c r="AC548" s="245"/>
      <c r="AD548" s="56"/>
      <c r="AF548" s="151"/>
      <c r="AG548" s="56"/>
      <c r="AH548" s="125"/>
      <c r="AI548" s="125"/>
      <c r="AJ548" s="136"/>
      <c r="AK548" s="125"/>
      <c r="AL548" s="127"/>
      <c r="AM548" s="125"/>
      <c r="AN548" s="125"/>
      <c r="AO548" s="128"/>
      <c r="AP548" s="125"/>
      <c r="AQ548" s="125"/>
      <c r="AR548" s="128"/>
      <c r="AS548" s="128"/>
      <c r="AT548" s="125"/>
      <c r="AU548" s="125"/>
      <c r="AV548" s="128"/>
      <c r="AW548" s="56"/>
    </row>
    <row r="549" spans="1:49" s="3" customFormat="1" ht="13.5" hidden="1" customHeight="1" x14ac:dyDescent="0.25">
      <c r="A549" s="1014"/>
      <c r="B549" s="123"/>
      <c r="C549" s="225"/>
      <c r="D549" s="221"/>
      <c r="E549" s="228"/>
      <c r="F549" s="166"/>
      <c r="G549" s="70"/>
      <c r="H549" s="69"/>
      <c r="I549" s="71"/>
      <c r="J549" s="59"/>
      <c r="K549" s="170"/>
      <c r="L549" s="61"/>
      <c r="M549" s="72"/>
      <c r="N549" s="61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1"/>
      <c r="AB549" s="1"/>
      <c r="AC549" s="245"/>
      <c r="AD549" s="56"/>
      <c r="AF549" s="151"/>
      <c r="AG549" s="56"/>
      <c r="AH549" s="125"/>
      <c r="AI549" s="125"/>
      <c r="AJ549" s="146"/>
      <c r="AK549" s="125"/>
      <c r="AL549" s="127"/>
      <c r="AM549" s="125"/>
      <c r="AN549" s="125"/>
      <c r="AO549" s="128"/>
      <c r="AP549" s="125"/>
      <c r="AQ549" s="125"/>
      <c r="AR549" s="128"/>
      <c r="AS549" s="128"/>
      <c r="AT549" s="125"/>
      <c r="AU549" s="125"/>
      <c r="AV549" s="128"/>
      <c r="AW549" s="56"/>
    </row>
    <row r="550" spans="1:49" s="803" customFormat="1" ht="56.25" customHeight="1" x14ac:dyDescent="0.25">
      <c r="A550" s="1114" t="s">
        <v>1679</v>
      </c>
      <c r="B550" s="778" t="s">
        <v>763</v>
      </c>
      <c r="C550" s="799"/>
      <c r="D550" s="800"/>
      <c r="E550" s="801" t="s">
        <v>488</v>
      </c>
      <c r="F550" s="792" t="s">
        <v>837</v>
      </c>
      <c r="G550" s="778" t="s">
        <v>489</v>
      </c>
      <c r="H550" s="791" t="s">
        <v>1170</v>
      </c>
      <c r="I550" s="792" t="s">
        <v>838</v>
      </c>
      <c r="J550" s="793" t="s">
        <v>1171</v>
      </c>
      <c r="K550" s="793" t="s">
        <v>490</v>
      </c>
      <c r="L550" s="794" t="s">
        <v>489</v>
      </c>
      <c r="M550" s="793" t="s">
        <v>1172</v>
      </c>
      <c r="N550" s="792" t="s">
        <v>838</v>
      </c>
      <c r="O550" s="793" t="s">
        <v>1171</v>
      </c>
      <c r="P550" s="793" t="s">
        <v>826</v>
      </c>
      <c r="Q550" s="793" t="s">
        <v>1173</v>
      </c>
      <c r="R550" s="793" t="s">
        <v>1174</v>
      </c>
      <c r="S550" s="793" t="s">
        <v>839</v>
      </c>
      <c r="T550" s="793" t="s">
        <v>1171</v>
      </c>
      <c r="U550" s="793" t="s">
        <v>1392</v>
      </c>
      <c r="V550" s="793" t="s">
        <v>841</v>
      </c>
      <c r="W550" s="795" t="s">
        <v>1173</v>
      </c>
      <c r="X550" s="793" t="s">
        <v>1394</v>
      </c>
      <c r="Y550" s="793" t="s">
        <v>839</v>
      </c>
      <c r="Z550" s="796"/>
      <c r="AA550" s="755"/>
      <c r="AB550" s="755"/>
      <c r="AC550" s="773"/>
      <c r="AD550" s="802"/>
      <c r="AF550" s="804"/>
      <c r="AG550" s="802"/>
      <c r="AH550" s="805"/>
      <c r="AI550" s="805"/>
      <c r="AJ550" s="805"/>
      <c r="AK550" s="805"/>
      <c r="AL550" s="806"/>
      <c r="AM550" s="805"/>
      <c r="AN550" s="805"/>
      <c r="AO550" s="807"/>
      <c r="AP550" s="805"/>
      <c r="AQ550" s="808"/>
      <c r="AR550" s="808"/>
      <c r="AS550" s="808"/>
      <c r="AT550" s="805"/>
      <c r="AU550" s="805"/>
      <c r="AV550" s="807"/>
      <c r="AW550" s="802"/>
    </row>
    <row r="551" spans="1:49" s="803" customFormat="1" ht="12" customHeight="1" x14ac:dyDescent="0.25">
      <c r="A551" s="1115"/>
      <c r="B551" s="752" t="s">
        <v>1175</v>
      </c>
      <c r="C551" s="799">
        <f>C558</f>
        <v>122.27597935616471</v>
      </c>
      <c r="D551" s="800">
        <f>C551*$D$5</f>
        <v>24.699747829945274</v>
      </c>
      <c r="E551" s="809" t="s">
        <v>1176</v>
      </c>
      <c r="F551" s="810"/>
      <c r="G551" s="756"/>
      <c r="H551" s="756"/>
      <c r="I551" s="757">
        <f>SUM(I552:I559)</f>
        <v>83.8536</v>
      </c>
      <c r="J551" s="758" t="s">
        <v>1176</v>
      </c>
      <c r="K551" s="811"/>
      <c r="L551" s="759"/>
      <c r="M551" s="759"/>
      <c r="N551" s="760">
        <f>SUM(N552:N559)</f>
        <v>0.43869601391725277</v>
      </c>
      <c r="O551" s="759" t="s">
        <v>1176</v>
      </c>
      <c r="P551" s="759"/>
      <c r="Q551" s="812"/>
      <c r="R551" s="813"/>
      <c r="S551" s="760">
        <f>SUM(S552:S559)</f>
        <v>0.35954794140634844</v>
      </c>
      <c r="T551" s="760"/>
      <c r="U551" s="760"/>
      <c r="V551" s="760"/>
      <c r="W551" s="760"/>
      <c r="X551" s="760"/>
      <c r="Y551" s="760">
        <f>SUM(Y552:Y559)</f>
        <v>23.266383874139621</v>
      </c>
      <c r="Z551" s="762">
        <f>(C551+D551+I551+N551+S551+Y551)*$Z$5</f>
        <v>331.40998327903469</v>
      </c>
      <c r="AA551" s="763">
        <f>C551+D551+I551+N551+S551+Y551+Z551</f>
        <v>586.30393829460786</v>
      </c>
      <c r="AB551" s="764">
        <v>0.25</v>
      </c>
      <c r="AC551" s="765">
        <f>AA551*(1+AB551)</f>
        <v>732.87992286825988</v>
      </c>
      <c r="AD551" s="814"/>
      <c r="AF551" s="804"/>
      <c r="AG551" s="802"/>
      <c r="AH551" s="805"/>
      <c r="AI551" s="808"/>
      <c r="AJ551" s="815"/>
      <c r="AK551" s="816"/>
      <c r="AL551" s="806"/>
      <c r="AM551" s="817"/>
      <c r="AN551" s="818"/>
      <c r="AO551" s="817"/>
      <c r="AP551" s="808"/>
      <c r="AQ551" s="808"/>
      <c r="AR551" s="808"/>
      <c r="AS551" s="808"/>
      <c r="AT551" s="808"/>
      <c r="AU551" s="817"/>
      <c r="AV551" s="817"/>
      <c r="AW551" s="819"/>
    </row>
    <row r="552" spans="1:49" s="803" customFormat="1" ht="12.75" customHeight="1" x14ac:dyDescent="0.25">
      <c r="A552" s="1115"/>
      <c r="B552" s="766" t="s">
        <v>830</v>
      </c>
      <c r="C552" s="799"/>
      <c r="D552" s="820"/>
      <c r="E552" s="767" t="s">
        <v>1437</v>
      </c>
      <c r="F552" s="768" t="s">
        <v>1438</v>
      </c>
      <c r="G552" s="769">
        <v>0.74</v>
      </c>
      <c r="H552" s="768">
        <v>0.01</v>
      </c>
      <c r="I552" s="770">
        <f t="shared" ref="I552:I557" si="52">G552*H552</f>
        <v>7.4000000000000003E-3</v>
      </c>
      <c r="J552" s="758" t="s">
        <v>1291</v>
      </c>
      <c r="K552" s="771">
        <v>2</v>
      </c>
      <c r="L552" s="772">
        <v>750</v>
      </c>
      <c r="M552" s="771">
        <v>2</v>
      </c>
      <c r="N552" s="760">
        <f>L552/'Исп. коэффициенты'!E31*(C556+C557)</f>
        <v>0.37818621889418341</v>
      </c>
      <c r="O552" s="759" t="s">
        <v>2200</v>
      </c>
      <c r="P552" s="759">
        <v>7250</v>
      </c>
      <c r="Q552" s="759">
        <v>19.670000000000002</v>
      </c>
      <c r="R552" s="759">
        <f>P552*Q552%</f>
        <v>1426.075</v>
      </c>
      <c r="S552" s="759">
        <f>R552/'Исп. коэффициенты'!E31*C556</f>
        <v>0.35954794140634844</v>
      </c>
      <c r="T552" s="755" t="s">
        <v>1435</v>
      </c>
      <c r="U552" s="756">
        <v>6785401.3499999996</v>
      </c>
      <c r="V552" s="785">
        <f>'Исп. коэффициенты'!E124</f>
        <v>2978.5</v>
      </c>
      <c r="W552" s="761">
        <f>'Исп. коэффициенты'!D124</f>
        <v>1.3599999999999999E-2</v>
      </c>
      <c r="X552" s="760">
        <f>U552*W552</f>
        <v>92281.45835999999</v>
      </c>
      <c r="Y552" s="759">
        <f>X552/'Исп. коэффициенты'!E31*C556</f>
        <v>23.266383874139621</v>
      </c>
      <c r="Z552" s="759"/>
      <c r="AA552" s="755"/>
      <c r="AB552" s="755"/>
      <c r="AC552" s="773"/>
      <c r="AD552" s="802"/>
      <c r="AF552" s="821"/>
      <c r="AG552" s="802"/>
      <c r="AH552" s="805"/>
      <c r="AI552" s="805"/>
      <c r="AJ552" s="822"/>
      <c r="AK552" s="805"/>
      <c r="AL552" s="806"/>
      <c r="AM552" s="805"/>
      <c r="AN552" s="805"/>
      <c r="AO552" s="807"/>
      <c r="AP552" s="805"/>
      <c r="AQ552" s="805"/>
      <c r="AR552" s="807"/>
      <c r="AS552" s="807"/>
      <c r="AT552" s="805"/>
      <c r="AU552" s="805"/>
      <c r="AV552" s="807"/>
      <c r="AW552" s="802"/>
    </row>
    <row r="553" spans="1:49" s="803" customFormat="1" x14ac:dyDescent="0.25">
      <c r="A553" s="1115"/>
      <c r="B553" s="774" t="s">
        <v>1178</v>
      </c>
      <c r="C553" s="823">
        <f>C543</f>
        <v>38.717865870069311</v>
      </c>
      <c r="D553" s="820"/>
      <c r="E553" s="767" t="s">
        <v>1439</v>
      </c>
      <c r="F553" s="768" t="s">
        <v>1438</v>
      </c>
      <c r="G553" s="769">
        <v>0.27</v>
      </c>
      <c r="H553" s="768">
        <v>0.01</v>
      </c>
      <c r="I553" s="775">
        <f t="shared" si="52"/>
        <v>2.7000000000000001E-3</v>
      </c>
      <c r="J553" s="758" t="s">
        <v>1445</v>
      </c>
      <c r="K553" s="760">
        <v>2</v>
      </c>
      <c r="L553" s="776">
        <v>95</v>
      </c>
      <c r="M553" s="771">
        <v>2</v>
      </c>
      <c r="N553" s="760">
        <f>L553/'Исп. коэффициенты'!E31*(C556+C557)</f>
        <v>4.7903587726596565E-2</v>
      </c>
      <c r="O553" s="759"/>
      <c r="P553" s="759"/>
      <c r="Q553" s="759"/>
      <c r="R553" s="759"/>
      <c r="S553" s="759"/>
      <c r="T553" s="759"/>
      <c r="U553" s="759"/>
      <c r="V553" s="759"/>
      <c r="W553" s="759"/>
      <c r="X553" s="759"/>
      <c r="Y553" s="759"/>
      <c r="Z553" s="759"/>
      <c r="AA553" s="755"/>
      <c r="AB553" s="755"/>
      <c r="AC553" s="773"/>
      <c r="AD553" s="802"/>
      <c r="AF553" s="821"/>
      <c r="AG553" s="802"/>
      <c r="AH553" s="805"/>
      <c r="AI553" s="805"/>
      <c r="AJ553" s="822"/>
      <c r="AK553" s="805"/>
      <c r="AL553" s="806"/>
      <c r="AM553" s="824"/>
      <c r="AN553" s="805"/>
      <c r="AO553" s="807"/>
      <c r="AP553" s="805"/>
      <c r="AQ553" s="805"/>
      <c r="AR553" s="807"/>
      <c r="AS553" s="807"/>
      <c r="AT553" s="805"/>
      <c r="AU553" s="805"/>
      <c r="AV553" s="807"/>
      <c r="AW553" s="802"/>
    </row>
    <row r="554" spans="1:49" s="803" customFormat="1" ht="12.75" customHeight="1" x14ac:dyDescent="0.25">
      <c r="A554" s="1115"/>
      <c r="B554" s="754" t="s">
        <v>1179</v>
      </c>
      <c r="C554" s="799">
        <f>C544</f>
        <v>22.420123808013045</v>
      </c>
      <c r="D554" s="820"/>
      <c r="E554" s="767" t="s">
        <v>1598</v>
      </c>
      <c r="F554" s="768" t="s">
        <v>1441</v>
      </c>
      <c r="G554" s="769">
        <v>4.4000000000000004</v>
      </c>
      <c r="H554" s="769">
        <v>1</v>
      </c>
      <c r="I554" s="770">
        <f t="shared" si="52"/>
        <v>4.4000000000000004</v>
      </c>
      <c r="J554" s="758" t="s">
        <v>1513</v>
      </c>
      <c r="K554" s="760">
        <v>2</v>
      </c>
      <c r="L554" s="760">
        <v>25</v>
      </c>
      <c r="M554" s="771">
        <v>0.5</v>
      </c>
      <c r="N554" s="760">
        <f>L554/'Исп. коэффициенты'!E31*(C556+C557)</f>
        <v>1.2606207296472782E-2</v>
      </c>
      <c r="O554" s="759"/>
      <c r="P554" s="759"/>
      <c r="Q554" s="759"/>
      <c r="R554" s="759"/>
      <c r="S554" s="759"/>
      <c r="T554" s="759"/>
      <c r="U554" s="759"/>
      <c r="V554" s="759"/>
      <c r="W554" s="759"/>
      <c r="X554" s="759"/>
      <c r="Y554" s="759"/>
      <c r="Z554" s="759"/>
      <c r="AA554" s="755"/>
      <c r="AB554" s="755"/>
      <c r="AC554" s="773"/>
      <c r="AD554" s="802"/>
      <c r="AF554" s="821"/>
      <c r="AG554" s="802"/>
      <c r="AH554" s="805"/>
      <c r="AI554" s="805"/>
      <c r="AJ554" s="822"/>
      <c r="AK554" s="805"/>
      <c r="AL554" s="806"/>
      <c r="AM554" s="805"/>
      <c r="AN554" s="805"/>
      <c r="AO554" s="807"/>
      <c r="AP554" s="805"/>
      <c r="AQ554" s="805"/>
      <c r="AR554" s="807"/>
      <c r="AS554" s="807"/>
      <c r="AT554" s="805"/>
      <c r="AU554" s="805"/>
      <c r="AV554" s="807"/>
      <c r="AW554" s="802"/>
    </row>
    <row r="555" spans="1:49" s="803" customFormat="1" ht="12.75" customHeight="1" x14ac:dyDescent="0.25">
      <c r="A555" s="1115"/>
      <c r="B555" s="754" t="s">
        <v>831</v>
      </c>
      <c r="C555" s="825"/>
      <c r="D555" s="820"/>
      <c r="E555" s="767" t="s">
        <v>1599</v>
      </c>
      <c r="F555" s="768" t="s">
        <v>1441</v>
      </c>
      <c r="G555" s="769">
        <v>77.28</v>
      </c>
      <c r="H555" s="768">
        <v>1</v>
      </c>
      <c r="I555" s="770">
        <f t="shared" si="52"/>
        <v>77.28</v>
      </c>
      <c r="J555" s="758"/>
      <c r="K555" s="760"/>
      <c r="L555" s="760"/>
      <c r="M555" s="760"/>
      <c r="N555" s="760"/>
      <c r="O555" s="759"/>
      <c r="P555" s="759"/>
      <c r="Q555" s="759"/>
      <c r="R555" s="759"/>
      <c r="S555" s="759"/>
      <c r="T555" s="759"/>
      <c r="U555" s="759"/>
      <c r="V555" s="759"/>
      <c r="W555" s="759"/>
      <c r="X555" s="759"/>
      <c r="Y555" s="759"/>
      <c r="Z555" s="759"/>
      <c r="AA555" s="755"/>
      <c r="AB555" s="755"/>
      <c r="AC555" s="773"/>
      <c r="AD555" s="802"/>
      <c r="AF555" s="821"/>
      <c r="AG555" s="802"/>
      <c r="AH555" s="805"/>
      <c r="AI555" s="805"/>
      <c r="AJ555" s="822"/>
      <c r="AK555" s="805"/>
      <c r="AL555" s="806"/>
      <c r="AM555" s="805"/>
      <c r="AN555" s="805"/>
      <c r="AO555" s="807"/>
      <c r="AP555" s="805"/>
      <c r="AQ555" s="805"/>
      <c r="AR555" s="807"/>
      <c r="AS555" s="807"/>
      <c r="AT555" s="805"/>
      <c r="AU555" s="805"/>
      <c r="AV555" s="807"/>
      <c r="AW555" s="802"/>
    </row>
    <row r="556" spans="1:49" s="803" customFormat="1" ht="12.75" customHeight="1" x14ac:dyDescent="0.25">
      <c r="A556" s="1115"/>
      <c r="B556" s="774" t="s">
        <v>1178</v>
      </c>
      <c r="C556" s="826">
        <v>2</v>
      </c>
      <c r="D556" s="820"/>
      <c r="E556" s="767" t="s">
        <v>1442</v>
      </c>
      <c r="F556" s="768" t="s">
        <v>1443</v>
      </c>
      <c r="G556" s="769">
        <v>419.5</v>
      </c>
      <c r="H556" s="768">
        <v>1E-3</v>
      </c>
      <c r="I556" s="770">
        <f t="shared" si="52"/>
        <v>0.41949999999999998</v>
      </c>
      <c r="J556" s="758"/>
      <c r="K556" s="760"/>
      <c r="L556" s="760"/>
      <c r="M556" s="760"/>
      <c r="N556" s="760"/>
      <c r="O556" s="759"/>
      <c r="P556" s="759"/>
      <c r="Q556" s="759"/>
      <c r="R556" s="759"/>
      <c r="S556" s="759"/>
      <c r="T556" s="759"/>
      <c r="U556" s="759"/>
      <c r="V556" s="759"/>
      <c r="W556" s="759"/>
      <c r="X556" s="759"/>
      <c r="Y556" s="759"/>
      <c r="Z556" s="759"/>
      <c r="AA556" s="755"/>
      <c r="AB556" s="755"/>
      <c r="AC556" s="773"/>
      <c r="AD556" s="802"/>
      <c r="AF556" s="821"/>
      <c r="AG556" s="802"/>
      <c r="AH556" s="805"/>
      <c r="AI556" s="805"/>
      <c r="AJ556" s="827"/>
      <c r="AK556" s="805"/>
      <c r="AL556" s="806"/>
      <c r="AM556" s="805"/>
      <c r="AN556" s="805"/>
      <c r="AO556" s="807"/>
      <c r="AP556" s="805"/>
      <c r="AQ556" s="805"/>
      <c r="AR556" s="807"/>
      <c r="AS556" s="807"/>
      <c r="AT556" s="805"/>
      <c r="AU556" s="805"/>
      <c r="AV556" s="807"/>
      <c r="AW556" s="802"/>
    </row>
    <row r="557" spans="1:49" s="803" customFormat="1" ht="12.75" customHeight="1" x14ac:dyDescent="0.25">
      <c r="A557" s="1115"/>
      <c r="B557" s="754" t="s">
        <v>1179</v>
      </c>
      <c r="C557" s="826">
        <v>2</v>
      </c>
      <c r="D557" s="820"/>
      <c r="E557" s="767" t="s">
        <v>1444</v>
      </c>
      <c r="F557" s="768" t="s">
        <v>1443</v>
      </c>
      <c r="G557" s="769">
        <v>872</v>
      </c>
      <c r="H557" s="768">
        <v>2E-3</v>
      </c>
      <c r="I557" s="770">
        <f t="shared" si="52"/>
        <v>1.744</v>
      </c>
      <c r="J557" s="758"/>
      <c r="K557" s="760"/>
      <c r="L557" s="760"/>
      <c r="M557" s="760"/>
      <c r="N557" s="760"/>
      <c r="O557" s="759"/>
      <c r="P557" s="759"/>
      <c r="Q557" s="759"/>
      <c r="R557" s="759"/>
      <c r="S557" s="759"/>
      <c r="T557" s="759"/>
      <c r="U557" s="759"/>
      <c r="V557" s="759"/>
      <c r="W557" s="759"/>
      <c r="X557" s="759"/>
      <c r="Y557" s="759"/>
      <c r="Z557" s="759"/>
      <c r="AA557" s="755"/>
      <c r="AB557" s="755"/>
      <c r="AC557" s="773"/>
      <c r="AD557" s="802"/>
      <c r="AF557" s="821"/>
      <c r="AG557" s="802"/>
      <c r="AH557" s="805"/>
      <c r="AI557" s="805"/>
      <c r="AJ557" s="827"/>
      <c r="AK557" s="805"/>
      <c r="AL557" s="806"/>
      <c r="AM557" s="805"/>
      <c r="AN557" s="805"/>
      <c r="AO557" s="807"/>
      <c r="AP557" s="805"/>
      <c r="AQ557" s="805"/>
      <c r="AR557" s="807"/>
      <c r="AS557" s="807"/>
      <c r="AT557" s="805"/>
      <c r="AU557" s="805"/>
      <c r="AV557" s="807"/>
      <c r="AW557" s="802"/>
    </row>
    <row r="558" spans="1:49" s="803" customFormat="1" ht="12.75" customHeight="1" x14ac:dyDescent="0.25">
      <c r="A558" s="1115"/>
      <c r="B558" s="782" t="s">
        <v>1181</v>
      </c>
      <c r="C558" s="799">
        <f>C553*C556+C554*C557</f>
        <v>122.27597935616471</v>
      </c>
      <c r="D558" s="820"/>
      <c r="E558" s="780"/>
      <c r="F558" s="781"/>
      <c r="G558" s="769"/>
      <c r="H558" s="768"/>
      <c r="I558" s="770"/>
      <c r="J558" s="758"/>
      <c r="K558" s="828"/>
      <c r="L558" s="776"/>
      <c r="M558" s="771"/>
      <c r="N558" s="760"/>
      <c r="O558" s="759"/>
      <c r="P558" s="759"/>
      <c r="Q558" s="759"/>
      <c r="R558" s="759"/>
      <c r="S558" s="759"/>
      <c r="T558" s="759"/>
      <c r="U558" s="759"/>
      <c r="V558" s="759"/>
      <c r="W558" s="759"/>
      <c r="X558" s="759"/>
      <c r="Y558" s="759"/>
      <c r="Z558" s="759"/>
      <c r="AA558" s="755"/>
      <c r="AB558" s="755"/>
      <c r="AC558" s="773"/>
      <c r="AD558" s="802"/>
      <c r="AF558" s="821"/>
      <c r="AG558" s="802"/>
      <c r="AH558" s="805"/>
      <c r="AI558" s="805"/>
      <c r="AJ558" s="822"/>
      <c r="AK558" s="805"/>
      <c r="AL558" s="806"/>
      <c r="AM558" s="805"/>
      <c r="AN558" s="805"/>
      <c r="AO558" s="807"/>
      <c r="AP558" s="805"/>
      <c r="AQ558" s="805"/>
      <c r="AR558" s="807"/>
      <c r="AS558" s="807"/>
      <c r="AT558" s="805"/>
      <c r="AU558" s="805"/>
      <c r="AV558" s="807"/>
      <c r="AW558" s="802"/>
    </row>
    <row r="559" spans="1:49" s="803" customFormat="1" ht="13.5" customHeight="1" x14ac:dyDescent="0.25">
      <c r="A559" s="1116"/>
      <c r="B559" s="783"/>
      <c r="C559" s="826"/>
      <c r="D559" s="829"/>
      <c r="E559" s="780"/>
      <c r="F559" s="781"/>
      <c r="G559" s="769"/>
      <c r="H559" s="768"/>
      <c r="I559" s="770"/>
      <c r="J559" s="758"/>
      <c r="K559" s="828"/>
      <c r="L559" s="760"/>
      <c r="M559" s="771"/>
      <c r="N559" s="760"/>
      <c r="O559" s="759"/>
      <c r="P559" s="759"/>
      <c r="Q559" s="759"/>
      <c r="R559" s="759"/>
      <c r="S559" s="759"/>
      <c r="T559" s="759"/>
      <c r="U559" s="759"/>
      <c r="V559" s="759"/>
      <c r="W559" s="759"/>
      <c r="X559" s="759"/>
      <c r="Y559" s="759"/>
      <c r="Z559" s="759"/>
      <c r="AA559" s="755"/>
      <c r="AB559" s="755"/>
      <c r="AC559" s="773"/>
      <c r="AD559" s="802"/>
      <c r="AF559" s="821"/>
      <c r="AG559" s="802"/>
      <c r="AH559" s="805"/>
      <c r="AI559" s="805"/>
      <c r="AJ559" s="827"/>
      <c r="AK559" s="805"/>
      <c r="AL559" s="806"/>
      <c r="AM559" s="805"/>
      <c r="AN559" s="805"/>
      <c r="AO559" s="807"/>
      <c r="AP559" s="805"/>
      <c r="AQ559" s="805"/>
      <c r="AR559" s="807"/>
      <c r="AS559" s="807"/>
      <c r="AT559" s="805"/>
      <c r="AU559" s="805"/>
      <c r="AV559" s="807"/>
      <c r="AW559" s="802"/>
    </row>
    <row r="560" spans="1:49" s="803" customFormat="1" ht="56.25" customHeight="1" x14ac:dyDescent="0.25">
      <c r="A560" s="1114" t="s">
        <v>1680</v>
      </c>
      <c r="B560" s="778" t="s">
        <v>764</v>
      </c>
      <c r="C560" s="799"/>
      <c r="D560" s="800"/>
      <c r="E560" s="801" t="s">
        <v>488</v>
      </c>
      <c r="F560" s="792" t="s">
        <v>837</v>
      </c>
      <c r="G560" s="778" t="s">
        <v>489</v>
      </c>
      <c r="H560" s="791" t="s">
        <v>1170</v>
      </c>
      <c r="I560" s="792" t="s">
        <v>838</v>
      </c>
      <c r="J560" s="793" t="s">
        <v>1171</v>
      </c>
      <c r="K560" s="793" t="s">
        <v>490</v>
      </c>
      <c r="L560" s="794" t="s">
        <v>489</v>
      </c>
      <c r="M560" s="793" t="s">
        <v>1172</v>
      </c>
      <c r="N560" s="792" t="s">
        <v>838</v>
      </c>
      <c r="O560" s="793" t="s">
        <v>1171</v>
      </c>
      <c r="P560" s="793" t="s">
        <v>826</v>
      </c>
      <c r="Q560" s="793" t="s">
        <v>1173</v>
      </c>
      <c r="R560" s="793" t="s">
        <v>1174</v>
      </c>
      <c r="S560" s="793" t="s">
        <v>839</v>
      </c>
      <c r="T560" s="793" t="s">
        <v>1171</v>
      </c>
      <c r="U560" s="793" t="s">
        <v>1392</v>
      </c>
      <c r="V560" s="793" t="s">
        <v>841</v>
      </c>
      <c r="W560" s="795" t="s">
        <v>1173</v>
      </c>
      <c r="X560" s="793" t="s">
        <v>1394</v>
      </c>
      <c r="Y560" s="793" t="s">
        <v>839</v>
      </c>
      <c r="Z560" s="796"/>
      <c r="AA560" s="755"/>
      <c r="AB560" s="755"/>
      <c r="AC560" s="773"/>
      <c r="AD560" s="802"/>
      <c r="AF560" s="804"/>
      <c r="AG560" s="802"/>
      <c r="AH560" s="805"/>
      <c r="AI560" s="805"/>
      <c r="AJ560" s="805"/>
      <c r="AK560" s="805"/>
      <c r="AL560" s="806"/>
      <c r="AM560" s="805"/>
      <c r="AN560" s="805"/>
      <c r="AO560" s="807"/>
      <c r="AP560" s="805"/>
      <c r="AQ560" s="808"/>
      <c r="AR560" s="808"/>
      <c r="AS560" s="808"/>
      <c r="AT560" s="805"/>
      <c r="AU560" s="805"/>
      <c r="AV560" s="807"/>
      <c r="AW560" s="802"/>
    </row>
    <row r="561" spans="1:49" s="803" customFormat="1" ht="12" customHeight="1" x14ac:dyDescent="0.25">
      <c r="A561" s="1115"/>
      <c r="B561" s="752" t="s">
        <v>1175</v>
      </c>
      <c r="C561" s="799">
        <f>C568</f>
        <v>72.348051582088885</v>
      </c>
      <c r="D561" s="800">
        <f>C561*$D$5</f>
        <v>14.614306419581956</v>
      </c>
      <c r="E561" s="809" t="s">
        <v>1176</v>
      </c>
      <c r="F561" s="810"/>
      <c r="G561" s="756"/>
      <c r="H561" s="756"/>
      <c r="I561" s="757">
        <f>SUM(I562:I569)</f>
        <v>83.8536</v>
      </c>
      <c r="J561" s="758" t="s">
        <v>1176</v>
      </c>
      <c r="K561" s="811"/>
      <c r="L561" s="759"/>
      <c r="M561" s="759"/>
      <c r="N561" s="760">
        <f>SUM(N562:N569)</f>
        <v>0.27418500869828294</v>
      </c>
      <c r="O561" s="759" t="s">
        <v>1176</v>
      </c>
      <c r="P561" s="759"/>
      <c r="Q561" s="812"/>
      <c r="R561" s="813"/>
      <c r="S561" s="760">
        <f>SUM(S562:S569)</f>
        <v>0.17977397070317422</v>
      </c>
      <c r="T561" s="760"/>
      <c r="U561" s="760"/>
      <c r="V561" s="760"/>
      <c r="W561" s="760"/>
      <c r="X561" s="760"/>
      <c r="Y561" s="760">
        <f>SUM(Y562:Y569)</f>
        <v>11.63319193706981</v>
      </c>
      <c r="Z561" s="762">
        <f>(C561+D561+I561+N561+S561+Y561)*$Z$5</f>
        <v>237.80837118927158</v>
      </c>
      <c r="AA561" s="763">
        <f>C561+D561+I561+N561+S561+Y561+Z561</f>
        <v>420.71148010741365</v>
      </c>
      <c r="AB561" s="764">
        <v>0.25</v>
      </c>
      <c r="AC561" s="765">
        <f>AA561*(1+AB561)</f>
        <v>525.88935013426703</v>
      </c>
      <c r="AD561" s="814"/>
      <c r="AF561" s="804"/>
      <c r="AG561" s="802"/>
      <c r="AH561" s="805"/>
      <c r="AI561" s="808"/>
      <c r="AJ561" s="815"/>
      <c r="AK561" s="816"/>
      <c r="AL561" s="806"/>
      <c r="AM561" s="817"/>
      <c r="AN561" s="818"/>
      <c r="AO561" s="817"/>
      <c r="AP561" s="808"/>
      <c r="AQ561" s="808"/>
      <c r="AR561" s="808"/>
      <c r="AS561" s="808"/>
      <c r="AT561" s="808"/>
      <c r="AU561" s="817"/>
      <c r="AV561" s="817"/>
      <c r="AW561" s="819"/>
    </row>
    <row r="562" spans="1:49" s="803" customFormat="1" ht="12.75" customHeight="1" x14ac:dyDescent="0.25">
      <c r="A562" s="1115"/>
      <c r="B562" s="766" t="s">
        <v>830</v>
      </c>
      <c r="C562" s="799"/>
      <c r="D562" s="820"/>
      <c r="E562" s="767" t="s">
        <v>1437</v>
      </c>
      <c r="F562" s="768" t="s">
        <v>1438</v>
      </c>
      <c r="G562" s="769">
        <v>0.74</v>
      </c>
      <c r="H562" s="768">
        <v>0.01</v>
      </c>
      <c r="I562" s="770">
        <f t="shared" ref="I562:I567" si="53">G562*H562</f>
        <v>7.4000000000000003E-3</v>
      </c>
      <c r="J562" s="758" t="s">
        <v>1291</v>
      </c>
      <c r="K562" s="771">
        <v>2</v>
      </c>
      <c r="L562" s="772">
        <v>750</v>
      </c>
      <c r="M562" s="771">
        <v>2</v>
      </c>
      <c r="N562" s="760">
        <f>L562/'Исп. коэффициенты'!E31*(C566+C567)</f>
        <v>0.23636638680886463</v>
      </c>
      <c r="O562" s="759" t="s">
        <v>2200</v>
      </c>
      <c r="P562" s="759">
        <v>7250</v>
      </c>
      <c r="Q562" s="759">
        <v>19.670000000000002</v>
      </c>
      <c r="R562" s="759">
        <f>P562*Q562%</f>
        <v>1426.075</v>
      </c>
      <c r="S562" s="759">
        <f>R562/'Исп. коэффициенты'!E31*C566</f>
        <v>0.17977397070317422</v>
      </c>
      <c r="T562" s="755" t="s">
        <v>1435</v>
      </c>
      <c r="U562" s="756">
        <v>6785401.3499999996</v>
      </c>
      <c r="V562" s="785">
        <f>'Исп. коэффициенты'!E124</f>
        <v>2978.5</v>
      </c>
      <c r="W562" s="761">
        <f>'Исп. коэффициенты'!D124</f>
        <v>1.3599999999999999E-2</v>
      </c>
      <c r="X562" s="760">
        <f>U562*W562</f>
        <v>92281.45835999999</v>
      </c>
      <c r="Y562" s="759">
        <f>X562/'Исп. коэффициенты'!E31*C566</f>
        <v>11.63319193706981</v>
      </c>
      <c r="Z562" s="759"/>
      <c r="AA562" s="755"/>
      <c r="AB562" s="755"/>
      <c r="AC562" s="773"/>
      <c r="AD562" s="802"/>
      <c r="AF562" s="821"/>
      <c r="AG562" s="802"/>
      <c r="AH562" s="805"/>
      <c r="AI562" s="805"/>
      <c r="AJ562" s="822"/>
      <c r="AK562" s="805"/>
      <c r="AL562" s="806"/>
      <c r="AM562" s="805"/>
      <c r="AN562" s="805"/>
      <c r="AO562" s="807"/>
      <c r="AP562" s="805"/>
      <c r="AQ562" s="805"/>
      <c r="AR562" s="807"/>
      <c r="AS562" s="807"/>
      <c r="AT562" s="805"/>
      <c r="AU562" s="805"/>
      <c r="AV562" s="807"/>
      <c r="AW562" s="802"/>
    </row>
    <row r="563" spans="1:49" s="803" customFormat="1" x14ac:dyDescent="0.25">
      <c r="A563" s="1115"/>
      <c r="B563" s="774" t="s">
        <v>1178</v>
      </c>
      <c r="C563" s="823">
        <f>C553</f>
        <v>38.717865870069311</v>
      </c>
      <c r="D563" s="820"/>
      <c r="E563" s="767" t="s">
        <v>1439</v>
      </c>
      <c r="F563" s="768" t="s">
        <v>1438</v>
      </c>
      <c r="G563" s="769">
        <v>0.27</v>
      </c>
      <c r="H563" s="768">
        <v>0.01</v>
      </c>
      <c r="I563" s="775">
        <f t="shared" si="53"/>
        <v>2.7000000000000001E-3</v>
      </c>
      <c r="J563" s="758" t="s">
        <v>1445</v>
      </c>
      <c r="K563" s="760">
        <v>2</v>
      </c>
      <c r="L563" s="776">
        <v>95</v>
      </c>
      <c r="M563" s="771">
        <v>2</v>
      </c>
      <c r="N563" s="760">
        <f>L563/'Исп. коэффициенты'!E31*(C566+C567)</f>
        <v>2.9939742329122852E-2</v>
      </c>
      <c r="O563" s="759"/>
      <c r="P563" s="759"/>
      <c r="Q563" s="759"/>
      <c r="R563" s="759"/>
      <c r="S563" s="759"/>
      <c r="T563" s="759"/>
      <c r="U563" s="759"/>
      <c r="V563" s="759"/>
      <c r="W563" s="759"/>
      <c r="X563" s="759"/>
      <c r="Y563" s="759"/>
      <c r="Z563" s="759"/>
      <c r="AA563" s="755"/>
      <c r="AB563" s="755"/>
      <c r="AC563" s="773"/>
      <c r="AD563" s="802"/>
      <c r="AF563" s="821"/>
      <c r="AG563" s="802"/>
      <c r="AH563" s="805"/>
      <c r="AI563" s="805"/>
      <c r="AJ563" s="822"/>
      <c r="AK563" s="805"/>
      <c r="AL563" s="806"/>
      <c r="AM563" s="824"/>
      <c r="AN563" s="805"/>
      <c r="AO563" s="807"/>
      <c r="AP563" s="805"/>
      <c r="AQ563" s="805"/>
      <c r="AR563" s="807"/>
      <c r="AS563" s="807"/>
      <c r="AT563" s="805"/>
      <c r="AU563" s="805"/>
      <c r="AV563" s="807"/>
      <c r="AW563" s="802"/>
    </row>
    <row r="564" spans="1:49" s="803" customFormat="1" ht="12.75" customHeight="1" x14ac:dyDescent="0.25">
      <c r="A564" s="1115"/>
      <c r="B564" s="754" t="s">
        <v>1179</v>
      </c>
      <c r="C564" s="799">
        <f>C554</f>
        <v>22.420123808013045</v>
      </c>
      <c r="D564" s="820"/>
      <c r="E564" s="767" t="s">
        <v>1598</v>
      </c>
      <c r="F564" s="768" t="s">
        <v>1441</v>
      </c>
      <c r="G564" s="769">
        <v>4.4000000000000004</v>
      </c>
      <c r="H564" s="769">
        <v>1</v>
      </c>
      <c r="I564" s="770">
        <f t="shared" si="53"/>
        <v>4.4000000000000004</v>
      </c>
      <c r="J564" s="758" t="s">
        <v>1513</v>
      </c>
      <c r="K564" s="760">
        <v>2</v>
      </c>
      <c r="L564" s="760">
        <v>25</v>
      </c>
      <c r="M564" s="771">
        <v>0.5</v>
      </c>
      <c r="N564" s="760">
        <f>L564/'Исп. коэффициенты'!E31*(C566+C567)</f>
        <v>7.8788795602954889E-3</v>
      </c>
      <c r="O564" s="759"/>
      <c r="P564" s="759"/>
      <c r="Q564" s="759"/>
      <c r="R564" s="759"/>
      <c r="S564" s="759"/>
      <c r="T564" s="759"/>
      <c r="U564" s="759"/>
      <c r="V564" s="759"/>
      <c r="W564" s="759"/>
      <c r="X564" s="759"/>
      <c r="Y564" s="759"/>
      <c r="Z564" s="759"/>
      <c r="AA564" s="755"/>
      <c r="AB564" s="755"/>
      <c r="AC564" s="773"/>
      <c r="AD564" s="802"/>
      <c r="AF564" s="821"/>
      <c r="AG564" s="802"/>
      <c r="AH564" s="805"/>
      <c r="AI564" s="805"/>
      <c r="AJ564" s="822"/>
      <c r="AK564" s="805"/>
      <c r="AL564" s="806"/>
      <c r="AM564" s="805"/>
      <c r="AN564" s="805"/>
      <c r="AO564" s="807"/>
      <c r="AP564" s="805"/>
      <c r="AQ564" s="805"/>
      <c r="AR564" s="807"/>
      <c r="AS564" s="807"/>
      <c r="AT564" s="805"/>
      <c r="AU564" s="805"/>
      <c r="AV564" s="807"/>
      <c r="AW564" s="802"/>
    </row>
    <row r="565" spans="1:49" s="803" customFormat="1" ht="12.75" customHeight="1" x14ac:dyDescent="0.25">
      <c r="A565" s="1115"/>
      <c r="B565" s="754" t="s">
        <v>831</v>
      </c>
      <c r="C565" s="825"/>
      <c r="D565" s="820"/>
      <c r="E565" s="767" t="s">
        <v>1599</v>
      </c>
      <c r="F565" s="768" t="s">
        <v>1441</v>
      </c>
      <c r="G565" s="769">
        <v>77.28</v>
      </c>
      <c r="H565" s="768">
        <v>1</v>
      </c>
      <c r="I565" s="770">
        <f t="shared" si="53"/>
        <v>77.28</v>
      </c>
      <c r="J565" s="758"/>
      <c r="K565" s="760"/>
      <c r="L565" s="760"/>
      <c r="M565" s="760"/>
      <c r="N565" s="760"/>
      <c r="O565" s="759"/>
      <c r="P565" s="759"/>
      <c r="Q565" s="759"/>
      <c r="R565" s="759"/>
      <c r="S565" s="759"/>
      <c r="T565" s="759"/>
      <c r="U565" s="759"/>
      <c r="V565" s="759"/>
      <c r="W565" s="759"/>
      <c r="X565" s="759"/>
      <c r="Y565" s="759"/>
      <c r="Z565" s="759"/>
      <c r="AA565" s="755"/>
      <c r="AB565" s="755"/>
      <c r="AC565" s="773"/>
      <c r="AD565" s="802"/>
      <c r="AF565" s="821"/>
      <c r="AG565" s="802"/>
      <c r="AH565" s="805"/>
      <c r="AI565" s="805"/>
      <c r="AJ565" s="822"/>
      <c r="AK565" s="805"/>
      <c r="AL565" s="806"/>
      <c r="AM565" s="805"/>
      <c r="AN565" s="805"/>
      <c r="AO565" s="807"/>
      <c r="AP565" s="805"/>
      <c r="AQ565" s="805"/>
      <c r="AR565" s="807"/>
      <c r="AS565" s="807"/>
      <c r="AT565" s="805"/>
      <c r="AU565" s="805"/>
      <c r="AV565" s="807"/>
      <c r="AW565" s="802"/>
    </row>
    <row r="566" spans="1:49" s="803" customFormat="1" ht="12.75" customHeight="1" x14ac:dyDescent="0.25">
      <c r="A566" s="1115"/>
      <c r="B566" s="774" t="s">
        <v>1178</v>
      </c>
      <c r="C566" s="826">
        <v>1</v>
      </c>
      <c r="D566" s="820"/>
      <c r="E566" s="767" t="s">
        <v>1442</v>
      </c>
      <c r="F566" s="768" t="s">
        <v>1443</v>
      </c>
      <c r="G566" s="769">
        <v>419.5</v>
      </c>
      <c r="H566" s="768">
        <v>1E-3</v>
      </c>
      <c r="I566" s="770">
        <f t="shared" si="53"/>
        <v>0.41949999999999998</v>
      </c>
      <c r="J566" s="758"/>
      <c r="K566" s="760"/>
      <c r="L566" s="760"/>
      <c r="M566" s="760"/>
      <c r="N566" s="760"/>
      <c r="O566" s="759"/>
      <c r="P566" s="759"/>
      <c r="Q566" s="759"/>
      <c r="R566" s="759"/>
      <c r="S566" s="759"/>
      <c r="T566" s="759"/>
      <c r="U566" s="759"/>
      <c r="V566" s="759"/>
      <c r="W566" s="759"/>
      <c r="X566" s="759"/>
      <c r="Y566" s="759"/>
      <c r="Z566" s="759"/>
      <c r="AA566" s="755"/>
      <c r="AB566" s="755"/>
      <c r="AC566" s="773"/>
      <c r="AD566" s="802"/>
      <c r="AF566" s="821"/>
      <c r="AG566" s="802"/>
      <c r="AH566" s="805"/>
      <c r="AI566" s="805"/>
      <c r="AJ566" s="827"/>
      <c r="AK566" s="805"/>
      <c r="AL566" s="806"/>
      <c r="AM566" s="805"/>
      <c r="AN566" s="805"/>
      <c r="AO566" s="807"/>
      <c r="AP566" s="805"/>
      <c r="AQ566" s="805"/>
      <c r="AR566" s="807"/>
      <c r="AS566" s="807"/>
      <c r="AT566" s="805"/>
      <c r="AU566" s="805"/>
      <c r="AV566" s="807"/>
      <c r="AW566" s="802"/>
    </row>
    <row r="567" spans="1:49" s="803" customFormat="1" ht="12.75" customHeight="1" x14ac:dyDescent="0.25">
      <c r="A567" s="1115"/>
      <c r="B567" s="754" t="s">
        <v>1179</v>
      </c>
      <c r="C567" s="826">
        <v>1.5</v>
      </c>
      <c r="D567" s="820"/>
      <c r="E567" s="767" t="s">
        <v>1444</v>
      </c>
      <c r="F567" s="768" t="s">
        <v>1443</v>
      </c>
      <c r="G567" s="769">
        <v>872</v>
      </c>
      <c r="H567" s="768">
        <v>2E-3</v>
      </c>
      <c r="I567" s="770">
        <f t="shared" si="53"/>
        <v>1.744</v>
      </c>
      <c r="J567" s="758"/>
      <c r="K567" s="760"/>
      <c r="L567" s="760"/>
      <c r="M567" s="760"/>
      <c r="N567" s="760"/>
      <c r="O567" s="759"/>
      <c r="P567" s="759"/>
      <c r="Q567" s="759"/>
      <c r="R567" s="759"/>
      <c r="S567" s="759"/>
      <c r="T567" s="759"/>
      <c r="U567" s="759"/>
      <c r="V567" s="759"/>
      <c r="W567" s="759"/>
      <c r="X567" s="759"/>
      <c r="Y567" s="759"/>
      <c r="Z567" s="759"/>
      <c r="AA567" s="755"/>
      <c r="AB567" s="755"/>
      <c r="AC567" s="773"/>
      <c r="AD567" s="802"/>
      <c r="AF567" s="821"/>
      <c r="AG567" s="802"/>
      <c r="AH567" s="805"/>
      <c r="AI567" s="805"/>
      <c r="AJ567" s="827"/>
      <c r="AK567" s="805"/>
      <c r="AL567" s="806"/>
      <c r="AM567" s="805"/>
      <c r="AN567" s="805"/>
      <c r="AO567" s="807"/>
      <c r="AP567" s="805"/>
      <c r="AQ567" s="805"/>
      <c r="AR567" s="807"/>
      <c r="AS567" s="807"/>
      <c r="AT567" s="805"/>
      <c r="AU567" s="805"/>
      <c r="AV567" s="807"/>
      <c r="AW567" s="802"/>
    </row>
    <row r="568" spans="1:49" s="803" customFormat="1" ht="12.75" customHeight="1" x14ac:dyDescent="0.25">
      <c r="A568" s="1115"/>
      <c r="B568" s="782" t="s">
        <v>1181</v>
      </c>
      <c r="C568" s="799">
        <f>C563*C566+C564*C567</f>
        <v>72.348051582088885</v>
      </c>
      <c r="D568" s="820"/>
      <c r="E568" s="780"/>
      <c r="F568" s="781"/>
      <c r="G568" s="769"/>
      <c r="H568" s="768"/>
      <c r="I568" s="770"/>
      <c r="J568" s="758"/>
      <c r="K568" s="828"/>
      <c r="L568" s="776"/>
      <c r="M568" s="771"/>
      <c r="N568" s="760"/>
      <c r="O568" s="759"/>
      <c r="P568" s="759"/>
      <c r="Q568" s="759"/>
      <c r="R568" s="759"/>
      <c r="S568" s="759"/>
      <c r="T568" s="759"/>
      <c r="U568" s="759"/>
      <c r="V568" s="759"/>
      <c r="W568" s="759"/>
      <c r="X568" s="759"/>
      <c r="Y568" s="759"/>
      <c r="Z568" s="759"/>
      <c r="AA568" s="755"/>
      <c r="AB568" s="755"/>
      <c r="AC568" s="773"/>
      <c r="AD568" s="802"/>
      <c r="AF568" s="821"/>
      <c r="AG568" s="802"/>
      <c r="AH568" s="805"/>
      <c r="AI568" s="805"/>
      <c r="AJ568" s="822"/>
      <c r="AK568" s="805"/>
      <c r="AL568" s="806"/>
      <c r="AM568" s="805"/>
      <c r="AN568" s="805"/>
      <c r="AO568" s="807"/>
      <c r="AP568" s="805"/>
      <c r="AQ568" s="805"/>
      <c r="AR568" s="807"/>
      <c r="AS568" s="807"/>
      <c r="AT568" s="805"/>
      <c r="AU568" s="805"/>
      <c r="AV568" s="807"/>
      <c r="AW568" s="802"/>
    </row>
    <row r="569" spans="1:49" s="803" customFormat="1" ht="13.5" customHeight="1" x14ac:dyDescent="0.25">
      <c r="A569" s="1116"/>
      <c r="B569" s="783"/>
      <c r="C569" s="826"/>
      <c r="D569" s="829"/>
      <c r="E569" s="780"/>
      <c r="F569" s="781"/>
      <c r="G569" s="769"/>
      <c r="H569" s="768"/>
      <c r="I569" s="770"/>
      <c r="J569" s="758"/>
      <c r="K569" s="828"/>
      <c r="L569" s="760"/>
      <c r="M569" s="771"/>
      <c r="N569" s="760"/>
      <c r="O569" s="759"/>
      <c r="P569" s="759"/>
      <c r="Q569" s="759"/>
      <c r="R569" s="759"/>
      <c r="S569" s="759"/>
      <c r="T569" s="759"/>
      <c r="U569" s="759"/>
      <c r="V569" s="759"/>
      <c r="W569" s="759"/>
      <c r="X569" s="759"/>
      <c r="Y569" s="759"/>
      <c r="Z569" s="759"/>
      <c r="AA569" s="755"/>
      <c r="AB569" s="755"/>
      <c r="AC569" s="773"/>
      <c r="AD569" s="802"/>
      <c r="AF569" s="821"/>
      <c r="AG569" s="802"/>
      <c r="AH569" s="805"/>
      <c r="AI569" s="805"/>
      <c r="AJ569" s="827"/>
      <c r="AK569" s="805"/>
      <c r="AL569" s="806"/>
      <c r="AM569" s="805"/>
      <c r="AN569" s="805"/>
      <c r="AO569" s="807"/>
      <c r="AP569" s="805"/>
      <c r="AQ569" s="805"/>
      <c r="AR569" s="807"/>
      <c r="AS569" s="807"/>
      <c r="AT569" s="805"/>
      <c r="AU569" s="805"/>
      <c r="AV569" s="807"/>
      <c r="AW569" s="802"/>
    </row>
    <row r="570" spans="1:49" s="3" customFormat="1" ht="56.25" hidden="1" customHeight="1" x14ac:dyDescent="0.25">
      <c r="A570" s="1012" t="s">
        <v>1681</v>
      </c>
      <c r="B570" s="258" t="s">
        <v>765</v>
      </c>
      <c r="C570" s="222"/>
      <c r="D570" s="219"/>
      <c r="E570" s="226" t="s">
        <v>488</v>
      </c>
      <c r="F570" s="53" t="s">
        <v>837</v>
      </c>
      <c r="G570" s="51" t="s">
        <v>489</v>
      </c>
      <c r="H570" s="52" t="s">
        <v>1170</v>
      </c>
      <c r="I570" s="53" t="s">
        <v>838</v>
      </c>
      <c r="J570" s="47" t="s">
        <v>1171</v>
      </c>
      <c r="K570" s="47" t="s">
        <v>490</v>
      </c>
      <c r="L570" s="54" t="s">
        <v>489</v>
      </c>
      <c r="M570" s="47" t="s">
        <v>1172</v>
      </c>
      <c r="N570" s="53" t="s">
        <v>838</v>
      </c>
      <c r="O570" s="47" t="s">
        <v>1171</v>
      </c>
      <c r="P570" s="47" t="s">
        <v>826</v>
      </c>
      <c r="Q570" s="47" t="s">
        <v>1173</v>
      </c>
      <c r="R570" s="47" t="s">
        <v>1174</v>
      </c>
      <c r="S570" s="47" t="s">
        <v>839</v>
      </c>
      <c r="T570" s="47" t="s">
        <v>1171</v>
      </c>
      <c r="U570" s="47" t="s">
        <v>1392</v>
      </c>
      <c r="V570" s="47" t="s">
        <v>841</v>
      </c>
      <c r="W570" s="231" t="s">
        <v>1173</v>
      </c>
      <c r="X570" s="47" t="s">
        <v>1394</v>
      </c>
      <c r="Y570" s="47" t="s">
        <v>839</v>
      </c>
      <c r="Z570" s="55"/>
      <c r="AA570" s="1"/>
      <c r="AB570" s="1"/>
      <c r="AC570" s="245"/>
      <c r="AD570" s="56"/>
      <c r="AF570" s="81"/>
      <c r="AG570" s="56"/>
      <c r="AH570" s="125"/>
      <c r="AI570" s="125"/>
      <c r="AJ570" s="125"/>
      <c r="AK570" s="125"/>
      <c r="AL570" s="127"/>
      <c r="AM570" s="125"/>
      <c r="AN570" s="125"/>
      <c r="AO570" s="128"/>
      <c r="AP570" s="125"/>
      <c r="AQ570" s="139"/>
      <c r="AR570" s="139"/>
      <c r="AS570" s="139"/>
      <c r="AT570" s="125"/>
      <c r="AU570" s="125"/>
      <c r="AV570" s="128"/>
      <c r="AW570" s="56"/>
    </row>
    <row r="571" spans="1:49" s="3" customFormat="1" ht="12" hidden="1" customHeight="1" x14ac:dyDescent="0.25">
      <c r="A571" s="1013"/>
      <c r="B571" s="36" t="s">
        <v>1175</v>
      </c>
      <c r="C571" s="222">
        <f>C578</f>
        <v>72.348051582088885</v>
      </c>
      <c r="D571" s="219">
        <f>C571*$D$5</f>
        <v>14.614306419581956</v>
      </c>
      <c r="E571" s="227" t="s">
        <v>1176</v>
      </c>
      <c r="F571" s="165"/>
      <c r="G571" s="58"/>
      <c r="H571" s="58"/>
      <c r="I571" s="2">
        <f>SUM(I572:I579)</f>
        <v>83.8536</v>
      </c>
      <c r="J571" s="59" t="s">
        <v>1176</v>
      </c>
      <c r="K571" s="169"/>
      <c r="L571" s="60"/>
      <c r="M571" s="60"/>
      <c r="N571" s="61">
        <f>SUM(N572:N579)</f>
        <v>8.4000000000000005E-2</v>
      </c>
      <c r="O571" s="60" t="s">
        <v>1176</v>
      </c>
      <c r="P571" s="60"/>
      <c r="Q571" s="62"/>
      <c r="R571" s="63"/>
      <c r="S571" s="61">
        <f>SUM(S572:S579)</f>
        <v>9.7215000000000007</v>
      </c>
      <c r="T571" s="61"/>
      <c r="U571" s="61"/>
      <c r="V571" s="61"/>
      <c r="W571" s="61"/>
      <c r="X571" s="61"/>
      <c r="Y571" s="61">
        <f>SUM(Y572:Y579)</f>
        <v>9.1999999999999998E-3</v>
      </c>
      <c r="Z571" s="64">
        <f>(C571+D571+I571+N571+S571+Y571)*$Z$5</f>
        <v>234.85375847519541</v>
      </c>
      <c r="AA571" s="65">
        <f>C571+D571+I571+N571+S571+Y571+Z571</f>
        <v>415.48441647686622</v>
      </c>
      <c r="AB571" s="66">
        <v>0.25</v>
      </c>
      <c r="AC571" s="244">
        <f>AA571*(1+AB571)</f>
        <v>519.35552059608278</v>
      </c>
      <c r="AD571" s="67"/>
      <c r="AF571" s="81"/>
      <c r="AG571" s="56"/>
      <c r="AH571" s="125"/>
      <c r="AI571" s="139"/>
      <c r="AJ571" s="140"/>
      <c r="AK571" s="141"/>
      <c r="AL571" s="127"/>
      <c r="AM571" s="142"/>
      <c r="AN571" s="143"/>
      <c r="AO571" s="142"/>
      <c r="AP571" s="139"/>
      <c r="AQ571" s="139"/>
      <c r="AR571" s="139"/>
      <c r="AS571" s="139"/>
      <c r="AT571" s="139"/>
      <c r="AU571" s="142"/>
      <c r="AV571" s="142"/>
      <c r="AW571" s="144"/>
    </row>
    <row r="572" spans="1:49" s="3" customFormat="1" ht="12.75" hidden="1" customHeight="1" x14ac:dyDescent="0.25">
      <c r="A572" s="1013"/>
      <c r="B572" s="50" t="s">
        <v>830</v>
      </c>
      <c r="C572" s="222"/>
      <c r="D572" s="220"/>
      <c r="E572" s="68" t="s">
        <v>1437</v>
      </c>
      <c r="F572" s="69" t="s">
        <v>1438</v>
      </c>
      <c r="G572" s="70">
        <v>0.74</v>
      </c>
      <c r="H572" s="69">
        <v>0.01</v>
      </c>
      <c r="I572" s="71">
        <f t="shared" ref="I572:I577" si="54">G572*H572</f>
        <v>7.4000000000000003E-3</v>
      </c>
      <c r="J572" s="59" t="s">
        <v>1291</v>
      </c>
      <c r="K572" s="61">
        <v>2</v>
      </c>
      <c r="L572" s="61">
        <v>640</v>
      </c>
      <c r="M572" s="61">
        <v>2</v>
      </c>
      <c r="N572" s="61">
        <v>0.05</v>
      </c>
      <c r="O572" s="60" t="s">
        <v>1239</v>
      </c>
      <c r="P572" s="60">
        <v>61189.5</v>
      </c>
      <c r="Q572" s="60">
        <v>19.670000000000002</v>
      </c>
      <c r="R572" s="60">
        <v>6513.87</v>
      </c>
      <c r="S572" s="60">
        <v>9.7215000000000007</v>
      </c>
      <c r="T572" s="239" t="s">
        <v>1435</v>
      </c>
      <c r="U572" s="240">
        <v>6785401.3499999996</v>
      </c>
      <c r="V572" s="241">
        <v>1.32E-2</v>
      </c>
      <c r="W572" s="239">
        <v>1508.3</v>
      </c>
      <c r="X572" s="61">
        <v>59.38</v>
      </c>
      <c r="Y572" s="60">
        <v>9.1999999999999998E-3</v>
      </c>
      <c r="Z572" s="60"/>
      <c r="AA572" s="1"/>
      <c r="AB572" s="1"/>
      <c r="AC572" s="245"/>
      <c r="AD572" s="56"/>
      <c r="AF572" s="151"/>
      <c r="AG572" s="56"/>
      <c r="AH572" s="125"/>
      <c r="AI572" s="125"/>
      <c r="AJ572" s="136"/>
      <c r="AK572" s="125"/>
      <c r="AL572" s="127"/>
      <c r="AM572" s="125"/>
      <c r="AN572" s="125"/>
      <c r="AO572" s="128"/>
      <c r="AP572" s="125"/>
      <c r="AQ572" s="125"/>
      <c r="AR572" s="128"/>
      <c r="AS572" s="128"/>
      <c r="AT572" s="125"/>
      <c r="AU572" s="125"/>
      <c r="AV572" s="128"/>
      <c r="AW572" s="56"/>
    </row>
    <row r="573" spans="1:49" s="3" customFormat="1" hidden="1" x14ac:dyDescent="0.25">
      <c r="A573" s="1013"/>
      <c r="B573" s="74" t="s">
        <v>1178</v>
      </c>
      <c r="C573" s="223">
        <f>C563</f>
        <v>38.717865870069311</v>
      </c>
      <c r="D573" s="220"/>
      <c r="E573" s="68" t="s">
        <v>1439</v>
      </c>
      <c r="F573" s="69" t="s">
        <v>1438</v>
      </c>
      <c r="G573" s="70">
        <v>0.27</v>
      </c>
      <c r="H573" s="69">
        <v>0.01</v>
      </c>
      <c r="I573" s="242">
        <f t="shared" si="54"/>
        <v>2.7000000000000001E-3</v>
      </c>
      <c r="J573" s="59" t="s">
        <v>1445</v>
      </c>
      <c r="K573" s="61">
        <v>2</v>
      </c>
      <c r="L573" s="61">
        <v>84</v>
      </c>
      <c r="M573" s="61">
        <v>2</v>
      </c>
      <c r="N573" s="61">
        <v>8.9999999999999993E-3</v>
      </c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1"/>
      <c r="AB573" s="1"/>
      <c r="AC573" s="245"/>
      <c r="AD573" s="56"/>
      <c r="AF573" s="151"/>
      <c r="AG573" s="56"/>
      <c r="AH573" s="125"/>
      <c r="AI573" s="125"/>
      <c r="AJ573" s="136"/>
      <c r="AK573" s="125"/>
      <c r="AL573" s="127"/>
      <c r="AM573" s="145"/>
      <c r="AN573" s="125"/>
      <c r="AO573" s="128"/>
      <c r="AP573" s="125"/>
      <c r="AQ573" s="125"/>
      <c r="AR573" s="128"/>
      <c r="AS573" s="128"/>
      <c r="AT573" s="125"/>
      <c r="AU573" s="125"/>
      <c r="AV573" s="128"/>
      <c r="AW573" s="56"/>
    </row>
    <row r="574" spans="1:49" s="3" customFormat="1" ht="12.75" hidden="1" customHeight="1" x14ac:dyDescent="0.25">
      <c r="A574" s="1013"/>
      <c r="B574" s="57" t="s">
        <v>1179</v>
      </c>
      <c r="C574" s="222">
        <f>C564</f>
        <v>22.420123808013045</v>
      </c>
      <c r="D574" s="220"/>
      <c r="E574" s="68" t="s">
        <v>1598</v>
      </c>
      <c r="F574" s="69" t="s">
        <v>1441</v>
      </c>
      <c r="G574" s="70">
        <v>4.4000000000000004</v>
      </c>
      <c r="H574" s="70">
        <v>1</v>
      </c>
      <c r="I574" s="71">
        <f t="shared" si="54"/>
        <v>4.4000000000000004</v>
      </c>
      <c r="J574" s="59" t="s">
        <v>1513</v>
      </c>
      <c r="K574" s="61">
        <v>2</v>
      </c>
      <c r="L574" s="61">
        <v>25</v>
      </c>
      <c r="M574" s="61">
        <v>0.5</v>
      </c>
      <c r="N574" s="61">
        <v>2.5000000000000001E-2</v>
      </c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1"/>
      <c r="AB574" s="1"/>
      <c r="AC574" s="245"/>
      <c r="AD574" s="56"/>
      <c r="AF574" s="151"/>
      <c r="AG574" s="56"/>
      <c r="AH574" s="125"/>
      <c r="AI574" s="125"/>
      <c r="AJ574" s="136"/>
      <c r="AK574" s="125"/>
      <c r="AL574" s="127"/>
      <c r="AM574" s="125"/>
      <c r="AN574" s="125"/>
      <c r="AO574" s="128"/>
      <c r="AP574" s="125"/>
      <c r="AQ574" s="125"/>
      <c r="AR574" s="128"/>
      <c r="AS574" s="128"/>
      <c r="AT574" s="125"/>
      <c r="AU574" s="125"/>
      <c r="AV574" s="128"/>
      <c r="AW574" s="56"/>
    </row>
    <row r="575" spans="1:49" s="3" customFormat="1" ht="12.75" hidden="1" customHeight="1" x14ac:dyDescent="0.25">
      <c r="A575" s="1013"/>
      <c r="B575" s="57" t="s">
        <v>831</v>
      </c>
      <c r="C575" s="224"/>
      <c r="D575" s="220"/>
      <c r="E575" s="68" t="s">
        <v>1599</v>
      </c>
      <c r="F575" s="69" t="s">
        <v>1441</v>
      </c>
      <c r="G575" s="70">
        <v>77.28</v>
      </c>
      <c r="H575" s="69">
        <v>1</v>
      </c>
      <c r="I575" s="71">
        <f t="shared" si="54"/>
        <v>77.28</v>
      </c>
      <c r="J575" s="59"/>
      <c r="K575" s="61"/>
      <c r="L575" s="61"/>
      <c r="M575" s="61"/>
      <c r="N575" s="61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1"/>
      <c r="AB575" s="1"/>
      <c r="AC575" s="245"/>
      <c r="AD575" s="56"/>
      <c r="AF575" s="151"/>
      <c r="AG575" s="56"/>
      <c r="AH575" s="125"/>
      <c r="AI575" s="125"/>
      <c r="AJ575" s="136"/>
      <c r="AK575" s="125"/>
      <c r="AL575" s="127"/>
      <c r="AM575" s="125"/>
      <c r="AN575" s="125"/>
      <c r="AO575" s="128"/>
      <c r="AP575" s="125"/>
      <c r="AQ575" s="125"/>
      <c r="AR575" s="128"/>
      <c r="AS575" s="128"/>
      <c r="AT575" s="125"/>
      <c r="AU575" s="125"/>
      <c r="AV575" s="128"/>
      <c r="AW575" s="56"/>
    </row>
    <row r="576" spans="1:49" s="3" customFormat="1" ht="12.75" hidden="1" customHeight="1" x14ac:dyDescent="0.25">
      <c r="A576" s="1013"/>
      <c r="B576" s="74" t="s">
        <v>1178</v>
      </c>
      <c r="C576" s="225">
        <v>1</v>
      </c>
      <c r="D576" s="220"/>
      <c r="E576" s="68" t="s">
        <v>1442</v>
      </c>
      <c r="F576" s="69" t="s">
        <v>1443</v>
      </c>
      <c r="G576" s="70">
        <v>419.5</v>
      </c>
      <c r="H576" s="69">
        <v>1E-3</v>
      </c>
      <c r="I576" s="71">
        <f t="shared" si="54"/>
        <v>0.41949999999999998</v>
      </c>
      <c r="J576" s="59"/>
      <c r="K576" s="61"/>
      <c r="L576" s="61"/>
      <c r="M576" s="61"/>
      <c r="N576" s="61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1"/>
      <c r="AB576" s="1"/>
      <c r="AC576" s="245"/>
      <c r="AD576" s="56"/>
      <c r="AF576" s="151"/>
      <c r="AG576" s="56"/>
      <c r="AH576" s="125"/>
      <c r="AI576" s="125"/>
      <c r="AJ576" s="146"/>
      <c r="AK576" s="125"/>
      <c r="AL576" s="127"/>
      <c r="AM576" s="125"/>
      <c r="AN576" s="125"/>
      <c r="AO576" s="128"/>
      <c r="AP576" s="125"/>
      <c r="AQ576" s="125"/>
      <c r="AR576" s="128"/>
      <c r="AS576" s="128"/>
      <c r="AT576" s="125"/>
      <c r="AU576" s="125"/>
      <c r="AV576" s="128"/>
      <c r="AW576" s="56"/>
    </row>
    <row r="577" spans="1:49" s="3" customFormat="1" ht="12.75" hidden="1" customHeight="1" x14ac:dyDescent="0.25">
      <c r="A577" s="1013"/>
      <c r="B577" s="57" t="s">
        <v>1179</v>
      </c>
      <c r="C577" s="225">
        <v>1.5</v>
      </c>
      <c r="D577" s="220"/>
      <c r="E577" s="68" t="s">
        <v>1444</v>
      </c>
      <c r="F577" s="69" t="s">
        <v>1443</v>
      </c>
      <c r="G577" s="70">
        <v>872</v>
      </c>
      <c r="H577" s="69">
        <v>2E-3</v>
      </c>
      <c r="I577" s="71">
        <f t="shared" si="54"/>
        <v>1.744</v>
      </c>
      <c r="J577" s="59"/>
      <c r="K577" s="61"/>
      <c r="L577" s="61"/>
      <c r="M577" s="61"/>
      <c r="N577" s="61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1"/>
      <c r="AB577" s="1"/>
      <c r="AC577" s="245"/>
      <c r="AD577" s="56"/>
      <c r="AF577" s="151"/>
      <c r="AG577" s="56"/>
      <c r="AH577" s="125"/>
      <c r="AI577" s="125"/>
      <c r="AJ577" s="146"/>
      <c r="AK577" s="125"/>
      <c r="AL577" s="127"/>
      <c r="AM577" s="125"/>
      <c r="AN577" s="125"/>
      <c r="AO577" s="128"/>
      <c r="AP577" s="125"/>
      <c r="AQ577" s="125"/>
      <c r="AR577" s="128"/>
      <c r="AS577" s="128"/>
      <c r="AT577" s="125"/>
      <c r="AU577" s="125"/>
      <c r="AV577" s="128"/>
      <c r="AW577" s="56"/>
    </row>
    <row r="578" spans="1:49" s="3" customFormat="1" ht="12.75" hidden="1" customHeight="1" x14ac:dyDescent="0.25">
      <c r="A578" s="1013"/>
      <c r="B578" s="79" t="s">
        <v>1181</v>
      </c>
      <c r="C578" s="222">
        <f>C573*C576+C574*C577</f>
        <v>72.348051582088885</v>
      </c>
      <c r="D578" s="220"/>
      <c r="E578" s="228"/>
      <c r="F578" s="166"/>
      <c r="G578" s="70"/>
      <c r="H578" s="69"/>
      <c r="I578" s="71"/>
      <c r="J578" s="59"/>
      <c r="K578" s="170"/>
      <c r="L578" s="76"/>
      <c r="M578" s="72"/>
      <c r="N578" s="61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1"/>
      <c r="AB578" s="1"/>
      <c r="AC578" s="245"/>
      <c r="AD578" s="56"/>
      <c r="AF578" s="151"/>
      <c r="AG578" s="56"/>
      <c r="AH578" s="125"/>
      <c r="AI578" s="125"/>
      <c r="AJ578" s="136"/>
      <c r="AK578" s="125"/>
      <c r="AL578" s="127"/>
      <c r="AM578" s="125"/>
      <c r="AN578" s="125"/>
      <c r="AO578" s="128"/>
      <c r="AP578" s="125"/>
      <c r="AQ578" s="125"/>
      <c r="AR578" s="128"/>
      <c r="AS578" s="128"/>
      <c r="AT578" s="125"/>
      <c r="AU578" s="125"/>
      <c r="AV578" s="128"/>
      <c r="AW578" s="56"/>
    </row>
    <row r="579" spans="1:49" s="3" customFormat="1" ht="13.5" hidden="1" customHeight="1" x14ac:dyDescent="0.25">
      <c r="A579" s="1014"/>
      <c r="B579" s="123"/>
      <c r="C579" s="225"/>
      <c r="D579" s="221"/>
      <c r="E579" s="228"/>
      <c r="F579" s="166"/>
      <c r="G579" s="70"/>
      <c r="H579" s="69"/>
      <c r="I579" s="71"/>
      <c r="J579" s="59"/>
      <c r="K579" s="170"/>
      <c r="L579" s="61"/>
      <c r="M579" s="72"/>
      <c r="N579" s="61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1"/>
      <c r="AB579" s="1"/>
      <c r="AC579" s="245"/>
      <c r="AD579" s="56"/>
      <c r="AF579" s="151"/>
      <c r="AG579" s="56"/>
      <c r="AH579" s="125"/>
      <c r="AI579" s="125"/>
      <c r="AJ579" s="146"/>
      <c r="AK579" s="125"/>
      <c r="AL579" s="127"/>
      <c r="AM579" s="125"/>
      <c r="AN579" s="125"/>
      <c r="AO579" s="128"/>
      <c r="AP579" s="125"/>
      <c r="AQ579" s="125"/>
      <c r="AR579" s="128"/>
      <c r="AS579" s="128"/>
      <c r="AT579" s="125"/>
      <c r="AU579" s="125"/>
      <c r="AV579" s="128"/>
      <c r="AW579" s="56"/>
    </row>
    <row r="580" spans="1:49" s="3" customFormat="1" ht="56.25" hidden="1" customHeight="1" x14ac:dyDescent="0.25">
      <c r="A580" s="1012" t="s">
        <v>1682</v>
      </c>
      <c r="B580" s="258" t="s">
        <v>766</v>
      </c>
      <c r="C580" s="222"/>
      <c r="D580" s="219"/>
      <c r="E580" s="226" t="s">
        <v>488</v>
      </c>
      <c r="F580" s="53" t="s">
        <v>837</v>
      </c>
      <c r="G580" s="51" t="s">
        <v>489</v>
      </c>
      <c r="H580" s="52" t="s">
        <v>1170</v>
      </c>
      <c r="I580" s="53" t="s">
        <v>838</v>
      </c>
      <c r="J580" s="47" t="s">
        <v>1171</v>
      </c>
      <c r="K580" s="47" t="s">
        <v>490</v>
      </c>
      <c r="L580" s="54" t="s">
        <v>489</v>
      </c>
      <c r="M580" s="47" t="s">
        <v>1172</v>
      </c>
      <c r="N580" s="53" t="s">
        <v>838</v>
      </c>
      <c r="O580" s="47" t="s">
        <v>1171</v>
      </c>
      <c r="P580" s="47" t="s">
        <v>826</v>
      </c>
      <c r="Q580" s="47" t="s">
        <v>1173</v>
      </c>
      <c r="R580" s="47" t="s">
        <v>1174</v>
      </c>
      <c r="S580" s="47" t="s">
        <v>839</v>
      </c>
      <c r="T580" s="47" t="s">
        <v>1171</v>
      </c>
      <c r="U580" s="47" t="s">
        <v>1392</v>
      </c>
      <c r="V580" s="47" t="s">
        <v>841</v>
      </c>
      <c r="W580" s="231" t="s">
        <v>1173</v>
      </c>
      <c r="X580" s="47" t="s">
        <v>1394</v>
      </c>
      <c r="Y580" s="47" t="s">
        <v>839</v>
      </c>
      <c r="Z580" s="55"/>
      <c r="AA580" s="1"/>
      <c r="AB580" s="1"/>
      <c r="AC580" s="245"/>
      <c r="AD580" s="56"/>
      <c r="AF580" s="81"/>
      <c r="AG580" s="56"/>
      <c r="AH580" s="125"/>
      <c r="AI580" s="125"/>
      <c r="AJ580" s="125"/>
      <c r="AK580" s="125"/>
      <c r="AL580" s="127"/>
      <c r="AM580" s="125"/>
      <c r="AN580" s="125"/>
      <c r="AO580" s="128"/>
      <c r="AP580" s="125"/>
      <c r="AQ580" s="139"/>
      <c r="AR580" s="139"/>
      <c r="AS580" s="139"/>
      <c r="AT580" s="125"/>
      <c r="AU580" s="125"/>
      <c r="AV580" s="128"/>
      <c r="AW580" s="56"/>
    </row>
    <row r="581" spans="1:49" s="3" customFormat="1" ht="12" hidden="1" customHeight="1" x14ac:dyDescent="0.25">
      <c r="A581" s="1013"/>
      <c r="B581" s="36" t="s">
        <v>1175</v>
      </c>
      <c r="C581" s="222">
        <f>C588</f>
        <v>72.348051582088885</v>
      </c>
      <c r="D581" s="219">
        <f>C581*$D$5</f>
        <v>14.614306419581956</v>
      </c>
      <c r="E581" s="227" t="s">
        <v>1176</v>
      </c>
      <c r="F581" s="165"/>
      <c r="G581" s="58"/>
      <c r="H581" s="58"/>
      <c r="I581" s="2">
        <f>SUM(I582:I589)</f>
        <v>83.8536</v>
      </c>
      <c r="J581" s="59" t="s">
        <v>1176</v>
      </c>
      <c r="K581" s="169"/>
      <c r="L581" s="60"/>
      <c r="M581" s="60"/>
      <c r="N581" s="61">
        <f>SUM(N582:N589)</f>
        <v>0.27418500869828294</v>
      </c>
      <c r="O581" s="60" t="s">
        <v>1176</v>
      </c>
      <c r="P581" s="60"/>
      <c r="Q581" s="62"/>
      <c r="R581" s="63"/>
      <c r="S581" s="61">
        <f>SUM(S582:S589)</f>
        <v>0.17977397070317422</v>
      </c>
      <c r="T581" s="61"/>
      <c r="U581" s="61"/>
      <c r="V581" s="61"/>
      <c r="W581" s="61"/>
      <c r="X581" s="61"/>
      <c r="Y581" s="61">
        <f>SUM(Y582:Y589)</f>
        <v>11.63319193706981</v>
      </c>
      <c r="Z581" s="64">
        <f>(C581+D581+I581+N581+S581+Y581)*$Z$5</f>
        <v>237.80837118927158</v>
      </c>
      <c r="AA581" s="65">
        <f>C581+D581+I581+N581+S581+Y581+Z581</f>
        <v>420.71148010741365</v>
      </c>
      <c r="AB581" s="66">
        <v>0.25</v>
      </c>
      <c r="AC581" s="244">
        <f>AA581*(1+AB581)</f>
        <v>525.88935013426703</v>
      </c>
      <c r="AD581" s="67"/>
      <c r="AF581" s="81"/>
      <c r="AG581" s="56"/>
      <c r="AH581" s="125"/>
      <c r="AI581" s="139"/>
      <c r="AJ581" s="140"/>
      <c r="AK581" s="141"/>
      <c r="AL581" s="127"/>
      <c r="AM581" s="142"/>
      <c r="AN581" s="143"/>
      <c r="AO581" s="142"/>
      <c r="AP581" s="139"/>
      <c r="AQ581" s="139"/>
      <c r="AR581" s="139"/>
      <c r="AS581" s="139"/>
      <c r="AT581" s="139"/>
      <c r="AU581" s="142"/>
      <c r="AV581" s="142"/>
      <c r="AW581" s="144"/>
    </row>
    <row r="582" spans="1:49" s="3" customFormat="1" ht="12.75" hidden="1" customHeight="1" x14ac:dyDescent="0.25">
      <c r="A582" s="1013"/>
      <c r="B582" s="50" t="s">
        <v>830</v>
      </c>
      <c r="C582" s="222"/>
      <c r="D582" s="220"/>
      <c r="E582" s="68" t="s">
        <v>1437</v>
      </c>
      <c r="F582" s="69" t="s">
        <v>1438</v>
      </c>
      <c r="G582" s="70">
        <v>0.74</v>
      </c>
      <c r="H582" s="69">
        <v>0.01</v>
      </c>
      <c r="I582" s="71">
        <f t="shared" ref="I582:I587" si="55">G582*H582</f>
        <v>7.4000000000000003E-3</v>
      </c>
      <c r="J582" s="758" t="s">
        <v>1291</v>
      </c>
      <c r="K582" s="771">
        <v>2</v>
      </c>
      <c r="L582" s="772">
        <v>750</v>
      </c>
      <c r="M582" s="771">
        <v>2</v>
      </c>
      <c r="N582" s="760">
        <f>L582/'Исп. коэффициенты'!E31*(C586+C587)</f>
        <v>0.23636638680886463</v>
      </c>
      <c r="O582" s="759" t="s">
        <v>2200</v>
      </c>
      <c r="P582" s="759">
        <v>7250</v>
      </c>
      <c r="Q582" s="759">
        <v>19.670000000000002</v>
      </c>
      <c r="R582" s="759">
        <f>P582*Q582%</f>
        <v>1426.075</v>
      </c>
      <c r="S582" s="759">
        <f>R582/'Исп. коэффициенты'!E31*C586</f>
        <v>0.17977397070317422</v>
      </c>
      <c r="T582" s="755" t="s">
        <v>1435</v>
      </c>
      <c r="U582" s="756">
        <v>6785401.3499999996</v>
      </c>
      <c r="V582" s="785">
        <f>'Исп. коэффициенты'!E124</f>
        <v>2978.5</v>
      </c>
      <c r="W582" s="761">
        <f>'Исп. коэффициенты'!D124</f>
        <v>1.3599999999999999E-2</v>
      </c>
      <c r="X582" s="760">
        <f>U582*W582</f>
        <v>92281.45835999999</v>
      </c>
      <c r="Y582" s="759">
        <f>X582/'Исп. коэффициенты'!E31*C586</f>
        <v>11.63319193706981</v>
      </c>
      <c r="Z582" s="60"/>
      <c r="AA582" s="1"/>
      <c r="AB582" s="1"/>
      <c r="AC582" s="1"/>
      <c r="AD582" s="56"/>
      <c r="AF582" s="151"/>
      <c r="AG582" s="56"/>
      <c r="AH582" s="125"/>
      <c r="AI582" s="125"/>
      <c r="AJ582" s="136"/>
      <c r="AK582" s="125"/>
      <c r="AL582" s="127"/>
      <c r="AM582" s="125"/>
      <c r="AN582" s="125"/>
      <c r="AO582" s="128"/>
      <c r="AP582" s="125"/>
      <c r="AQ582" s="125"/>
      <c r="AR582" s="128"/>
      <c r="AS582" s="128"/>
      <c r="AT582" s="125"/>
      <c r="AU582" s="125"/>
      <c r="AV582" s="128"/>
      <c r="AW582" s="56"/>
    </row>
    <row r="583" spans="1:49" s="3" customFormat="1" hidden="1" x14ac:dyDescent="0.25">
      <c r="A583" s="1013"/>
      <c r="B583" s="74" t="s">
        <v>1178</v>
      </c>
      <c r="C583" s="223">
        <f>C573</f>
        <v>38.717865870069311</v>
      </c>
      <c r="D583" s="220"/>
      <c r="E583" s="68" t="s">
        <v>1439</v>
      </c>
      <c r="F583" s="69" t="s">
        <v>1438</v>
      </c>
      <c r="G583" s="70">
        <v>0.27</v>
      </c>
      <c r="H583" s="69">
        <v>0.01</v>
      </c>
      <c r="I583" s="242">
        <f t="shared" si="55"/>
        <v>2.7000000000000001E-3</v>
      </c>
      <c r="J583" s="758" t="s">
        <v>1445</v>
      </c>
      <c r="K583" s="760">
        <v>2</v>
      </c>
      <c r="L583" s="776">
        <v>95</v>
      </c>
      <c r="M583" s="771">
        <v>2</v>
      </c>
      <c r="N583" s="760">
        <f>L583/'Исп. коэффициенты'!E31*(C586+C587)</f>
        <v>2.9939742329122852E-2</v>
      </c>
      <c r="O583" s="759"/>
      <c r="P583" s="759"/>
      <c r="Q583" s="759"/>
      <c r="R583" s="759"/>
      <c r="S583" s="759"/>
      <c r="T583" s="759"/>
      <c r="U583" s="759"/>
      <c r="V583" s="759"/>
      <c r="W583" s="759"/>
      <c r="X583" s="759"/>
      <c r="Y583" s="759"/>
      <c r="Z583" s="60"/>
      <c r="AA583" s="1"/>
      <c r="AB583" s="1"/>
      <c r="AC583" s="1"/>
      <c r="AD583" s="56"/>
      <c r="AF583" s="151"/>
      <c r="AG583" s="56"/>
      <c r="AH583" s="125"/>
      <c r="AI583" s="125"/>
      <c r="AJ583" s="136"/>
      <c r="AK583" s="125"/>
      <c r="AL583" s="127"/>
      <c r="AM583" s="145"/>
      <c r="AN583" s="125"/>
      <c r="AO583" s="128"/>
      <c r="AP583" s="125"/>
      <c r="AQ583" s="125"/>
      <c r="AR583" s="128"/>
      <c r="AS583" s="128"/>
      <c r="AT583" s="125"/>
      <c r="AU583" s="125"/>
      <c r="AV583" s="128"/>
      <c r="AW583" s="56"/>
    </row>
    <row r="584" spans="1:49" s="3" customFormat="1" ht="12.75" hidden="1" customHeight="1" x14ac:dyDescent="0.25">
      <c r="A584" s="1013"/>
      <c r="B584" s="57" t="s">
        <v>1179</v>
      </c>
      <c r="C584" s="222">
        <f>C574</f>
        <v>22.420123808013045</v>
      </c>
      <c r="D584" s="220"/>
      <c r="E584" s="68" t="s">
        <v>1598</v>
      </c>
      <c r="F584" s="69" t="s">
        <v>1441</v>
      </c>
      <c r="G584" s="70">
        <v>4.4000000000000004</v>
      </c>
      <c r="H584" s="70">
        <v>1</v>
      </c>
      <c r="I584" s="71">
        <f t="shared" si="55"/>
        <v>4.4000000000000004</v>
      </c>
      <c r="J584" s="758" t="s">
        <v>1513</v>
      </c>
      <c r="K584" s="760">
        <v>2</v>
      </c>
      <c r="L584" s="760">
        <v>25</v>
      </c>
      <c r="M584" s="771">
        <v>0.5</v>
      </c>
      <c r="N584" s="760">
        <f>L584/'Исп. коэффициенты'!E31*(C586+C587)</f>
        <v>7.8788795602954889E-3</v>
      </c>
      <c r="O584" s="759"/>
      <c r="P584" s="759"/>
      <c r="Q584" s="759"/>
      <c r="R584" s="759"/>
      <c r="S584" s="759"/>
      <c r="T584" s="759"/>
      <c r="U584" s="759"/>
      <c r="V584" s="759"/>
      <c r="W584" s="759"/>
      <c r="X584" s="759"/>
      <c r="Y584" s="759"/>
      <c r="Z584" s="60"/>
      <c r="AA584" s="1"/>
      <c r="AB584" s="1"/>
      <c r="AC584" s="1"/>
      <c r="AD584" s="56"/>
      <c r="AF584" s="151"/>
      <c r="AG584" s="56"/>
      <c r="AH584" s="125"/>
      <c r="AI584" s="125"/>
      <c r="AJ584" s="136"/>
      <c r="AK584" s="125"/>
      <c r="AL584" s="127"/>
      <c r="AM584" s="125"/>
      <c r="AN584" s="125"/>
      <c r="AO584" s="128"/>
      <c r="AP584" s="125"/>
      <c r="AQ584" s="125"/>
      <c r="AR584" s="128"/>
      <c r="AS584" s="128"/>
      <c r="AT584" s="125"/>
      <c r="AU584" s="125"/>
      <c r="AV584" s="128"/>
      <c r="AW584" s="56"/>
    </row>
    <row r="585" spans="1:49" s="3" customFormat="1" ht="12.75" hidden="1" customHeight="1" x14ac:dyDescent="0.25">
      <c r="A585" s="1013"/>
      <c r="B585" s="57" t="s">
        <v>831</v>
      </c>
      <c r="C585" s="224"/>
      <c r="D585" s="220"/>
      <c r="E585" s="68" t="s">
        <v>1599</v>
      </c>
      <c r="F585" s="69" t="s">
        <v>1441</v>
      </c>
      <c r="G585" s="70">
        <v>77.28</v>
      </c>
      <c r="H585" s="69">
        <v>1</v>
      </c>
      <c r="I585" s="71">
        <f t="shared" si="55"/>
        <v>77.28</v>
      </c>
      <c r="J585" s="59"/>
      <c r="K585" s="61"/>
      <c r="L585" s="61"/>
      <c r="M585" s="61"/>
      <c r="N585" s="61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1"/>
      <c r="AB585" s="1"/>
      <c r="AC585" s="1"/>
      <c r="AD585" s="56"/>
      <c r="AF585" s="151"/>
      <c r="AG585" s="56"/>
      <c r="AH585" s="125"/>
      <c r="AI585" s="125"/>
      <c r="AJ585" s="136"/>
      <c r="AK585" s="125"/>
      <c r="AL585" s="127"/>
      <c r="AM585" s="125"/>
      <c r="AN585" s="125"/>
      <c r="AO585" s="128"/>
      <c r="AP585" s="125"/>
      <c r="AQ585" s="125"/>
      <c r="AR585" s="128"/>
      <c r="AS585" s="128"/>
      <c r="AT585" s="125"/>
      <c r="AU585" s="125"/>
      <c r="AV585" s="128"/>
      <c r="AW585" s="56"/>
    </row>
    <row r="586" spans="1:49" s="3" customFormat="1" ht="12.75" hidden="1" customHeight="1" x14ac:dyDescent="0.25">
      <c r="A586" s="1013"/>
      <c r="B586" s="74" t="s">
        <v>1178</v>
      </c>
      <c r="C586" s="225">
        <v>1</v>
      </c>
      <c r="D586" s="220"/>
      <c r="E586" s="68" t="s">
        <v>1442</v>
      </c>
      <c r="F586" s="69" t="s">
        <v>1443</v>
      </c>
      <c r="G586" s="70">
        <v>419.5</v>
      </c>
      <c r="H586" s="69">
        <v>1E-3</v>
      </c>
      <c r="I586" s="71">
        <f t="shared" si="55"/>
        <v>0.41949999999999998</v>
      </c>
      <c r="J586" s="59"/>
      <c r="K586" s="61"/>
      <c r="L586" s="61"/>
      <c r="M586" s="61"/>
      <c r="N586" s="61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1"/>
      <c r="AB586" s="1"/>
      <c r="AC586" s="1"/>
      <c r="AD586" s="56"/>
      <c r="AF586" s="151"/>
      <c r="AG586" s="56"/>
      <c r="AH586" s="125"/>
      <c r="AI586" s="125"/>
      <c r="AJ586" s="146"/>
      <c r="AK586" s="125"/>
      <c r="AL586" s="127"/>
      <c r="AM586" s="125"/>
      <c r="AN586" s="125"/>
      <c r="AO586" s="128"/>
      <c r="AP586" s="125"/>
      <c r="AQ586" s="125"/>
      <c r="AR586" s="128"/>
      <c r="AS586" s="128"/>
      <c r="AT586" s="125"/>
      <c r="AU586" s="125"/>
      <c r="AV586" s="128"/>
      <c r="AW586" s="56"/>
    </row>
    <row r="587" spans="1:49" s="3" customFormat="1" ht="12.75" hidden="1" customHeight="1" x14ac:dyDescent="0.25">
      <c r="A587" s="1013"/>
      <c r="B587" s="57" t="s">
        <v>1179</v>
      </c>
      <c r="C587" s="225">
        <v>1.5</v>
      </c>
      <c r="D587" s="220"/>
      <c r="E587" s="68" t="s">
        <v>1444</v>
      </c>
      <c r="F587" s="69" t="s">
        <v>1443</v>
      </c>
      <c r="G587" s="70">
        <v>872</v>
      </c>
      <c r="H587" s="69">
        <v>2E-3</v>
      </c>
      <c r="I587" s="71">
        <f t="shared" si="55"/>
        <v>1.744</v>
      </c>
      <c r="J587" s="59"/>
      <c r="K587" s="61"/>
      <c r="L587" s="61"/>
      <c r="M587" s="61"/>
      <c r="N587" s="61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1"/>
      <c r="AB587" s="1"/>
      <c r="AC587" s="1"/>
      <c r="AD587" s="56"/>
      <c r="AF587" s="151"/>
      <c r="AG587" s="56"/>
      <c r="AH587" s="125"/>
      <c r="AI587" s="125"/>
      <c r="AJ587" s="146"/>
      <c r="AK587" s="125"/>
      <c r="AL587" s="127"/>
      <c r="AM587" s="125"/>
      <c r="AN587" s="125"/>
      <c r="AO587" s="128"/>
      <c r="AP587" s="125"/>
      <c r="AQ587" s="125"/>
      <c r="AR587" s="128"/>
      <c r="AS587" s="128"/>
      <c r="AT587" s="125"/>
      <c r="AU587" s="125"/>
      <c r="AV587" s="128"/>
      <c r="AW587" s="56"/>
    </row>
    <row r="588" spans="1:49" s="3" customFormat="1" ht="12.75" hidden="1" customHeight="1" x14ac:dyDescent="0.25">
      <c r="A588" s="1013"/>
      <c r="B588" s="79" t="s">
        <v>1181</v>
      </c>
      <c r="C588" s="222">
        <f>C583*C586+C584*C587</f>
        <v>72.348051582088885</v>
      </c>
      <c r="D588" s="220"/>
      <c r="E588" s="228"/>
      <c r="F588" s="166"/>
      <c r="G588" s="70"/>
      <c r="H588" s="69"/>
      <c r="I588" s="71"/>
      <c r="J588" s="59"/>
      <c r="K588" s="170"/>
      <c r="L588" s="76"/>
      <c r="M588" s="72"/>
      <c r="N588" s="61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1"/>
      <c r="AB588" s="1"/>
      <c r="AC588" s="1"/>
      <c r="AD588" s="56"/>
      <c r="AF588" s="151"/>
      <c r="AG588" s="56"/>
      <c r="AH588" s="125"/>
      <c r="AI588" s="125"/>
      <c r="AJ588" s="136"/>
      <c r="AK588" s="125"/>
      <c r="AL588" s="127"/>
      <c r="AM588" s="125"/>
      <c r="AN588" s="125"/>
      <c r="AO588" s="128"/>
      <c r="AP588" s="125"/>
      <c r="AQ588" s="125"/>
      <c r="AR588" s="128"/>
      <c r="AS588" s="128"/>
      <c r="AT588" s="125"/>
      <c r="AU588" s="125"/>
      <c r="AV588" s="128"/>
      <c r="AW588" s="56"/>
    </row>
    <row r="589" spans="1:49" s="3" customFormat="1" ht="13.5" hidden="1" customHeight="1" x14ac:dyDescent="0.25">
      <c r="A589" s="1014"/>
      <c r="B589" s="123"/>
      <c r="C589" s="225"/>
      <c r="D589" s="221"/>
      <c r="E589" s="228"/>
      <c r="F589" s="166"/>
      <c r="G589" s="70"/>
      <c r="H589" s="69"/>
      <c r="I589" s="71"/>
      <c r="J589" s="59"/>
      <c r="K589" s="170"/>
      <c r="L589" s="61"/>
      <c r="M589" s="72"/>
      <c r="N589" s="61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1"/>
      <c r="AB589" s="1"/>
      <c r="AC589" s="1"/>
      <c r="AD589" s="56"/>
      <c r="AF589" s="151"/>
      <c r="AG589" s="56"/>
      <c r="AH589" s="125"/>
      <c r="AI589" s="125"/>
      <c r="AJ589" s="146"/>
      <c r="AK589" s="125"/>
      <c r="AL589" s="127"/>
      <c r="AM589" s="125"/>
      <c r="AN589" s="125"/>
      <c r="AO589" s="128"/>
      <c r="AP589" s="125"/>
      <c r="AQ589" s="125"/>
      <c r="AR589" s="128"/>
      <c r="AS589" s="128"/>
      <c r="AT589" s="125"/>
      <c r="AU589" s="125"/>
      <c r="AV589" s="128"/>
      <c r="AW589" s="56"/>
    </row>
    <row r="590" spans="1:49" s="3" customFormat="1" ht="56.25" hidden="1" customHeight="1" x14ac:dyDescent="0.25">
      <c r="A590" s="1012" t="s">
        <v>1683</v>
      </c>
      <c r="B590" s="258" t="s">
        <v>767</v>
      </c>
      <c r="C590" s="222"/>
      <c r="D590" s="219"/>
      <c r="E590" s="226" t="s">
        <v>488</v>
      </c>
      <c r="F590" s="53" t="s">
        <v>837</v>
      </c>
      <c r="G590" s="51" t="s">
        <v>489</v>
      </c>
      <c r="H590" s="52" t="s">
        <v>1170</v>
      </c>
      <c r="I590" s="53" t="s">
        <v>838</v>
      </c>
      <c r="J590" s="47" t="s">
        <v>1171</v>
      </c>
      <c r="K590" s="47" t="s">
        <v>490</v>
      </c>
      <c r="L590" s="54" t="s">
        <v>489</v>
      </c>
      <c r="M590" s="47" t="s">
        <v>1172</v>
      </c>
      <c r="N590" s="53" t="s">
        <v>838</v>
      </c>
      <c r="O590" s="47" t="s">
        <v>1171</v>
      </c>
      <c r="P590" s="47" t="s">
        <v>826</v>
      </c>
      <c r="Q590" s="47" t="s">
        <v>1173</v>
      </c>
      <c r="R590" s="47" t="s">
        <v>1174</v>
      </c>
      <c r="S590" s="47" t="s">
        <v>839</v>
      </c>
      <c r="T590" s="47" t="s">
        <v>1171</v>
      </c>
      <c r="U590" s="47" t="s">
        <v>1392</v>
      </c>
      <c r="V590" s="47" t="s">
        <v>841</v>
      </c>
      <c r="W590" s="231" t="s">
        <v>1173</v>
      </c>
      <c r="X590" s="47" t="s">
        <v>1394</v>
      </c>
      <c r="Y590" s="47" t="s">
        <v>839</v>
      </c>
      <c r="Z590" s="55"/>
      <c r="AA590" s="1"/>
      <c r="AB590" s="1"/>
      <c r="AC590" s="1"/>
      <c r="AD590" s="56"/>
      <c r="AF590" s="81"/>
      <c r="AG590" s="56"/>
      <c r="AH590" s="125"/>
      <c r="AI590" s="125"/>
      <c r="AJ590" s="125"/>
      <c r="AK590" s="125"/>
      <c r="AL590" s="127"/>
      <c r="AM590" s="125"/>
      <c r="AN590" s="125"/>
      <c r="AO590" s="128"/>
      <c r="AP590" s="125"/>
      <c r="AQ590" s="139"/>
      <c r="AR590" s="139"/>
      <c r="AS590" s="139"/>
      <c r="AT590" s="125"/>
      <c r="AU590" s="125"/>
      <c r="AV590" s="128"/>
      <c r="AW590" s="56"/>
    </row>
    <row r="591" spans="1:49" s="3" customFormat="1" ht="12" hidden="1" customHeight="1" x14ac:dyDescent="0.25">
      <c r="A591" s="1013"/>
      <c r="B591" s="36" t="s">
        <v>1175</v>
      </c>
      <c r="C591" s="222">
        <f>C598</f>
        <v>72.348051582088885</v>
      </c>
      <c r="D591" s="219">
        <f>C591*$D$5</f>
        <v>14.614306419581956</v>
      </c>
      <c r="E591" s="227" t="s">
        <v>1176</v>
      </c>
      <c r="F591" s="165"/>
      <c r="G591" s="58"/>
      <c r="H591" s="58"/>
      <c r="I591" s="2">
        <f>SUM(I592:I599)</f>
        <v>83.8536</v>
      </c>
      <c r="J591" s="59" t="s">
        <v>1176</v>
      </c>
      <c r="K591" s="169"/>
      <c r="L591" s="60"/>
      <c r="M591" s="60"/>
      <c r="N591" s="61">
        <f>SUM(N592:N599)</f>
        <v>8.4000000000000005E-2</v>
      </c>
      <c r="O591" s="60" t="s">
        <v>1176</v>
      </c>
      <c r="P591" s="60"/>
      <c r="Q591" s="62"/>
      <c r="R591" s="63"/>
      <c r="S591" s="61">
        <f>SUM(S592:S599)</f>
        <v>9.7215000000000007</v>
      </c>
      <c r="T591" s="61"/>
      <c r="U591" s="61"/>
      <c r="V591" s="61"/>
      <c r="W591" s="61"/>
      <c r="X591" s="61"/>
      <c r="Y591" s="61">
        <f>SUM(Y592:Y599)</f>
        <v>9.1999999999999998E-3</v>
      </c>
      <c r="Z591" s="64">
        <f>(C591+D591+I591+N591+S591+Y591)*$Z$5</f>
        <v>234.85375847519541</v>
      </c>
      <c r="AA591" s="65">
        <f>C591+D591+I591+N591+S591+Y591+Z591</f>
        <v>415.48441647686622</v>
      </c>
      <c r="AB591" s="66">
        <v>0.25</v>
      </c>
      <c r="AC591" s="244">
        <f>AA591*(1+AB591)</f>
        <v>519.35552059608278</v>
      </c>
      <c r="AD591" s="67"/>
      <c r="AF591" s="81"/>
      <c r="AG591" s="56"/>
      <c r="AH591" s="125"/>
      <c r="AI591" s="139"/>
      <c r="AJ591" s="140"/>
      <c r="AK591" s="141"/>
      <c r="AL591" s="127"/>
      <c r="AM591" s="142"/>
      <c r="AN591" s="143"/>
      <c r="AO591" s="142"/>
      <c r="AP591" s="139"/>
      <c r="AQ591" s="139"/>
      <c r="AR591" s="139"/>
      <c r="AS591" s="139"/>
      <c r="AT591" s="139"/>
      <c r="AU591" s="142"/>
      <c r="AV591" s="142"/>
      <c r="AW591" s="144"/>
    </row>
    <row r="592" spans="1:49" s="3" customFormat="1" ht="12.75" hidden="1" customHeight="1" x14ac:dyDescent="0.25">
      <c r="A592" s="1013"/>
      <c r="B592" s="50" t="s">
        <v>830</v>
      </c>
      <c r="C592" s="222"/>
      <c r="D592" s="220"/>
      <c r="E592" s="68" t="s">
        <v>1437</v>
      </c>
      <c r="F592" s="69" t="s">
        <v>1438</v>
      </c>
      <c r="G592" s="70">
        <v>0.74</v>
      </c>
      <c r="H592" s="69">
        <v>0.01</v>
      </c>
      <c r="I592" s="71">
        <f t="shared" ref="I592:I597" si="56">G592*H592</f>
        <v>7.4000000000000003E-3</v>
      </c>
      <c r="J592" s="59" t="s">
        <v>1291</v>
      </c>
      <c r="K592" s="61">
        <v>2</v>
      </c>
      <c r="L592" s="61">
        <v>640</v>
      </c>
      <c r="M592" s="61">
        <v>2</v>
      </c>
      <c r="N592" s="61">
        <v>0.05</v>
      </c>
      <c r="O592" s="60" t="s">
        <v>1239</v>
      </c>
      <c r="P592" s="60">
        <v>61189.5</v>
      </c>
      <c r="Q592" s="60">
        <v>19.670000000000002</v>
      </c>
      <c r="R592" s="60">
        <v>6513.87</v>
      </c>
      <c r="S592" s="60">
        <v>9.7215000000000007</v>
      </c>
      <c r="T592" s="239" t="s">
        <v>1435</v>
      </c>
      <c r="U592" s="240">
        <v>6785401.3499999996</v>
      </c>
      <c r="V592" s="241">
        <v>1.32E-2</v>
      </c>
      <c r="W592" s="239">
        <v>1508.3</v>
      </c>
      <c r="X592" s="61">
        <v>59.38</v>
      </c>
      <c r="Y592" s="60">
        <v>9.1999999999999998E-3</v>
      </c>
      <c r="Z592" s="60"/>
      <c r="AA592" s="1"/>
      <c r="AB592" s="1"/>
      <c r="AC592" s="1"/>
      <c r="AD592" s="56"/>
      <c r="AF592" s="151"/>
      <c r="AG592" s="56"/>
      <c r="AH592" s="125"/>
      <c r="AI592" s="125"/>
      <c r="AJ592" s="136"/>
      <c r="AK592" s="125"/>
      <c r="AL592" s="127"/>
      <c r="AM592" s="125"/>
      <c r="AN592" s="125"/>
      <c r="AO592" s="128"/>
      <c r="AP592" s="125"/>
      <c r="AQ592" s="125"/>
      <c r="AR592" s="128"/>
      <c r="AS592" s="128"/>
      <c r="AT592" s="125"/>
      <c r="AU592" s="125"/>
      <c r="AV592" s="128"/>
      <c r="AW592" s="56"/>
    </row>
    <row r="593" spans="1:49" s="3" customFormat="1" hidden="1" x14ac:dyDescent="0.25">
      <c r="A593" s="1013"/>
      <c r="B593" s="74" t="s">
        <v>1178</v>
      </c>
      <c r="C593" s="223">
        <f>C583</f>
        <v>38.717865870069311</v>
      </c>
      <c r="D593" s="220"/>
      <c r="E593" s="68" t="s">
        <v>1439</v>
      </c>
      <c r="F593" s="69" t="s">
        <v>1438</v>
      </c>
      <c r="G593" s="70">
        <v>0.27</v>
      </c>
      <c r="H593" s="69">
        <v>0.01</v>
      </c>
      <c r="I593" s="242">
        <f t="shared" si="56"/>
        <v>2.7000000000000001E-3</v>
      </c>
      <c r="J593" s="59" t="s">
        <v>1445</v>
      </c>
      <c r="K593" s="61">
        <v>2</v>
      </c>
      <c r="L593" s="61">
        <v>84</v>
      </c>
      <c r="M593" s="61">
        <v>2</v>
      </c>
      <c r="N593" s="61">
        <v>8.9999999999999993E-3</v>
      </c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1"/>
      <c r="AB593" s="1"/>
      <c r="AC593" s="1"/>
      <c r="AD593" s="56"/>
      <c r="AF593" s="151"/>
      <c r="AG593" s="56"/>
      <c r="AH593" s="125"/>
      <c r="AI593" s="125"/>
      <c r="AJ593" s="136"/>
      <c r="AK593" s="125"/>
      <c r="AL593" s="127"/>
      <c r="AM593" s="145"/>
      <c r="AN593" s="125"/>
      <c r="AO593" s="128"/>
      <c r="AP593" s="125"/>
      <c r="AQ593" s="125"/>
      <c r="AR593" s="128"/>
      <c r="AS593" s="128"/>
      <c r="AT593" s="125"/>
      <c r="AU593" s="125"/>
      <c r="AV593" s="128"/>
      <c r="AW593" s="56"/>
    </row>
    <row r="594" spans="1:49" s="3" customFormat="1" ht="12.75" hidden="1" customHeight="1" x14ac:dyDescent="0.25">
      <c r="A594" s="1013"/>
      <c r="B594" s="57" t="s">
        <v>1179</v>
      </c>
      <c r="C594" s="222">
        <f>C584</f>
        <v>22.420123808013045</v>
      </c>
      <c r="D594" s="220"/>
      <c r="E594" s="68" t="s">
        <v>1598</v>
      </c>
      <c r="F594" s="69" t="s">
        <v>1441</v>
      </c>
      <c r="G594" s="70">
        <v>4.4000000000000004</v>
      </c>
      <c r="H594" s="70">
        <v>1</v>
      </c>
      <c r="I594" s="71">
        <f t="shared" si="56"/>
        <v>4.4000000000000004</v>
      </c>
      <c r="J594" s="59" t="s">
        <v>1513</v>
      </c>
      <c r="K594" s="61">
        <v>2</v>
      </c>
      <c r="L594" s="61">
        <v>25</v>
      </c>
      <c r="M594" s="61">
        <v>0.5</v>
      </c>
      <c r="N594" s="61">
        <v>2.5000000000000001E-2</v>
      </c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1"/>
      <c r="AB594" s="1"/>
      <c r="AC594" s="1"/>
      <c r="AD594" s="56"/>
      <c r="AF594" s="151"/>
      <c r="AG594" s="56"/>
      <c r="AH594" s="125"/>
      <c r="AI594" s="125"/>
      <c r="AJ594" s="136"/>
      <c r="AK594" s="125"/>
      <c r="AL594" s="127"/>
      <c r="AM594" s="125"/>
      <c r="AN594" s="125"/>
      <c r="AO594" s="128"/>
      <c r="AP594" s="125"/>
      <c r="AQ594" s="125"/>
      <c r="AR594" s="128"/>
      <c r="AS594" s="128"/>
      <c r="AT594" s="125"/>
      <c r="AU594" s="125"/>
      <c r="AV594" s="128"/>
      <c r="AW594" s="56"/>
    </row>
    <row r="595" spans="1:49" s="3" customFormat="1" ht="12.75" hidden="1" customHeight="1" x14ac:dyDescent="0.25">
      <c r="A595" s="1013"/>
      <c r="B595" s="57" t="s">
        <v>831</v>
      </c>
      <c r="C595" s="224"/>
      <c r="D595" s="220"/>
      <c r="E595" s="68" t="s">
        <v>1599</v>
      </c>
      <c r="F595" s="69" t="s">
        <v>1441</v>
      </c>
      <c r="G595" s="70">
        <v>77.28</v>
      </c>
      <c r="H595" s="69">
        <v>1</v>
      </c>
      <c r="I595" s="71">
        <f t="shared" si="56"/>
        <v>77.28</v>
      </c>
      <c r="J595" s="59"/>
      <c r="K595" s="61"/>
      <c r="L595" s="61"/>
      <c r="M595" s="61"/>
      <c r="N595" s="61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1"/>
      <c r="AB595" s="1"/>
      <c r="AC595" s="1"/>
      <c r="AD595" s="56"/>
      <c r="AF595" s="151"/>
      <c r="AG595" s="56"/>
      <c r="AH595" s="125"/>
      <c r="AI595" s="125"/>
      <c r="AJ595" s="136"/>
      <c r="AK595" s="125"/>
      <c r="AL595" s="127"/>
      <c r="AM595" s="125"/>
      <c r="AN595" s="125"/>
      <c r="AO595" s="128"/>
      <c r="AP595" s="125"/>
      <c r="AQ595" s="125"/>
      <c r="AR595" s="128"/>
      <c r="AS595" s="128"/>
      <c r="AT595" s="125"/>
      <c r="AU595" s="125"/>
      <c r="AV595" s="128"/>
      <c r="AW595" s="56"/>
    </row>
    <row r="596" spans="1:49" s="3" customFormat="1" ht="12.75" hidden="1" customHeight="1" x14ac:dyDescent="0.25">
      <c r="A596" s="1013"/>
      <c r="B596" s="74" t="s">
        <v>1178</v>
      </c>
      <c r="C596" s="225">
        <v>1</v>
      </c>
      <c r="D596" s="220"/>
      <c r="E596" s="68" t="s">
        <v>1442</v>
      </c>
      <c r="F596" s="69" t="s">
        <v>1443</v>
      </c>
      <c r="G596" s="70">
        <v>419.5</v>
      </c>
      <c r="H596" s="69">
        <v>1E-3</v>
      </c>
      <c r="I596" s="71">
        <f t="shared" si="56"/>
        <v>0.41949999999999998</v>
      </c>
      <c r="J596" s="59"/>
      <c r="K596" s="61"/>
      <c r="L596" s="61"/>
      <c r="M596" s="61"/>
      <c r="N596" s="61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1"/>
      <c r="AB596" s="1"/>
      <c r="AC596" s="1"/>
      <c r="AD596" s="56"/>
      <c r="AF596" s="151"/>
      <c r="AG596" s="56"/>
      <c r="AH596" s="125"/>
      <c r="AI596" s="125"/>
      <c r="AJ596" s="146"/>
      <c r="AK596" s="125"/>
      <c r="AL596" s="127"/>
      <c r="AM596" s="125"/>
      <c r="AN596" s="125"/>
      <c r="AO596" s="128"/>
      <c r="AP596" s="125"/>
      <c r="AQ596" s="125"/>
      <c r="AR596" s="128"/>
      <c r="AS596" s="128"/>
      <c r="AT596" s="125"/>
      <c r="AU596" s="125"/>
      <c r="AV596" s="128"/>
      <c r="AW596" s="56"/>
    </row>
    <row r="597" spans="1:49" s="3" customFormat="1" ht="12.75" hidden="1" customHeight="1" x14ac:dyDescent="0.25">
      <c r="A597" s="1013"/>
      <c r="B597" s="57" t="s">
        <v>1179</v>
      </c>
      <c r="C597" s="225">
        <v>1.5</v>
      </c>
      <c r="D597" s="220"/>
      <c r="E597" s="68" t="s">
        <v>1444</v>
      </c>
      <c r="F597" s="69" t="s">
        <v>1443</v>
      </c>
      <c r="G597" s="70">
        <v>872</v>
      </c>
      <c r="H597" s="69">
        <v>2E-3</v>
      </c>
      <c r="I597" s="71">
        <f t="shared" si="56"/>
        <v>1.744</v>
      </c>
      <c r="J597" s="59"/>
      <c r="K597" s="61"/>
      <c r="L597" s="61"/>
      <c r="M597" s="61"/>
      <c r="N597" s="61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1"/>
      <c r="AB597" s="1"/>
      <c r="AC597" s="1"/>
      <c r="AD597" s="56"/>
      <c r="AF597" s="151"/>
      <c r="AG597" s="56"/>
      <c r="AH597" s="125"/>
      <c r="AI597" s="125"/>
      <c r="AJ597" s="146"/>
      <c r="AK597" s="125"/>
      <c r="AL597" s="127"/>
      <c r="AM597" s="125"/>
      <c r="AN597" s="125"/>
      <c r="AO597" s="128"/>
      <c r="AP597" s="125"/>
      <c r="AQ597" s="125"/>
      <c r="AR597" s="128"/>
      <c r="AS597" s="128"/>
      <c r="AT597" s="125"/>
      <c r="AU597" s="125"/>
      <c r="AV597" s="128"/>
      <c r="AW597" s="56"/>
    </row>
    <row r="598" spans="1:49" s="3" customFormat="1" ht="12.75" hidden="1" customHeight="1" x14ac:dyDescent="0.25">
      <c r="A598" s="1013"/>
      <c r="B598" s="79" t="s">
        <v>1181</v>
      </c>
      <c r="C598" s="222">
        <f>C593*C596+C594*C597</f>
        <v>72.348051582088885</v>
      </c>
      <c r="D598" s="220"/>
      <c r="E598" s="228"/>
      <c r="F598" s="166"/>
      <c r="G598" s="70"/>
      <c r="H598" s="69"/>
      <c r="I598" s="71"/>
      <c r="J598" s="59"/>
      <c r="K598" s="170"/>
      <c r="L598" s="76"/>
      <c r="M598" s="72"/>
      <c r="N598" s="61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1"/>
      <c r="AB598" s="1"/>
      <c r="AC598" s="1"/>
      <c r="AD598" s="56"/>
      <c r="AF598" s="151"/>
      <c r="AG598" s="56"/>
      <c r="AH598" s="125"/>
      <c r="AI598" s="125"/>
      <c r="AJ598" s="136"/>
      <c r="AK598" s="125"/>
      <c r="AL598" s="127"/>
      <c r="AM598" s="125"/>
      <c r="AN598" s="125"/>
      <c r="AO598" s="128"/>
      <c r="AP598" s="125"/>
      <c r="AQ598" s="125"/>
      <c r="AR598" s="128"/>
      <c r="AS598" s="128"/>
      <c r="AT598" s="125"/>
      <c r="AU598" s="125"/>
      <c r="AV598" s="128"/>
      <c r="AW598" s="56"/>
    </row>
    <row r="599" spans="1:49" s="3" customFormat="1" ht="13.5" hidden="1" customHeight="1" x14ac:dyDescent="0.25">
      <c r="A599" s="1014"/>
      <c r="B599" s="123"/>
      <c r="C599" s="225"/>
      <c r="D599" s="221"/>
      <c r="E599" s="228"/>
      <c r="F599" s="166"/>
      <c r="G599" s="70"/>
      <c r="H599" s="69"/>
      <c r="I599" s="71"/>
      <c r="J599" s="59"/>
      <c r="K599" s="170"/>
      <c r="L599" s="61"/>
      <c r="M599" s="72"/>
      <c r="N599" s="61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1"/>
      <c r="AB599" s="1"/>
      <c r="AC599" s="1"/>
      <c r="AD599" s="56"/>
      <c r="AF599" s="151"/>
      <c r="AG599" s="56"/>
      <c r="AH599" s="125"/>
      <c r="AI599" s="125"/>
      <c r="AJ599" s="146"/>
      <c r="AK599" s="125"/>
      <c r="AL599" s="127"/>
      <c r="AM599" s="125"/>
      <c r="AN599" s="125"/>
      <c r="AO599" s="128"/>
      <c r="AP599" s="125"/>
      <c r="AQ599" s="125"/>
      <c r="AR599" s="128"/>
      <c r="AS599" s="128"/>
      <c r="AT599" s="125"/>
      <c r="AU599" s="125"/>
      <c r="AV599" s="128"/>
      <c r="AW599" s="56"/>
    </row>
    <row r="600" spans="1:49" s="803" customFormat="1" ht="56.25" customHeight="1" x14ac:dyDescent="0.25">
      <c r="A600" s="1114" t="s">
        <v>985</v>
      </c>
      <c r="B600" s="778" t="s">
        <v>986</v>
      </c>
      <c r="C600" s="799"/>
      <c r="D600" s="800"/>
      <c r="E600" s="801" t="s">
        <v>488</v>
      </c>
      <c r="F600" s="792" t="s">
        <v>837</v>
      </c>
      <c r="G600" s="778" t="s">
        <v>489</v>
      </c>
      <c r="H600" s="791" t="s">
        <v>1170</v>
      </c>
      <c r="I600" s="792" t="s">
        <v>838</v>
      </c>
      <c r="J600" s="793" t="s">
        <v>1171</v>
      </c>
      <c r="K600" s="793" t="s">
        <v>490</v>
      </c>
      <c r="L600" s="794" t="s">
        <v>489</v>
      </c>
      <c r="M600" s="793" t="s">
        <v>1172</v>
      </c>
      <c r="N600" s="792" t="s">
        <v>838</v>
      </c>
      <c r="O600" s="793" t="s">
        <v>1171</v>
      </c>
      <c r="P600" s="793" t="s">
        <v>826</v>
      </c>
      <c r="Q600" s="793" t="s">
        <v>1173</v>
      </c>
      <c r="R600" s="793" t="s">
        <v>1174</v>
      </c>
      <c r="S600" s="793" t="s">
        <v>839</v>
      </c>
      <c r="T600" s="793" t="s">
        <v>1171</v>
      </c>
      <c r="U600" s="793" t="s">
        <v>1392</v>
      </c>
      <c r="V600" s="793" t="s">
        <v>841</v>
      </c>
      <c r="W600" s="795" t="s">
        <v>1173</v>
      </c>
      <c r="X600" s="793" t="s">
        <v>1394</v>
      </c>
      <c r="Y600" s="793" t="s">
        <v>839</v>
      </c>
      <c r="Z600" s="796"/>
      <c r="AA600" s="755"/>
      <c r="AB600" s="755"/>
      <c r="AC600" s="773"/>
      <c r="AD600" s="802"/>
      <c r="AF600" s="804"/>
      <c r="AG600" s="802"/>
      <c r="AH600" s="805"/>
      <c r="AI600" s="805"/>
      <c r="AJ600" s="805"/>
      <c r="AK600" s="805"/>
      <c r="AL600" s="806"/>
      <c r="AM600" s="805"/>
      <c r="AN600" s="805"/>
      <c r="AO600" s="807"/>
      <c r="AP600" s="805"/>
      <c r="AQ600" s="808"/>
      <c r="AR600" s="808"/>
      <c r="AS600" s="808"/>
      <c r="AT600" s="805"/>
      <c r="AU600" s="805"/>
      <c r="AV600" s="807"/>
      <c r="AW600" s="802"/>
    </row>
    <row r="601" spans="1:49" s="803" customFormat="1" ht="12" customHeight="1" x14ac:dyDescent="0.25">
      <c r="A601" s="1115"/>
      <c r="B601" s="752" t="s">
        <v>1175</v>
      </c>
      <c r="C601" s="799">
        <f>C608</f>
        <v>61.137989678082356</v>
      </c>
      <c r="D601" s="800">
        <f>C601*$D$5</f>
        <v>12.349873914972637</v>
      </c>
      <c r="E601" s="809" t="s">
        <v>1176</v>
      </c>
      <c r="F601" s="810"/>
      <c r="G601" s="756"/>
      <c r="H601" s="756"/>
      <c r="I601" s="757">
        <f>SUM(I602:I609)</f>
        <v>83.8536</v>
      </c>
      <c r="J601" s="758" t="s">
        <v>1176</v>
      </c>
      <c r="K601" s="811"/>
      <c r="L601" s="759"/>
      <c r="M601" s="759"/>
      <c r="N601" s="760">
        <f>SUM(N602:N609)</f>
        <v>0.21934800695862638</v>
      </c>
      <c r="O601" s="759" t="s">
        <v>1176</v>
      </c>
      <c r="P601" s="759"/>
      <c r="Q601" s="812"/>
      <c r="R601" s="813"/>
      <c r="S601" s="760">
        <v>0</v>
      </c>
      <c r="T601" s="760"/>
      <c r="U601" s="760"/>
      <c r="V601" s="760"/>
      <c r="W601" s="760"/>
      <c r="X601" s="760"/>
      <c r="Y601" s="760">
        <f>SUM(Y602:Y609)</f>
        <v>11.63319193706981</v>
      </c>
      <c r="Z601" s="762">
        <f>(C601+D601+I601+N601+S601+Y601)*$Z$5</f>
        <v>219.9839610935924</v>
      </c>
      <c r="AA601" s="763">
        <f>C601+D601+I601+N601+S601+Y601+Z601</f>
        <v>389.17796463067577</v>
      </c>
      <c r="AB601" s="764">
        <v>0.25</v>
      </c>
      <c r="AC601" s="765">
        <f>AA601*(1+AB601)</f>
        <v>486.47245578834475</v>
      </c>
      <c r="AD601" s="814"/>
      <c r="AF601" s="804"/>
      <c r="AG601" s="802"/>
      <c r="AH601" s="805"/>
      <c r="AI601" s="808"/>
      <c r="AJ601" s="815"/>
      <c r="AK601" s="816"/>
      <c r="AL601" s="806"/>
      <c r="AM601" s="817"/>
      <c r="AN601" s="818"/>
      <c r="AO601" s="817"/>
      <c r="AP601" s="808"/>
      <c r="AQ601" s="808"/>
      <c r="AR601" s="808"/>
      <c r="AS601" s="808"/>
      <c r="AT601" s="808"/>
      <c r="AU601" s="817"/>
      <c r="AV601" s="817"/>
      <c r="AW601" s="819"/>
    </row>
    <row r="602" spans="1:49" s="803" customFormat="1" ht="12.75" customHeight="1" x14ac:dyDescent="0.25">
      <c r="A602" s="1115"/>
      <c r="B602" s="766" t="s">
        <v>830</v>
      </c>
      <c r="C602" s="799"/>
      <c r="D602" s="820"/>
      <c r="E602" s="767" t="s">
        <v>1437</v>
      </c>
      <c r="F602" s="768" t="s">
        <v>1438</v>
      </c>
      <c r="G602" s="769">
        <v>0.74</v>
      </c>
      <c r="H602" s="768">
        <v>0.01</v>
      </c>
      <c r="I602" s="770">
        <f t="shared" ref="I602:I607" si="57">G602*H602</f>
        <v>7.4000000000000003E-3</v>
      </c>
      <c r="J602" s="758" t="s">
        <v>1291</v>
      </c>
      <c r="K602" s="771">
        <v>2</v>
      </c>
      <c r="L602" s="772">
        <v>750</v>
      </c>
      <c r="M602" s="771">
        <v>2</v>
      </c>
      <c r="N602" s="760">
        <f>L602/'Исп. коэффициенты'!E31*(C606+C607)</f>
        <v>0.18909310944709171</v>
      </c>
      <c r="O602" s="759" t="s">
        <v>987</v>
      </c>
      <c r="P602" s="759">
        <v>0</v>
      </c>
      <c r="Q602" s="759">
        <v>19.670000000000002</v>
      </c>
      <c r="R602" s="759">
        <f>P602*Q602%</f>
        <v>0</v>
      </c>
      <c r="S602" s="759">
        <v>0</v>
      </c>
      <c r="T602" s="755" t="s">
        <v>1435</v>
      </c>
      <c r="U602" s="756">
        <v>6785401.3499999996</v>
      </c>
      <c r="V602" s="785">
        <f>'Исп. коэффициенты'!E124</f>
        <v>2978.5</v>
      </c>
      <c r="W602" s="761">
        <f>'Исп. коэффициенты'!D124</f>
        <v>1.3599999999999999E-2</v>
      </c>
      <c r="X602" s="760">
        <f>U602*W602</f>
        <v>92281.45835999999</v>
      </c>
      <c r="Y602" s="759">
        <f>X602/'Исп. коэффициенты'!E31*C606</f>
        <v>11.63319193706981</v>
      </c>
      <c r="Z602" s="759"/>
      <c r="AA602" s="755"/>
      <c r="AB602" s="755"/>
      <c r="AC602" s="755"/>
      <c r="AD602" s="802"/>
      <c r="AF602" s="821"/>
      <c r="AG602" s="802"/>
      <c r="AH602" s="805"/>
      <c r="AI602" s="805"/>
      <c r="AJ602" s="822"/>
      <c r="AK602" s="805"/>
      <c r="AL602" s="806"/>
      <c r="AM602" s="805"/>
      <c r="AN602" s="805"/>
      <c r="AO602" s="807"/>
      <c r="AP602" s="805"/>
      <c r="AQ602" s="805"/>
      <c r="AR602" s="807"/>
      <c r="AS602" s="807"/>
      <c r="AT602" s="805"/>
      <c r="AU602" s="805"/>
      <c r="AV602" s="807"/>
      <c r="AW602" s="802"/>
    </row>
    <row r="603" spans="1:49" s="803" customFormat="1" x14ac:dyDescent="0.25">
      <c r="A603" s="1115"/>
      <c r="B603" s="774" t="s">
        <v>1178</v>
      </c>
      <c r="C603" s="823">
        <f>C593</f>
        <v>38.717865870069311</v>
      </c>
      <c r="D603" s="820"/>
      <c r="E603" s="767" t="s">
        <v>1439</v>
      </c>
      <c r="F603" s="768" t="s">
        <v>1438</v>
      </c>
      <c r="G603" s="769">
        <v>0.27</v>
      </c>
      <c r="H603" s="768">
        <v>0.01</v>
      </c>
      <c r="I603" s="775">
        <f t="shared" si="57"/>
        <v>2.7000000000000001E-3</v>
      </c>
      <c r="J603" s="758" t="s">
        <v>1445</v>
      </c>
      <c r="K603" s="760">
        <v>2</v>
      </c>
      <c r="L603" s="776">
        <v>95</v>
      </c>
      <c r="M603" s="771">
        <v>2</v>
      </c>
      <c r="N603" s="760">
        <f>L603/'Исп. коэффициенты'!E31*(C606+C607)</f>
        <v>2.3951793863298283E-2</v>
      </c>
      <c r="O603" s="759"/>
      <c r="P603" s="759"/>
      <c r="Q603" s="759"/>
      <c r="R603" s="759"/>
      <c r="S603" s="759"/>
      <c r="T603" s="759"/>
      <c r="U603" s="759"/>
      <c r="V603" s="759"/>
      <c r="W603" s="759"/>
      <c r="X603" s="759"/>
      <c r="Y603" s="759"/>
      <c r="Z603" s="759"/>
      <c r="AA603" s="755"/>
      <c r="AB603" s="755"/>
      <c r="AC603" s="755"/>
      <c r="AD603" s="802"/>
      <c r="AF603" s="821"/>
      <c r="AG603" s="802"/>
      <c r="AH603" s="805"/>
      <c r="AI603" s="805"/>
      <c r="AJ603" s="822"/>
      <c r="AK603" s="805"/>
      <c r="AL603" s="806"/>
      <c r="AM603" s="824"/>
      <c r="AN603" s="805"/>
      <c r="AO603" s="807"/>
      <c r="AP603" s="805"/>
      <c r="AQ603" s="805"/>
      <c r="AR603" s="807"/>
      <c r="AS603" s="807"/>
      <c r="AT603" s="805"/>
      <c r="AU603" s="805"/>
      <c r="AV603" s="807"/>
      <c r="AW603" s="802"/>
    </row>
    <row r="604" spans="1:49" s="803" customFormat="1" ht="12.75" customHeight="1" x14ac:dyDescent="0.25">
      <c r="A604" s="1115"/>
      <c r="B604" s="754" t="s">
        <v>1179</v>
      </c>
      <c r="C604" s="799">
        <f>C594</f>
        <v>22.420123808013045</v>
      </c>
      <c r="D604" s="820"/>
      <c r="E604" s="767" t="s">
        <v>1598</v>
      </c>
      <c r="F604" s="768" t="s">
        <v>1441</v>
      </c>
      <c r="G604" s="769">
        <v>4.4000000000000004</v>
      </c>
      <c r="H604" s="769">
        <v>1</v>
      </c>
      <c r="I604" s="770">
        <f t="shared" si="57"/>
        <v>4.4000000000000004</v>
      </c>
      <c r="J604" s="758" t="s">
        <v>1513</v>
      </c>
      <c r="K604" s="760">
        <v>2</v>
      </c>
      <c r="L604" s="760">
        <v>25</v>
      </c>
      <c r="M604" s="771">
        <v>0.5</v>
      </c>
      <c r="N604" s="760">
        <f>L604/'Исп. коэффициенты'!E31*(C606+C607)</f>
        <v>6.3031036482363908E-3</v>
      </c>
      <c r="O604" s="759"/>
      <c r="P604" s="759"/>
      <c r="Q604" s="759"/>
      <c r="R604" s="759"/>
      <c r="S604" s="759"/>
      <c r="T604" s="759"/>
      <c r="U604" s="759"/>
      <c r="V604" s="759"/>
      <c r="W604" s="759"/>
      <c r="X604" s="759"/>
      <c r="Y604" s="759"/>
      <c r="Z604" s="759"/>
      <c r="AA604" s="755"/>
      <c r="AB604" s="755"/>
      <c r="AC604" s="755"/>
      <c r="AD604" s="802"/>
      <c r="AF604" s="821"/>
      <c r="AG604" s="802"/>
      <c r="AH604" s="805"/>
      <c r="AI604" s="805"/>
      <c r="AJ604" s="822"/>
      <c r="AK604" s="805"/>
      <c r="AL604" s="806"/>
      <c r="AM604" s="805"/>
      <c r="AN604" s="805"/>
      <c r="AO604" s="807"/>
      <c r="AP604" s="805"/>
      <c r="AQ604" s="805"/>
      <c r="AR604" s="807"/>
      <c r="AS604" s="807"/>
      <c r="AT604" s="805"/>
      <c r="AU604" s="805"/>
      <c r="AV604" s="807"/>
      <c r="AW604" s="802"/>
    </row>
    <row r="605" spans="1:49" s="803" customFormat="1" ht="12.75" customHeight="1" x14ac:dyDescent="0.25">
      <c r="A605" s="1115"/>
      <c r="B605" s="754" t="s">
        <v>831</v>
      </c>
      <c r="C605" s="825"/>
      <c r="D605" s="820"/>
      <c r="E605" s="767" t="s">
        <v>1599</v>
      </c>
      <c r="F605" s="768" t="s">
        <v>1441</v>
      </c>
      <c r="G605" s="769">
        <v>77.28</v>
      </c>
      <c r="H605" s="768">
        <v>1</v>
      </c>
      <c r="I605" s="770">
        <f t="shared" si="57"/>
        <v>77.28</v>
      </c>
      <c r="J605" s="758"/>
      <c r="K605" s="760"/>
      <c r="L605" s="760"/>
      <c r="M605" s="760"/>
      <c r="N605" s="760"/>
      <c r="O605" s="759"/>
      <c r="P605" s="759"/>
      <c r="Q605" s="759"/>
      <c r="R605" s="759"/>
      <c r="S605" s="759"/>
      <c r="T605" s="759"/>
      <c r="U605" s="759"/>
      <c r="V605" s="759"/>
      <c r="W605" s="759"/>
      <c r="X605" s="759"/>
      <c r="Y605" s="759"/>
      <c r="Z605" s="759"/>
      <c r="AA605" s="755"/>
      <c r="AB605" s="755"/>
      <c r="AC605" s="755"/>
      <c r="AD605" s="802"/>
      <c r="AF605" s="821"/>
      <c r="AG605" s="802"/>
      <c r="AH605" s="805"/>
      <c r="AI605" s="805"/>
      <c r="AJ605" s="822"/>
      <c r="AK605" s="805"/>
      <c r="AL605" s="806"/>
      <c r="AM605" s="805"/>
      <c r="AN605" s="805"/>
      <c r="AO605" s="807"/>
      <c r="AP605" s="805"/>
      <c r="AQ605" s="805"/>
      <c r="AR605" s="807"/>
      <c r="AS605" s="807"/>
      <c r="AT605" s="805"/>
      <c r="AU605" s="805"/>
      <c r="AV605" s="807"/>
      <c r="AW605" s="802"/>
    </row>
    <row r="606" spans="1:49" s="803" customFormat="1" ht="12.75" customHeight="1" x14ac:dyDescent="0.25">
      <c r="A606" s="1115"/>
      <c r="B606" s="774" t="s">
        <v>1178</v>
      </c>
      <c r="C606" s="826">
        <v>1</v>
      </c>
      <c r="D606" s="820"/>
      <c r="E606" s="767" t="s">
        <v>1442</v>
      </c>
      <c r="F606" s="768" t="s">
        <v>1443</v>
      </c>
      <c r="G606" s="769">
        <v>419.5</v>
      </c>
      <c r="H606" s="768">
        <v>1E-3</v>
      </c>
      <c r="I606" s="770">
        <f t="shared" si="57"/>
        <v>0.41949999999999998</v>
      </c>
      <c r="J606" s="758"/>
      <c r="K606" s="760"/>
      <c r="L606" s="760"/>
      <c r="M606" s="760"/>
      <c r="N606" s="760"/>
      <c r="O606" s="759"/>
      <c r="P606" s="759"/>
      <c r="Q606" s="759"/>
      <c r="R606" s="759"/>
      <c r="S606" s="759"/>
      <c r="T606" s="759"/>
      <c r="U606" s="759"/>
      <c r="V606" s="759"/>
      <c r="W606" s="759"/>
      <c r="X606" s="759"/>
      <c r="Y606" s="759"/>
      <c r="Z606" s="759"/>
      <c r="AA606" s="755"/>
      <c r="AB606" s="755"/>
      <c r="AC606" s="755"/>
      <c r="AD606" s="802"/>
      <c r="AF606" s="821"/>
      <c r="AG606" s="802"/>
      <c r="AH606" s="805"/>
      <c r="AI606" s="805"/>
      <c r="AJ606" s="827"/>
      <c r="AK606" s="805"/>
      <c r="AL606" s="806"/>
      <c r="AM606" s="805"/>
      <c r="AN606" s="805"/>
      <c r="AO606" s="807"/>
      <c r="AP606" s="805"/>
      <c r="AQ606" s="805"/>
      <c r="AR606" s="807"/>
      <c r="AS606" s="807"/>
      <c r="AT606" s="805"/>
      <c r="AU606" s="805"/>
      <c r="AV606" s="807"/>
      <c r="AW606" s="802"/>
    </row>
    <row r="607" spans="1:49" s="803" customFormat="1" ht="12.75" customHeight="1" x14ac:dyDescent="0.25">
      <c r="A607" s="1115"/>
      <c r="B607" s="754" t="s">
        <v>1179</v>
      </c>
      <c r="C607" s="826">
        <v>1</v>
      </c>
      <c r="D607" s="820"/>
      <c r="E607" s="767" t="s">
        <v>1444</v>
      </c>
      <c r="F607" s="768" t="s">
        <v>1443</v>
      </c>
      <c r="G607" s="769">
        <v>872</v>
      </c>
      <c r="H607" s="768">
        <v>2E-3</v>
      </c>
      <c r="I607" s="770">
        <f t="shared" si="57"/>
        <v>1.744</v>
      </c>
      <c r="J607" s="758"/>
      <c r="K607" s="760"/>
      <c r="L607" s="760"/>
      <c r="M607" s="760"/>
      <c r="N607" s="760"/>
      <c r="O607" s="759"/>
      <c r="P607" s="759"/>
      <c r="Q607" s="759"/>
      <c r="R607" s="759"/>
      <c r="S607" s="759"/>
      <c r="T607" s="759"/>
      <c r="U607" s="759"/>
      <c r="V607" s="759"/>
      <c r="W607" s="759"/>
      <c r="X607" s="759"/>
      <c r="Y607" s="759"/>
      <c r="Z607" s="759"/>
      <c r="AA607" s="755"/>
      <c r="AB607" s="755"/>
      <c r="AC607" s="755"/>
      <c r="AD607" s="802"/>
      <c r="AF607" s="821"/>
      <c r="AG607" s="802"/>
      <c r="AH607" s="805"/>
      <c r="AI607" s="805"/>
      <c r="AJ607" s="827"/>
      <c r="AK607" s="805"/>
      <c r="AL607" s="806"/>
      <c r="AM607" s="805"/>
      <c r="AN607" s="805"/>
      <c r="AO607" s="807"/>
      <c r="AP607" s="805"/>
      <c r="AQ607" s="805"/>
      <c r="AR607" s="807"/>
      <c r="AS607" s="807"/>
      <c r="AT607" s="805"/>
      <c r="AU607" s="805"/>
      <c r="AV607" s="807"/>
      <c r="AW607" s="802"/>
    </row>
    <row r="608" spans="1:49" s="803" customFormat="1" ht="12.75" customHeight="1" x14ac:dyDescent="0.25">
      <c r="A608" s="1115"/>
      <c r="B608" s="782" t="s">
        <v>1181</v>
      </c>
      <c r="C608" s="799">
        <f>C603*C606+C604*C607</f>
        <v>61.137989678082356</v>
      </c>
      <c r="D608" s="820"/>
      <c r="E608" s="780"/>
      <c r="F608" s="781"/>
      <c r="G608" s="769"/>
      <c r="H608" s="768"/>
      <c r="I608" s="770"/>
      <c r="J608" s="758"/>
      <c r="K608" s="828"/>
      <c r="L608" s="776"/>
      <c r="M608" s="771"/>
      <c r="N608" s="760"/>
      <c r="O608" s="759"/>
      <c r="P608" s="759"/>
      <c r="Q608" s="759"/>
      <c r="R608" s="759"/>
      <c r="S608" s="759"/>
      <c r="T608" s="759"/>
      <c r="U608" s="759"/>
      <c r="V608" s="759"/>
      <c r="W608" s="759"/>
      <c r="X608" s="759"/>
      <c r="Y608" s="759"/>
      <c r="Z608" s="759"/>
      <c r="AA608" s="755"/>
      <c r="AB608" s="755"/>
      <c r="AC608" s="755"/>
      <c r="AD608" s="802"/>
      <c r="AF608" s="821"/>
      <c r="AG608" s="802"/>
      <c r="AH608" s="805"/>
      <c r="AI608" s="805"/>
      <c r="AJ608" s="822"/>
      <c r="AK608" s="805"/>
      <c r="AL608" s="806"/>
      <c r="AM608" s="805"/>
      <c r="AN608" s="805"/>
      <c r="AO608" s="807"/>
      <c r="AP608" s="805"/>
      <c r="AQ608" s="805"/>
      <c r="AR608" s="807"/>
      <c r="AS608" s="807"/>
      <c r="AT608" s="805"/>
      <c r="AU608" s="805"/>
      <c r="AV608" s="807"/>
      <c r="AW608" s="802"/>
    </row>
    <row r="609" spans="1:36" s="803" customFormat="1" ht="13.5" customHeight="1" x14ac:dyDescent="0.25">
      <c r="A609" s="1116"/>
      <c r="B609" s="783"/>
      <c r="C609" s="826"/>
      <c r="D609" s="829"/>
      <c r="E609" s="780"/>
      <c r="F609" s="781"/>
      <c r="G609" s="769"/>
      <c r="H609" s="768"/>
      <c r="I609" s="770"/>
      <c r="J609" s="758"/>
      <c r="K609" s="828"/>
      <c r="L609" s="760"/>
      <c r="M609" s="760"/>
      <c r="N609" s="760"/>
      <c r="O609" s="759"/>
      <c r="P609" s="759"/>
      <c r="Q609" s="759"/>
      <c r="R609" s="759"/>
      <c r="S609" s="759"/>
      <c r="T609" s="759"/>
      <c r="U609" s="759"/>
      <c r="V609" s="759"/>
      <c r="W609" s="759"/>
      <c r="X609" s="759"/>
      <c r="Y609" s="759"/>
      <c r="Z609" s="759"/>
      <c r="AA609" s="755"/>
      <c r="AB609" s="755"/>
      <c r="AC609" s="755"/>
      <c r="AD609" s="802"/>
      <c r="AF609" s="821"/>
      <c r="AG609" s="802"/>
      <c r="AH609" s="805"/>
      <c r="AI609" s="805"/>
      <c r="AJ609" s="827"/>
    </row>
  </sheetData>
  <mergeCells count="73">
    <mergeCell ref="A340:A349"/>
    <mergeCell ref="A350:A359"/>
    <mergeCell ref="A290:A299"/>
    <mergeCell ref="A160:A169"/>
    <mergeCell ref="A170:A179"/>
    <mergeCell ref="A180:A189"/>
    <mergeCell ref="A190:A199"/>
    <mergeCell ref="A210:A219"/>
    <mergeCell ref="A220:A229"/>
    <mergeCell ref="A230:A239"/>
    <mergeCell ref="A240:A249"/>
    <mergeCell ref="A200:A209"/>
    <mergeCell ref="A330:A339"/>
    <mergeCell ref="A260:A269"/>
    <mergeCell ref="A250:A259"/>
    <mergeCell ref="A300:A309"/>
    <mergeCell ref="A430:A439"/>
    <mergeCell ref="A420:A429"/>
    <mergeCell ref="A380:A389"/>
    <mergeCell ref="A360:A369"/>
    <mergeCell ref="A370:A379"/>
    <mergeCell ref="A390:A399"/>
    <mergeCell ref="A410:A419"/>
    <mergeCell ref="A400:A409"/>
    <mergeCell ref="A310:A319"/>
    <mergeCell ref="A320:A329"/>
    <mergeCell ref="A270:A279"/>
    <mergeCell ref="A280:A289"/>
    <mergeCell ref="A150:A159"/>
    <mergeCell ref="A100:A109"/>
    <mergeCell ref="A110:A119"/>
    <mergeCell ref="A120:A129"/>
    <mergeCell ref="A140:A149"/>
    <mergeCell ref="A130:A139"/>
    <mergeCell ref="A90:A99"/>
    <mergeCell ref="A70:A79"/>
    <mergeCell ref="A38:A47"/>
    <mergeCell ref="A49:A58"/>
    <mergeCell ref="A60:A69"/>
    <mergeCell ref="A59:AC59"/>
    <mergeCell ref="A48:AC48"/>
    <mergeCell ref="A80:A89"/>
    <mergeCell ref="A28:A37"/>
    <mergeCell ref="O4:S5"/>
    <mergeCell ref="T4:Y5"/>
    <mergeCell ref="A8:A17"/>
    <mergeCell ref="AC4:AC5"/>
    <mergeCell ref="A6:AC6"/>
    <mergeCell ref="A18:A27"/>
    <mergeCell ref="A1:M1"/>
    <mergeCell ref="B4:C4"/>
    <mergeCell ref="E4:I5"/>
    <mergeCell ref="J4:N5"/>
    <mergeCell ref="A7:AC7"/>
    <mergeCell ref="AA4:AA5"/>
    <mergeCell ref="AB4:AB5"/>
    <mergeCell ref="A440:A449"/>
    <mergeCell ref="A450:A459"/>
    <mergeCell ref="A460:A469"/>
    <mergeCell ref="A470:A479"/>
    <mergeCell ref="A500:A509"/>
    <mergeCell ref="A590:A599"/>
    <mergeCell ref="A480:A489"/>
    <mergeCell ref="A490:A499"/>
    <mergeCell ref="A600:A609"/>
    <mergeCell ref="A560:A569"/>
    <mergeCell ref="A570:A579"/>
    <mergeCell ref="A520:A529"/>
    <mergeCell ref="A530:A539"/>
    <mergeCell ref="A540:A549"/>
    <mergeCell ref="A550:A559"/>
    <mergeCell ref="A580:A589"/>
    <mergeCell ref="A510:A519"/>
  </mergeCells>
  <phoneticPr fontId="2" type="noConversion"/>
  <pageMargins left="0.18" right="0.18" top="0.43" bottom="0.39" header="0.43" footer="0.18"/>
  <pageSetup paperSize="9" scale="61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A106"/>
  <sheetViews>
    <sheetView topLeftCell="A80" zoomScaleNormal="60" workbookViewId="0">
      <selection activeCell="J89" sqref="J89:M91"/>
    </sheetView>
  </sheetViews>
  <sheetFormatPr defaultColWidth="9.109375" defaultRowHeight="13.2" x14ac:dyDescent="0.25"/>
  <cols>
    <col min="1" max="1" width="9.109375" style="378"/>
    <col min="2" max="2" width="15" style="378" customWidth="1"/>
    <col min="3" max="4" width="9.109375" style="378"/>
    <col min="5" max="5" width="13.109375" style="378" customWidth="1"/>
    <col min="6" max="14" width="9.109375" style="378"/>
    <col min="15" max="15" width="14.33203125" style="378" customWidth="1"/>
    <col min="16" max="21" width="9.109375" style="378"/>
    <col min="22" max="22" width="11.33203125" style="378" bestFit="1" customWidth="1"/>
    <col min="23" max="26" width="9.109375" style="378"/>
    <col min="27" max="27" width="0" style="378" hidden="1" customWidth="1"/>
    <col min="28" max="29" width="9.109375" style="378" hidden="1" customWidth="1"/>
    <col min="30" max="16384" width="9.109375" style="378"/>
  </cols>
  <sheetData>
    <row r="1" spans="1:53" s="270" customFormat="1" ht="22.5" customHeight="1" x14ac:dyDescent="0.25">
      <c r="A1" s="1025" t="s">
        <v>1538</v>
      </c>
      <c r="B1" s="1025"/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1"/>
      <c r="AB1" s="261"/>
      <c r="AC1" s="261"/>
      <c r="AD1" s="261"/>
      <c r="AE1" s="261"/>
      <c r="AF1" s="262"/>
      <c r="AG1" s="263"/>
      <c r="AH1" s="263"/>
      <c r="AI1" s="338"/>
      <c r="AJ1" s="272"/>
      <c r="AK1" s="272"/>
      <c r="AL1" s="273"/>
      <c r="AM1" s="272"/>
      <c r="AN1" s="272"/>
      <c r="AO1" s="274"/>
      <c r="AP1" s="272"/>
      <c r="AQ1" s="272"/>
      <c r="AR1" s="274"/>
      <c r="AS1" s="274"/>
      <c r="AT1" s="272"/>
      <c r="AU1" s="272"/>
      <c r="AV1" s="274"/>
      <c r="AW1" s="272"/>
      <c r="AX1" s="272"/>
      <c r="AY1" s="272"/>
      <c r="AZ1" s="272"/>
      <c r="BA1" s="272"/>
    </row>
    <row r="2" spans="1:53" s="261" customFormat="1" ht="12.75" customHeight="1" x14ac:dyDescent="0.25">
      <c r="A2" s="39"/>
      <c r="B2" s="309" t="s">
        <v>1178</v>
      </c>
      <c r="C2" s="434">
        <f>'Заработная плата'!M76</f>
        <v>33.667709452234185</v>
      </c>
      <c r="D2" s="270"/>
      <c r="E2" s="285"/>
      <c r="F2" s="340"/>
      <c r="G2" s="319"/>
      <c r="H2" s="319"/>
      <c r="I2" s="270"/>
      <c r="J2" s="334"/>
      <c r="K2" s="341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F2" s="262"/>
      <c r="AG2" s="263"/>
      <c r="AH2" s="263"/>
      <c r="AI2" s="263"/>
      <c r="AJ2" s="263"/>
      <c r="AK2" s="263"/>
      <c r="AL2" s="264"/>
      <c r="AM2" s="263"/>
      <c r="AN2" s="263"/>
      <c r="AO2" s="265"/>
      <c r="AP2" s="263"/>
      <c r="AQ2" s="263"/>
      <c r="AR2" s="265"/>
      <c r="AS2" s="265"/>
      <c r="AT2" s="263"/>
      <c r="AU2" s="263"/>
      <c r="AV2" s="265"/>
      <c r="AW2" s="263"/>
      <c r="AX2" s="263"/>
      <c r="AY2" s="263"/>
      <c r="AZ2" s="263"/>
      <c r="BA2" s="263"/>
    </row>
    <row r="3" spans="1:53" s="261" customFormat="1" ht="12.75" customHeight="1" x14ac:dyDescent="0.25">
      <c r="B3" s="286" t="s">
        <v>1179</v>
      </c>
      <c r="C3" s="435">
        <f>'Заработная плата'!M97</f>
        <v>19.495759833054819</v>
      </c>
      <c r="E3" s="331"/>
      <c r="F3" s="342"/>
      <c r="G3" s="333"/>
      <c r="H3" s="333"/>
      <c r="J3" s="334"/>
      <c r="K3" s="341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F3" s="262"/>
      <c r="AG3" s="263"/>
      <c r="AH3" s="263"/>
      <c r="AI3" s="263"/>
      <c r="AJ3" s="263"/>
      <c r="AK3" s="263"/>
      <c r="AL3" s="264"/>
      <c r="AM3" s="263"/>
      <c r="AN3" s="263"/>
      <c r="AO3" s="265"/>
      <c r="AP3" s="263"/>
      <c r="AQ3" s="263"/>
      <c r="AR3" s="265"/>
      <c r="AS3" s="265"/>
      <c r="AT3" s="263"/>
      <c r="AU3" s="263"/>
      <c r="AV3" s="265"/>
      <c r="AW3" s="263"/>
      <c r="AX3" s="263"/>
      <c r="AY3" s="263"/>
      <c r="AZ3" s="263"/>
      <c r="BA3" s="263"/>
    </row>
    <row r="4" spans="1:53" s="339" customFormat="1" ht="59.25" customHeight="1" x14ac:dyDescent="0.25">
      <c r="A4" s="266"/>
      <c r="B4" s="1026" t="s">
        <v>487</v>
      </c>
      <c r="C4" s="1026"/>
      <c r="D4" s="268" t="s">
        <v>491</v>
      </c>
      <c r="E4" s="1027" t="s">
        <v>1164</v>
      </c>
      <c r="F4" s="1028"/>
      <c r="G4" s="1028"/>
      <c r="H4" s="1028"/>
      <c r="I4" s="1023"/>
      <c r="J4" s="1017" t="s">
        <v>1165</v>
      </c>
      <c r="K4" s="1018"/>
      <c r="L4" s="1018"/>
      <c r="M4" s="1018"/>
      <c r="N4" s="1021"/>
      <c r="O4" s="1017" t="s">
        <v>492</v>
      </c>
      <c r="P4" s="1018"/>
      <c r="Q4" s="1018"/>
      <c r="R4" s="1018"/>
      <c r="S4" s="1018"/>
      <c r="T4" s="1017" t="s">
        <v>840</v>
      </c>
      <c r="U4" s="1018"/>
      <c r="V4" s="1018"/>
      <c r="W4" s="1018"/>
      <c r="X4" s="1018"/>
      <c r="Y4" s="1021"/>
      <c r="Z4" s="269" t="s">
        <v>1166</v>
      </c>
      <c r="AA4" s="1023" t="s">
        <v>827</v>
      </c>
      <c r="AB4" s="1015" t="s">
        <v>1167</v>
      </c>
      <c r="AC4" s="1015" t="s">
        <v>1168</v>
      </c>
      <c r="AD4" s="343"/>
      <c r="AF4" s="344"/>
      <c r="AG4" s="345"/>
      <c r="AH4" s="345"/>
      <c r="AI4" s="345"/>
      <c r="AJ4" s="271"/>
      <c r="AK4" s="345"/>
      <c r="AL4" s="346"/>
      <c r="AM4" s="345"/>
      <c r="AN4" s="345"/>
      <c r="AO4" s="132"/>
      <c r="AP4" s="132"/>
      <c r="AQ4" s="132"/>
      <c r="AR4" s="132"/>
      <c r="AS4" s="132"/>
      <c r="AT4" s="132"/>
      <c r="AU4" s="345"/>
      <c r="AV4" s="345"/>
      <c r="AW4" s="271"/>
      <c r="AX4" s="271"/>
      <c r="AY4" s="271"/>
      <c r="AZ4" s="271"/>
      <c r="BA4" s="271"/>
    </row>
    <row r="5" spans="1:53" s="339" customFormat="1" ht="13.5" customHeight="1" x14ac:dyDescent="0.25">
      <c r="A5" s="275"/>
      <c r="B5" s="267" t="s">
        <v>488</v>
      </c>
      <c r="C5" s="267" t="s">
        <v>1169</v>
      </c>
      <c r="D5" s="347">
        <v>0.20200000000000001</v>
      </c>
      <c r="E5" s="1029"/>
      <c r="F5" s="1030"/>
      <c r="G5" s="1030"/>
      <c r="H5" s="1030"/>
      <c r="I5" s="1024"/>
      <c r="J5" s="1019"/>
      <c r="K5" s="1020"/>
      <c r="L5" s="1020"/>
      <c r="M5" s="1020"/>
      <c r="N5" s="1022"/>
      <c r="O5" s="1019"/>
      <c r="P5" s="1020"/>
      <c r="Q5" s="1020"/>
      <c r="R5" s="1020"/>
      <c r="S5" s="1020"/>
      <c r="T5" s="1019"/>
      <c r="U5" s="1020"/>
      <c r="V5" s="1020"/>
      <c r="W5" s="1020"/>
      <c r="X5" s="1020"/>
      <c r="Y5" s="1022"/>
      <c r="Z5" s="276">
        <f>'Исп. коэффициенты'!C91</f>
        <v>1.3001876927947804</v>
      </c>
      <c r="AA5" s="1024"/>
      <c r="AB5" s="1016"/>
      <c r="AC5" s="1016"/>
      <c r="AD5" s="343"/>
      <c r="AE5" s="348"/>
      <c r="AF5" s="344"/>
      <c r="AG5" s="271"/>
      <c r="AH5" s="349"/>
      <c r="AI5" s="350"/>
      <c r="AJ5" s="351"/>
      <c r="AK5" s="349"/>
      <c r="AL5" s="352"/>
      <c r="AM5" s="345"/>
      <c r="AN5" s="345"/>
      <c r="AO5" s="132"/>
      <c r="AP5" s="132"/>
      <c r="AQ5" s="138"/>
      <c r="AR5" s="138"/>
      <c r="AS5" s="138"/>
      <c r="AT5" s="132"/>
      <c r="AU5" s="345"/>
      <c r="AV5" s="271"/>
      <c r="AW5" s="271"/>
      <c r="AX5" s="271"/>
      <c r="AY5" s="271"/>
      <c r="AZ5" s="271"/>
      <c r="BA5" s="271"/>
    </row>
    <row r="6" spans="1:53" s="339" customFormat="1" ht="17.25" customHeight="1" x14ac:dyDescent="0.25">
      <c r="A6" s="1054"/>
      <c r="B6" s="1055"/>
      <c r="C6" s="1055"/>
      <c r="D6" s="1055"/>
      <c r="E6" s="1055"/>
      <c r="F6" s="1055"/>
      <c r="G6" s="1055"/>
      <c r="H6" s="1055"/>
      <c r="I6" s="1055"/>
      <c r="J6" s="1055"/>
      <c r="K6" s="1055"/>
      <c r="L6" s="1055"/>
      <c r="M6" s="1055"/>
      <c r="N6" s="1055"/>
      <c r="O6" s="1055"/>
      <c r="P6" s="1055"/>
      <c r="Q6" s="1055"/>
      <c r="R6" s="1055"/>
      <c r="S6" s="1055"/>
      <c r="T6" s="1055"/>
      <c r="U6" s="1055"/>
      <c r="V6" s="1055"/>
      <c r="W6" s="1055"/>
      <c r="X6" s="1055"/>
      <c r="Y6" s="1055"/>
      <c r="Z6" s="1055"/>
      <c r="AA6" s="1055"/>
      <c r="AB6" s="1055"/>
      <c r="AC6" s="1056"/>
      <c r="AD6" s="343"/>
      <c r="AE6" s="348"/>
      <c r="AF6" s="344"/>
      <c r="AG6" s="271"/>
      <c r="AH6" s="349"/>
      <c r="AI6" s="350"/>
      <c r="AJ6" s="351"/>
      <c r="AK6" s="349"/>
      <c r="AL6" s="352"/>
      <c r="AM6" s="345"/>
      <c r="AN6" s="345"/>
      <c r="AO6" s="132"/>
      <c r="AP6" s="132"/>
      <c r="AQ6" s="138"/>
      <c r="AR6" s="138"/>
      <c r="AS6" s="138"/>
      <c r="AT6" s="132"/>
      <c r="AU6" s="345"/>
      <c r="AV6" s="271"/>
      <c r="AW6" s="271"/>
      <c r="AX6" s="271"/>
      <c r="AY6" s="271"/>
      <c r="AZ6" s="271"/>
      <c r="BA6" s="271"/>
    </row>
    <row r="7" spans="1:53" s="261" customFormat="1" ht="56.25" customHeight="1" x14ac:dyDescent="0.25">
      <c r="A7" s="1012" t="s">
        <v>1267</v>
      </c>
      <c r="B7" s="353" t="s">
        <v>1269</v>
      </c>
      <c r="C7" s="277"/>
      <c r="D7" s="335"/>
      <c r="E7" s="278" t="s">
        <v>488</v>
      </c>
      <c r="F7" s="279" t="s">
        <v>837</v>
      </c>
      <c r="G7" s="277" t="s">
        <v>489</v>
      </c>
      <c r="H7" s="278" t="s">
        <v>1170</v>
      </c>
      <c r="I7" s="279" t="s">
        <v>838</v>
      </c>
      <c r="J7" s="280" t="s">
        <v>1171</v>
      </c>
      <c r="K7" s="280" t="s">
        <v>490</v>
      </c>
      <c r="L7" s="281" t="s">
        <v>489</v>
      </c>
      <c r="M7" s="280" t="s">
        <v>1172</v>
      </c>
      <c r="N7" s="354" t="s">
        <v>838</v>
      </c>
      <c r="O7" s="280" t="s">
        <v>1171</v>
      </c>
      <c r="P7" s="280" t="s">
        <v>826</v>
      </c>
      <c r="Q7" s="280" t="s">
        <v>1173</v>
      </c>
      <c r="R7" s="280" t="s">
        <v>1174</v>
      </c>
      <c r="S7" s="280" t="s">
        <v>839</v>
      </c>
      <c r="T7" s="280" t="s">
        <v>1171</v>
      </c>
      <c r="U7" s="280" t="s">
        <v>1392</v>
      </c>
      <c r="V7" s="280" t="s">
        <v>841</v>
      </c>
      <c r="W7" s="282" t="s">
        <v>1173</v>
      </c>
      <c r="X7" s="280" t="s">
        <v>1394</v>
      </c>
      <c r="Y7" s="280" t="s">
        <v>839</v>
      </c>
      <c r="Z7" s="283"/>
      <c r="AA7" s="284"/>
      <c r="AB7" s="284"/>
      <c r="AC7" s="284"/>
      <c r="AD7" s="263"/>
      <c r="AF7" s="262"/>
      <c r="AG7" s="263"/>
      <c r="AH7" s="263"/>
      <c r="AI7" s="263"/>
      <c r="AJ7" s="263"/>
      <c r="AK7" s="263"/>
      <c r="AL7" s="264"/>
      <c r="AM7" s="263"/>
      <c r="AN7" s="263"/>
      <c r="AO7" s="265"/>
      <c r="AP7" s="263"/>
      <c r="AQ7" s="355"/>
      <c r="AR7" s="355"/>
      <c r="AS7" s="355"/>
      <c r="AT7" s="263"/>
      <c r="AU7" s="263"/>
      <c r="AV7" s="265"/>
      <c r="AW7" s="263"/>
      <c r="AX7" s="263"/>
      <c r="AY7" s="263"/>
      <c r="AZ7" s="263"/>
      <c r="BA7" s="263"/>
    </row>
    <row r="8" spans="1:53" s="270" customFormat="1" ht="12" customHeight="1" x14ac:dyDescent="0.25">
      <c r="A8" s="1013"/>
      <c r="B8" s="285" t="s">
        <v>1175</v>
      </c>
      <c r="C8" s="277">
        <f>C15</f>
        <v>26.581734642644502</v>
      </c>
      <c r="D8" s="335">
        <f>C8*$D$5</f>
        <v>5.3695103978141896</v>
      </c>
      <c r="E8" s="286" t="s">
        <v>1176</v>
      </c>
      <c r="F8" s="356"/>
      <c r="G8" s="288"/>
      <c r="H8" s="288"/>
      <c r="I8" s="289">
        <f>SUM(I9:I16)</f>
        <v>10.375</v>
      </c>
      <c r="J8" s="290" t="s">
        <v>1176</v>
      </c>
      <c r="K8" s="357"/>
      <c r="L8" s="291"/>
      <c r="M8" s="291"/>
      <c r="N8" s="433">
        <f>SUM(N9:N16)</f>
        <v>8.2000430473983976E-2</v>
      </c>
      <c r="O8" s="291"/>
      <c r="P8" s="291"/>
      <c r="Q8" s="291"/>
      <c r="R8" s="291"/>
      <c r="S8" s="295">
        <f>S9+S10</f>
        <v>0.10428569688923545</v>
      </c>
      <c r="T8" s="292"/>
      <c r="U8" s="292"/>
      <c r="V8" s="292"/>
      <c r="W8" s="292"/>
      <c r="X8" s="292"/>
      <c r="Y8" s="433">
        <f>SUM(Y9:Y16)</f>
        <v>4.3489191438431192</v>
      </c>
      <c r="Z8" s="296">
        <f>(C8+D8+I8+N8+S8+Y8)*$Z$5</f>
        <v>60.928680961740994</v>
      </c>
      <c r="AA8" s="297">
        <f>C8+D8+I8+N8+S8+Y8+Z8</f>
        <v>107.79013127340602</v>
      </c>
      <c r="AB8" s="298">
        <v>0.25</v>
      </c>
      <c r="AC8" s="358">
        <f>AA8*(1+AB8)</f>
        <v>134.73766409175752</v>
      </c>
      <c r="AD8" s="265"/>
      <c r="AE8" s="261"/>
      <c r="AF8" s="262"/>
      <c r="AG8" s="263"/>
      <c r="AH8" s="263"/>
      <c r="AI8" s="355"/>
      <c r="AJ8" s="359"/>
      <c r="AK8" s="360"/>
      <c r="AL8" s="264"/>
      <c r="AM8" s="361"/>
      <c r="AN8" s="143"/>
      <c r="AO8" s="362"/>
      <c r="AP8" s="363"/>
      <c r="AQ8" s="363"/>
      <c r="AR8" s="363"/>
      <c r="AS8" s="363"/>
      <c r="AT8" s="363"/>
      <c r="AU8" s="362"/>
      <c r="AV8" s="362"/>
      <c r="AW8" s="364"/>
      <c r="AX8" s="272"/>
      <c r="AY8" s="272"/>
      <c r="AZ8" s="272"/>
      <c r="BA8" s="272"/>
    </row>
    <row r="9" spans="1:53" s="371" customFormat="1" ht="12.75" customHeight="1" x14ac:dyDescent="0.25">
      <c r="A9" s="1013"/>
      <c r="B9" s="299" t="s">
        <v>830</v>
      </c>
      <c r="C9" s="277"/>
      <c r="D9" s="336"/>
      <c r="E9" s="300" t="s">
        <v>2186</v>
      </c>
      <c r="F9" s="301" t="s">
        <v>1441</v>
      </c>
      <c r="G9" s="302">
        <v>5.36</v>
      </c>
      <c r="H9" s="301">
        <v>1</v>
      </c>
      <c r="I9" s="303">
        <f>G9*H9</f>
        <v>5.36</v>
      </c>
      <c r="J9" s="290" t="s">
        <v>1291</v>
      </c>
      <c r="K9" s="304">
        <v>2</v>
      </c>
      <c r="L9" s="305">
        <v>750</v>
      </c>
      <c r="M9" s="304">
        <v>2</v>
      </c>
      <c r="N9" s="433">
        <f>L9/'Исп. коэффициенты'!E52*(C13+C14)</f>
        <v>7.0690026270675846E-2</v>
      </c>
      <c r="O9" s="291" t="s">
        <v>1667</v>
      </c>
      <c r="P9" s="291">
        <v>4500</v>
      </c>
      <c r="Q9" s="291">
        <v>19.670000000000002</v>
      </c>
      <c r="R9" s="291">
        <v>885.15</v>
      </c>
      <c r="S9" s="295">
        <f>R9/'Исп. коэффициенты'!E52*C13</f>
        <v>4.1714184502325814E-2</v>
      </c>
      <c r="T9" s="306" t="s">
        <v>1435</v>
      </c>
      <c r="U9" s="307">
        <v>6785401.3499999996</v>
      </c>
      <c r="V9" s="746">
        <f>'Исп. коэффициенты'!E124</f>
        <v>2978.5</v>
      </c>
      <c r="W9" s="308">
        <v>1.3599999999999999E-2</v>
      </c>
      <c r="X9" s="292">
        <f>U9*W9</f>
        <v>92281.45835999999</v>
      </c>
      <c r="Y9" s="295">
        <f>X9/'Исп. коэффициенты'!E52*C13</f>
        <v>4.3489191438431192</v>
      </c>
      <c r="Z9" s="291"/>
      <c r="AA9" s="284"/>
      <c r="AB9" s="284"/>
      <c r="AC9" s="284"/>
      <c r="AD9" s="263"/>
      <c r="AE9" s="261"/>
      <c r="AF9" s="365"/>
      <c r="AG9" s="366"/>
      <c r="AH9" s="366"/>
      <c r="AI9" s="366"/>
      <c r="AJ9" s="367"/>
      <c r="AK9" s="366"/>
      <c r="AL9" s="368"/>
      <c r="AM9" s="366"/>
      <c r="AN9" s="366"/>
      <c r="AO9" s="369"/>
      <c r="AP9" s="366"/>
      <c r="AQ9" s="366"/>
      <c r="AR9" s="369"/>
      <c r="AS9" s="369"/>
      <c r="AT9" s="366"/>
      <c r="AU9" s="366"/>
      <c r="AV9" s="369"/>
      <c r="AW9" s="366"/>
      <c r="AX9" s="366"/>
      <c r="AY9" s="366"/>
      <c r="AZ9" s="366"/>
      <c r="BA9" s="366"/>
    </row>
    <row r="10" spans="1:53" s="371" customFormat="1" x14ac:dyDescent="0.25">
      <c r="A10" s="1013"/>
      <c r="B10" s="309" t="s">
        <v>1178</v>
      </c>
      <c r="C10" s="310">
        <f>C2</f>
        <v>33.667709452234185</v>
      </c>
      <c r="D10" s="336"/>
      <c r="E10" s="300" t="s">
        <v>2187</v>
      </c>
      <c r="F10" s="301" t="s">
        <v>1</v>
      </c>
      <c r="G10" s="302">
        <v>6.3E-2</v>
      </c>
      <c r="H10" s="301">
        <v>5</v>
      </c>
      <c r="I10" s="303">
        <f>G10*H10</f>
        <v>0.315</v>
      </c>
      <c r="J10" s="290" t="s">
        <v>1445</v>
      </c>
      <c r="K10" s="292">
        <v>2</v>
      </c>
      <c r="L10" s="311">
        <v>95</v>
      </c>
      <c r="M10" s="304">
        <v>2</v>
      </c>
      <c r="N10" s="433">
        <f>L10/'Исп. коэффициенты'!E52*(C13+C14)</f>
        <v>8.9540699942856072E-3</v>
      </c>
      <c r="O10" s="291" t="s">
        <v>1668</v>
      </c>
      <c r="P10" s="291">
        <v>6750</v>
      </c>
      <c r="Q10" s="291">
        <v>19.670000000000002</v>
      </c>
      <c r="R10" s="291">
        <v>1327.73</v>
      </c>
      <c r="S10" s="295">
        <f>R10/'Исп. коэффициенты'!E52*C13</f>
        <v>6.2571512386909625E-2</v>
      </c>
      <c r="T10" s="291"/>
      <c r="U10" s="291"/>
      <c r="V10" s="291"/>
      <c r="W10" s="291"/>
      <c r="X10" s="291"/>
      <c r="Y10" s="295"/>
      <c r="Z10" s="291"/>
      <c r="AA10" s="284"/>
      <c r="AB10" s="284"/>
      <c r="AC10" s="284"/>
      <c r="AD10" s="263"/>
      <c r="AE10" s="261"/>
      <c r="AF10" s="365"/>
      <c r="AG10" s="366"/>
      <c r="AH10" s="366"/>
      <c r="AI10" s="366"/>
      <c r="AJ10" s="367"/>
      <c r="AK10" s="366"/>
      <c r="AL10" s="368"/>
      <c r="AM10" s="373"/>
      <c r="AN10" s="366"/>
      <c r="AO10" s="369"/>
      <c r="AP10" s="366"/>
      <c r="AQ10" s="366"/>
      <c r="AR10" s="369"/>
      <c r="AS10" s="369"/>
      <c r="AT10" s="366"/>
      <c r="AU10" s="366"/>
      <c r="AV10" s="369"/>
      <c r="AW10" s="366"/>
      <c r="AX10" s="366"/>
      <c r="AY10" s="366"/>
      <c r="AZ10" s="366"/>
      <c r="BA10" s="366"/>
    </row>
    <row r="11" spans="1:53" s="371" customFormat="1" ht="12.75" customHeight="1" x14ac:dyDescent="0.25">
      <c r="A11" s="1013"/>
      <c r="B11" s="286" t="s">
        <v>1179</v>
      </c>
      <c r="C11" s="277">
        <f>C3</f>
        <v>19.495759833054819</v>
      </c>
      <c r="D11" s="336"/>
      <c r="E11" s="300" t="s">
        <v>2112</v>
      </c>
      <c r="F11" s="301" t="s">
        <v>1</v>
      </c>
      <c r="G11" s="302">
        <v>0.47</v>
      </c>
      <c r="H11" s="302">
        <v>10</v>
      </c>
      <c r="I11" s="303">
        <f>G11*H11</f>
        <v>4.6999999999999993</v>
      </c>
      <c r="J11" s="290" t="s">
        <v>1513</v>
      </c>
      <c r="K11" s="292">
        <v>2</v>
      </c>
      <c r="L11" s="292">
        <v>25</v>
      </c>
      <c r="M11" s="304">
        <v>0.5</v>
      </c>
      <c r="N11" s="433">
        <f>L11/'Исп. коэффициенты'!E52*(C13+C14)</f>
        <v>2.3563342090225283E-3</v>
      </c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84"/>
      <c r="AB11" s="284"/>
      <c r="AC11" s="284"/>
      <c r="AD11" s="263"/>
      <c r="AE11" s="261"/>
      <c r="AF11" s="365"/>
      <c r="AG11" s="366"/>
      <c r="AH11" s="366"/>
      <c r="AI11" s="366"/>
      <c r="AJ11" s="367"/>
      <c r="AK11" s="366"/>
      <c r="AL11" s="368"/>
      <c r="AM11" s="366"/>
      <c r="AN11" s="366"/>
      <c r="AO11" s="369"/>
      <c r="AP11" s="366"/>
      <c r="AQ11" s="366"/>
      <c r="AR11" s="369"/>
      <c r="AS11" s="369"/>
      <c r="AT11" s="366"/>
      <c r="AU11" s="366"/>
      <c r="AV11" s="369"/>
      <c r="AW11" s="366"/>
      <c r="AX11" s="366"/>
      <c r="AY11" s="366"/>
      <c r="AZ11" s="366"/>
      <c r="BA11" s="366"/>
    </row>
    <row r="12" spans="1:53" s="371" customFormat="1" ht="12.75" customHeight="1" x14ac:dyDescent="0.25">
      <c r="A12" s="1013"/>
      <c r="B12" s="286" t="s">
        <v>831</v>
      </c>
      <c r="C12" s="313"/>
      <c r="D12" s="336"/>
      <c r="E12" s="300"/>
      <c r="F12" s="301"/>
      <c r="G12" s="302"/>
      <c r="H12" s="301"/>
      <c r="I12" s="303"/>
      <c r="J12" s="290"/>
      <c r="K12" s="292"/>
      <c r="L12" s="292"/>
      <c r="M12" s="292"/>
      <c r="N12" s="292"/>
      <c r="O12" s="290"/>
      <c r="P12" s="292"/>
      <c r="Q12" s="292"/>
      <c r="R12" s="292"/>
      <c r="S12" s="292"/>
      <c r="T12" s="291"/>
      <c r="U12" s="291"/>
      <c r="V12" s="291"/>
      <c r="W12" s="291"/>
      <c r="X12" s="291"/>
      <c r="Y12" s="291"/>
      <c r="Z12" s="291"/>
      <c r="AA12" s="284"/>
      <c r="AB12" s="284"/>
      <c r="AC12" s="284"/>
      <c r="AD12" s="263"/>
      <c r="AE12" s="261"/>
      <c r="AF12" s="365"/>
      <c r="AG12" s="366"/>
      <c r="AH12" s="366"/>
      <c r="AI12" s="366"/>
      <c r="AJ12" s="367"/>
      <c r="AK12" s="366"/>
      <c r="AL12" s="368"/>
      <c r="AM12" s="366"/>
      <c r="AN12" s="366"/>
      <c r="AO12" s="369"/>
      <c r="AP12" s="366"/>
      <c r="AQ12" s="366"/>
      <c r="AR12" s="369"/>
      <c r="AS12" s="369"/>
      <c r="AT12" s="366"/>
      <c r="AU12" s="366"/>
      <c r="AV12" s="369"/>
      <c r="AW12" s="366"/>
      <c r="AX12" s="366"/>
      <c r="AY12" s="366"/>
      <c r="AZ12" s="366"/>
      <c r="BA12" s="366"/>
    </row>
    <row r="13" spans="1:53" s="371" customFormat="1" ht="12.75" customHeight="1" x14ac:dyDescent="0.25">
      <c r="A13" s="1013"/>
      <c r="B13" s="309" t="s">
        <v>1178</v>
      </c>
      <c r="C13" s="314">
        <v>0.5</v>
      </c>
      <c r="D13" s="336"/>
      <c r="E13" s="300"/>
      <c r="F13" s="301"/>
      <c r="G13" s="302"/>
      <c r="H13" s="301"/>
      <c r="I13" s="303"/>
      <c r="J13" s="290"/>
      <c r="K13" s="292"/>
      <c r="L13" s="292"/>
      <c r="M13" s="292"/>
      <c r="N13" s="292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84"/>
      <c r="AB13" s="284"/>
      <c r="AC13" s="284"/>
      <c r="AD13" s="263"/>
      <c r="AE13" s="261"/>
      <c r="AF13" s="365"/>
      <c r="AG13" s="366"/>
      <c r="AH13" s="366"/>
      <c r="AI13" s="366"/>
      <c r="AJ13" s="375"/>
      <c r="AK13" s="366"/>
      <c r="AL13" s="368"/>
      <c r="AM13" s="366"/>
      <c r="AN13" s="366"/>
      <c r="AO13" s="369"/>
      <c r="AP13" s="366"/>
      <c r="AQ13" s="366"/>
      <c r="AR13" s="369"/>
      <c r="AS13" s="369"/>
      <c r="AT13" s="366"/>
      <c r="AU13" s="366"/>
      <c r="AV13" s="369"/>
      <c r="AW13" s="366"/>
      <c r="AX13" s="366"/>
      <c r="AY13" s="366"/>
      <c r="AZ13" s="366"/>
      <c r="BA13" s="366"/>
    </row>
    <row r="14" spans="1:53" s="371" customFormat="1" ht="15.75" customHeight="1" x14ac:dyDescent="0.25">
      <c r="A14" s="1013"/>
      <c r="B14" s="286" t="s">
        <v>1179</v>
      </c>
      <c r="C14" s="314">
        <v>0.5</v>
      </c>
      <c r="D14" s="336"/>
      <c r="E14" s="300"/>
      <c r="F14" s="301"/>
      <c r="G14" s="302"/>
      <c r="H14" s="301"/>
      <c r="I14" s="303"/>
      <c r="J14" s="290"/>
      <c r="K14" s="292"/>
      <c r="L14" s="292"/>
      <c r="M14" s="292"/>
      <c r="N14" s="292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84"/>
      <c r="AB14" s="284"/>
      <c r="AC14" s="284"/>
      <c r="AD14" s="263"/>
      <c r="AE14" s="261"/>
      <c r="AF14" s="365"/>
      <c r="AG14" s="366"/>
      <c r="AH14" s="366"/>
      <c r="AI14" s="366"/>
      <c r="AJ14" s="375"/>
      <c r="AK14" s="366"/>
      <c r="AL14" s="368"/>
      <c r="AM14" s="366"/>
      <c r="AN14" s="366"/>
      <c r="AO14" s="369"/>
      <c r="AP14" s="366"/>
      <c r="AQ14" s="366"/>
      <c r="AR14" s="369"/>
      <c r="AS14" s="369"/>
      <c r="AT14" s="366"/>
      <c r="AU14" s="366"/>
      <c r="AV14" s="369"/>
      <c r="AW14" s="366"/>
      <c r="AX14" s="366"/>
      <c r="AY14" s="366"/>
      <c r="AZ14" s="366"/>
      <c r="BA14" s="366"/>
    </row>
    <row r="15" spans="1:53" s="371" customFormat="1" ht="20.25" customHeight="1" x14ac:dyDescent="0.25">
      <c r="A15" s="1013"/>
      <c r="B15" s="315" t="s">
        <v>1181</v>
      </c>
      <c r="C15" s="277">
        <f>C10*C13+C11*C14</f>
        <v>26.581734642644502</v>
      </c>
      <c r="D15" s="336"/>
      <c r="E15" s="300"/>
      <c r="F15" s="376"/>
      <c r="G15" s="302"/>
      <c r="H15" s="301"/>
      <c r="I15" s="303"/>
      <c r="J15" s="290"/>
      <c r="K15" s="374"/>
      <c r="L15" s="311"/>
      <c r="M15" s="304"/>
      <c r="N15" s="292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84"/>
      <c r="AB15" s="284"/>
      <c r="AC15" s="284"/>
      <c r="AD15" s="263"/>
      <c r="AE15" s="261"/>
      <c r="AF15" s="365"/>
      <c r="AG15" s="366"/>
      <c r="AH15" s="366"/>
      <c r="AI15" s="366"/>
      <c r="AJ15" s="367"/>
      <c r="AK15" s="366"/>
      <c r="AL15" s="368"/>
      <c r="AM15" s="366"/>
      <c r="AN15" s="366"/>
      <c r="AO15" s="369"/>
      <c r="AP15" s="366"/>
      <c r="AQ15" s="366"/>
      <c r="AR15" s="369"/>
      <c r="AS15" s="369"/>
      <c r="AT15" s="366"/>
      <c r="AU15" s="366"/>
      <c r="AV15" s="369"/>
      <c r="AW15" s="366"/>
      <c r="AX15" s="366"/>
      <c r="AY15" s="366"/>
      <c r="AZ15" s="366"/>
      <c r="BA15" s="366"/>
    </row>
    <row r="16" spans="1:53" s="371" customFormat="1" ht="13.5" customHeight="1" x14ac:dyDescent="0.25">
      <c r="A16" s="1014"/>
      <c r="B16" s="318"/>
      <c r="C16" s="314"/>
      <c r="D16" s="337"/>
      <c r="E16" s="300"/>
      <c r="F16" s="376"/>
      <c r="G16" s="302"/>
      <c r="H16" s="301"/>
      <c r="I16" s="303"/>
      <c r="J16" s="290"/>
      <c r="K16" s="374"/>
      <c r="L16" s="292"/>
      <c r="M16" s="292"/>
      <c r="N16" s="292"/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84"/>
      <c r="AB16" s="284"/>
      <c r="AC16" s="284"/>
      <c r="AD16" s="263"/>
      <c r="AE16" s="261"/>
      <c r="AF16" s="365"/>
      <c r="AG16" s="366"/>
      <c r="AH16" s="366"/>
      <c r="AI16" s="366"/>
      <c r="AJ16" s="375"/>
      <c r="AK16" s="366"/>
      <c r="AL16" s="368"/>
      <c r="AM16" s="366"/>
      <c r="AN16" s="366"/>
      <c r="AO16" s="369"/>
      <c r="AP16" s="366"/>
      <c r="AQ16" s="366"/>
      <c r="AR16" s="369"/>
      <c r="AS16" s="369"/>
      <c r="AT16" s="366"/>
      <c r="AU16" s="366"/>
      <c r="AV16" s="369"/>
      <c r="AW16" s="366"/>
      <c r="AX16" s="366"/>
      <c r="AY16" s="366"/>
      <c r="AZ16" s="366"/>
      <c r="BA16" s="366"/>
    </row>
    <row r="17" spans="1:53" s="261" customFormat="1" ht="56.25" customHeight="1" x14ac:dyDescent="0.25">
      <c r="A17" s="1012" t="s">
        <v>1268</v>
      </c>
      <c r="B17" s="353" t="s">
        <v>1270</v>
      </c>
      <c r="C17" s="277"/>
      <c r="D17" s="335"/>
      <c r="E17" s="278" t="s">
        <v>488</v>
      </c>
      <c r="F17" s="279" t="s">
        <v>837</v>
      </c>
      <c r="G17" s="277" t="s">
        <v>489</v>
      </c>
      <c r="H17" s="278" t="s">
        <v>1170</v>
      </c>
      <c r="I17" s="279" t="s">
        <v>838</v>
      </c>
      <c r="J17" s="280" t="s">
        <v>1171</v>
      </c>
      <c r="K17" s="280" t="s">
        <v>490</v>
      </c>
      <c r="L17" s="281" t="s">
        <v>489</v>
      </c>
      <c r="M17" s="280" t="s">
        <v>1172</v>
      </c>
      <c r="N17" s="354" t="s">
        <v>838</v>
      </c>
      <c r="O17" s="280" t="s">
        <v>1171</v>
      </c>
      <c r="P17" s="280" t="s">
        <v>826</v>
      </c>
      <c r="Q17" s="280" t="s">
        <v>1173</v>
      </c>
      <c r="R17" s="280" t="s">
        <v>1174</v>
      </c>
      <c r="S17" s="280" t="s">
        <v>839</v>
      </c>
      <c r="T17" s="280" t="s">
        <v>1171</v>
      </c>
      <c r="U17" s="280" t="s">
        <v>1392</v>
      </c>
      <c r="V17" s="280" t="s">
        <v>841</v>
      </c>
      <c r="W17" s="282" t="s">
        <v>1173</v>
      </c>
      <c r="X17" s="280" t="s">
        <v>1394</v>
      </c>
      <c r="Y17" s="280" t="s">
        <v>839</v>
      </c>
      <c r="Z17" s="283"/>
      <c r="AA17" s="284"/>
      <c r="AB17" s="284"/>
      <c r="AC17" s="284"/>
      <c r="AD17" s="263"/>
      <c r="AF17" s="262"/>
      <c r="AG17" s="263"/>
      <c r="AH17" s="263"/>
      <c r="AI17" s="263"/>
      <c r="AJ17" s="263"/>
      <c r="AK17" s="263"/>
      <c r="AL17" s="264"/>
      <c r="AM17" s="263"/>
      <c r="AN17" s="263"/>
      <c r="AO17" s="265"/>
      <c r="AP17" s="263"/>
      <c r="AQ17" s="355"/>
      <c r="AR17" s="355"/>
      <c r="AS17" s="355"/>
      <c r="AT17" s="263"/>
      <c r="AU17" s="263"/>
      <c r="AV17" s="265"/>
      <c r="AW17" s="263"/>
      <c r="AX17" s="263"/>
      <c r="AY17" s="263"/>
      <c r="AZ17" s="263"/>
      <c r="BA17" s="263"/>
    </row>
    <row r="18" spans="1:53" s="270" customFormat="1" ht="12" customHeight="1" x14ac:dyDescent="0.25">
      <c r="A18" s="1013"/>
      <c r="B18" s="285" t="s">
        <v>1175</v>
      </c>
      <c r="C18" s="277">
        <f>C25</f>
        <v>21.265387714115601</v>
      </c>
      <c r="D18" s="335">
        <f>C18*$D$5</f>
        <v>4.295608318251352</v>
      </c>
      <c r="E18" s="286" t="s">
        <v>1176</v>
      </c>
      <c r="F18" s="356"/>
      <c r="G18" s="288"/>
      <c r="H18" s="288"/>
      <c r="I18" s="289">
        <f>SUM(I19:I26)</f>
        <v>10.375</v>
      </c>
      <c r="J18" s="290" t="s">
        <v>1176</v>
      </c>
      <c r="K18" s="357"/>
      <c r="L18" s="291"/>
      <c r="M18" s="291"/>
      <c r="N18" s="433">
        <f>SUM(N19:N26)</f>
        <v>6.5600344379187187E-2</v>
      </c>
      <c r="O18" s="291"/>
      <c r="P18" s="291"/>
      <c r="Q18" s="291"/>
      <c r="R18" s="291"/>
      <c r="S18" s="295">
        <f>S19+S20</f>
        <v>8.3428557511388363E-2</v>
      </c>
      <c r="T18" s="292"/>
      <c r="U18" s="292"/>
      <c r="V18" s="292"/>
      <c r="W18" s="292"/>
      <c r="X18" s="292"/>
      <c r="Y18" s="433">
        <f>SUM(Y19:Y26)</f>
        <v>3.4791353150744957</v>
      </c>
      <c r="Z18" s="296">
        <f>(C18+D18+I18+N18+S18+Y18)*$Z$5</f>
        <v>51.440834231941963</v>
      </c>
      <c r="AA18" s="297">
        <f>C18+D18+I18+N18+S18+Y18+Z18</f>
        <v>91.004994481273982</v>
      </c>
      <c r="AB18" s="298">
        <v>0.25</v>
      </c>
      <c r="AC18" s="358">
        <f>AA18*(1+AB18)</f>
        <v>113.75624310159247</v>
      </c>
      <c r="AD18" s="265"/>
      <c r="AE18" s="261"/>
      <c r="AF18" s="262"/>
      <c r="AG18" s="263"/>
      <c r="AH18" s="263"/>
      <c r="AI18" s="355"/>
      <c r="AJ18" s="359"/>
      <c r="AK18" s="360"/>
      <c r="AL18" s="264"/>
      <c r="AM18" s="361"/>
      <c r="AN18" s="143"/>
      <c r="AO18" s="362"/>
      <c r="AP18" s="363"/>
      <c r="AQ18" s="363"/>
      <c r="AR18" s="363"/>
      <c r="AS18" s="363"/>
      <c r="AT18" s="363"/>
      <c r="AU18" s="362"/>
      <c r="AV18" s="362"/>
      <c r="AW18" s="364"/>
      <c r="AX18" s="272"/>
      <c r="AY18" s="272"/>
      <c r="AZ18" s="272"/>
      <c r="BA18" s="272"/>
    </row>
    <row r="19" spans="1:53" s="371" customFormat="1" ht="12.75" customHeight="1" x14ac:dyDescent="0.25">
      <c r="A19" s="1013"/>
      <c r="B19" s="299" t="s">
        <v>830</v>
      </c>
      <c r="C19" s="277"/>
      <c r="D19" s="336"/>
      <c r="E19" s="300" t="s">
        <v>2186</v>
      </c>
      <c r="F19" s="301" t="s">
        <v>1441</v>
      </c>
      <c r="G19" s="302">
        <v>5.36</v>
      </c>
      <c r="H19" s="301">
        <v>1</v>
      </c>
      <c r="I19" s="303">
        <f>G19*H19</f>
        <v>5.36</v>
      </c>
      <c r="J19" s="290" t="s">
        <v>1291</v>
      </c>
      <c r="K19" s="304">
        <v>2</v>
      </c>
      <c r="L19" s="305">
        <v>750</v>
      </c>
      <c r="M19" s="304">
        <v>2</v>
      </c>
      <c r="N19" s="433">
        <f>L19/'Исп. коэффициенты'!E52*(C23+C24)</f>
        <v>5.6552021016540679E-2</v>
      </c>
      <c r="O19" s="291" t="s">
        <v>1667</v>
      </c>
      <c r="P19" s="291">
        <v>4500</v>
      </c>
      <c r="Q19" s="291">
        <v>19.670000000000002</v>
      </c>
      <c r="R19" s="291">
        <v>885.15</v>
      </c>
      <c r="S19" s="295">
        <f>R19/'Исп. коэффициенты'!E52*C23</f>
        <v>3.3371347601860654E-2</v>
      </c>
      <c r="T19" s="306" t="s">
        <v>1435</v>
      </c>
      <c r="U19" s="307">
        <v>6785401.3499999996</v>
      </c>
      <c r="V19" s="746">
        <f>'Исп. коэффициенты'!E124</f>
        <v>2978.5</v>
      </c>
      <c r="W19" s="308">
        <v>1.3599999999999999E-2</v>
      </c>
      <c r="X19" s="292">
        <f>U19*W19</f>
        <v>92281.45835999999</v>
      </c>
      <c r="Y19" s="295">
        <f>X19/'Исп. коэффициенты'!E52*C23</f>
        <v>3.4791353150744957</v>
      </c>
      <c r="Z19" s="291"/>
      <c r="AA19" s="284"/>
      <c r="AB19" s="284"/>
      <c r="AC19" s="284"/>
      <c r="AD19" s="263"/>
      <c r="AE19" s="261"/>
      <c r="AF19" s="365"/>
      <c r="AG19" s="366"/>
      <c r="AH19" s="366"/>
      <c r="AI19" s="366"/>
      <c r="AJ19" s="367"/>
      <c r="AK19" s="366"/>
      <c r="AL19" s="368"/>
      <c r="AM19" s="366"/>
      <c r="AN19" s="366"/>
      <c r="AO19" s="369"/>
      <c r="AP19" s="366"/>
      <c r="AQ19" s="366"/>
      <c r="AR19" s="369"/>
      <c r="AS19" s="369"/>
      <c r="AT19" s="366"/>
      <c r="AU19" s="366"/>
      <c r="AV19" s="369"/>
      <c r="AW19" s="366"/>
      <c r="AX19" s="366"/>
      <c r="AY19" s="366"/>
      <c r="AZ19" s="366"/>
      <c r="BA19" s="366"/>
    </row>
    <row r="20" spans="1:53" s="371" customFormat="1" x14ac:dyDescent="0.25">
      <c r="A20" s="1013"/>
      <c r="B20" s="309" t="s">
        <v>1178</v>
      </c>
      <c r="C20" s="310">
        <f>C10</f>
        <v>33.667709452234185</v>
      </c>
      <c r="D20" s="336"/>
      <c r="E20" s="300" t="s">
        <v>2187</v>
      </c>
      <c r="F20" s="301" t="s">
        <v>1</v>
      </c>
      <c r="G20" s="302">
        <v>6.3E-2</v>
      </c>
      <c r="H20" s="301">
        <v>5</v>
      </c>
      <c r="I20" s="303">
        <f>G20*H20</f>
        <v>0.315</v>
      </c>
      <c r="J20" s="290" t="s">
        <v>1445</v>
      </c>
      <c r="K20" s="292">
        <v>2</v>
      </c>
      <c r="L20" s="311">
        <v>95</v>
      </c>
      <c r="M20" s="304">
        <v>2</v>
      </c>
      <c r="N20" s="433">
        <f>L20/'Исп. коэффициенты'!E52*(C23+C24)</f>
        <v>7.1632559954284865E-3</v>
      </c>
      <c r="O20" s="291" t="s">
        <v>1668</v>
      </c>
      <c r="P20" s="291">
        <v>6750</v>
      </c>
      <c r="Q20" s="291">
        <v>19.670000000000002</v>
      </c>
      <c r="R20" s="291">
        <v>1327.73</v>
      </c>
      <c r="S20" s="295">
        <f>R20/'Исп. коэффициенты'!E52*C23</f>
        <v>5.0057209909527701E-2</v>
      </c>
      <c r="T20" s="291"/>
      <c r="U20" s="291"/>
      <c r="V20" s="291"/>
      <c r="W20" s="291"/>
      <c r="X20" s="291"/>
      <c r="Y20" s="295"/>
      <c r="Z20" s="291"/>
      <c r="AA20" s="284"/>
      <c r="AB20" s="284"/>
      <c r="AC20" s="284"/>
      <c r="AD20" s="263"/>
      <c r="AE20" s="261"/>
      <c r="AF20" s="365"/>
      <c r="AG20" s="366"/>
      <c r="AH20" s="366"/>
      <c r="AI20" s="366"/>
      <c r="AJ20" s="367"/>
      <c r="AK20" s="366"/>
      <c r="AL20" s="368"/>
      <c r="AM20" s="373"/>
      <c r="AN20" s="366"/>
      <c r="AO20" s="369"/>
      <c r="AP20" s="366"/>
      <c r="AQ20" s="366"/>
      <c r="AR20" s="369"/>
      <c r="AS20" s="369"/>
      <c r="AT20" s="366"/>
      <c r="AU20" s="366"/>
      <c r="AV20" s="369"/>
      <c r="AW20" s="366"/>
      <c r="AX20" s="366"/>
      <c r="AY20" s="366"/>
      <c r="AZ20" s="366"/>
      <c r="BA20" s="366"/>
    </row>
    <row r="21" spans="1:53" s="371" customFormat="1" ht="12.75" customHeight="1" x14ac:dyDescent="0.25">
      <c r="A21" s="1013"/>
      <c r="B21" s="286" t="s">
        <v>1179</v>
      </c>
      <c r="C21" s="277">
        <f>C11</f>
        <v>19.495759833054819</v>
      </c>
      <c r="D21" s="336"/>
      <c r="E21" s="300" t="s">
        <v>2112</v>
      </c>
      <c r="F21" s="301" t="s">
        <v>1</v>
      </c>
      <c r="G21" s="302">
        <v>0.47</v>
      </c>
      <c r="H21" s="302">
        <v>10</v>
      </c>
      <c r="I21" s="303">
        <f>G21*H21</f>
        <v>4.6999999999999993</v>
      </c>
      <c r="J21" s="290" t="s">
        <v>1513</v>
      </c>
      <c r="K21" s="292">
        <v>2</v>
      </c>
      <c r="L21" s="292">
        <v>25</v>
      </c>
      <c r="M21" s="304">
        <v>0.5</v>
      </c>
      <c r="N21" s="433">
        <f>L21/'Исп. коэффициенты'!E52*(C23+C24)</f>
        <v>1.8850673672180227E-3</v>
      </c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84"/>
      <c r="AB21" s="284"/>
      <c r="AC21" s="284"/>
      <c r="AD21" s="263"/>
      <c r="AE21" s="261"/>
      <c r="AF21" s="365"/>
      <c r="AG21" s="366"/>
      <c r="AH21" s="366"/>
      <c r="AI21" s="366"/>
      <c r="AJ21" s="367"/>
      <c r="AK21" s="366"/>
      <c r="AL21" s="368"/>
      <c r="AM21" s="366"/>
      <c r="AN21" s="366"/>
      <c r="AO21" s="369"/>
      <c r="AP21" s="366"/>
      <c r="AQ21" s="366"/>
      <c r="AR21" s="369"/>
      <c r="AS21" s="369"/>
      <c r="AT21" s="366"/>
      <c r="AU21" s="366"/>
      <c r="AV21" s="369"/>
      <c r="AW21" s="366"/>
      <c r="AX21" s="366"/>
      <c r="AY21" s="366"/>
      <c r="AZ21" s="366"/>
      <c r="BA21" s="366"/>
    </row>
    <row r="22" spans="1:53" s="371" customFormat="1" ht="12.75" customHeight="1" x14ac:dyDescent="0.25">
      <c r="A22" s="1013"/>
      <c r="B22" s="286" t="s">
        <v>831</v>
      </c>
      <c r="C22" s="313"/>
      <c r="D22" s="336"/>
      <c r="E22" s="300"/>
      <c r="F22" s="301"/>
      <c r="G22" s="302"/>
      <c r="H22" s="301"/>
      <c r="I22" s="303"/>
      <c r="J22" s="290"/>
      <c r="K22" s="292"/>
      <c r="L22" s="292"/>
      <c r="M22" s="292"/>
      <c r="N22" s="292"/>
      <c r="O22" s="290"/>
      <c r="P22" s="292"/>
      <c r="Q22" s="292"/>
      <c r="R22" s="292"/>
      <c r="S22" s="292"/>
      <c r="T22" s="291"/>
      <c r="U22" s="291"/>
      <c r="V22" s="291"/>
      <c r="W22" s="291"/>
      <c r="X22" s="291"/>
      <c r="Y22" s="291"/>
      <c r="Z22" s="291"/>
      <c r="AA22" s="284"/>
      <c r="AB22" s="284"/>
      <c r="AC22" s="284"/>
      <c r="AD22" s="263"/>
      <c r="AE22" s="261"/>
      <c r="AF22" s="365"/>
      <c r="AG22" s="366"/>
      <c r="AH22" s="366"/>
      <c r="AI22" s="366"/>
      <c r="AJ22" s="367"/>
      <c r="AK22" s="366"/>
      <c r="AL22" s="368"/>
      <c r="AM22" s="366"/>
      <c r="AN22" s="366"/>
      <c r="AO22" s="369"/>
      <c r="AP22" s="366"/>
      <c r="AQ22" s="366"/>
      <c r="AR22" s="369"/>
      <c r="AS22" s="369"/>
      <c r="AT22" s="366"/>
      <c r="AU22" s="366"/>
      <c r="AV22" s="369"/>
      <c r="AW22" s="366"/>
      <c r="AX22" s="366"/>
      <c r="AY22" s="366"/>
      <c r="AZ22" s="366"/>
      <c r="BA22" s="366"/>
    </row>
    <row r="23" spans="1:53" s="371" customFormat="1" ht="12.75" customHeight="1" x14ac:dyDescent="0.25">
      <c r="A23" s="1013"/>
      <c r="B23" s="309" t="s">
        <v>1178</v>
      </c>
      <c r="C23" s="314">
        <v>0.4</v>
      </c>
      <c r="D23" s="336"/>
      <c r="E23" s="300"/>
      <c r="F23" s="301"/>
      <c r="G23" s="302"/>
      <c r="H23" s="301"/>
      <c r="I23" s="303"/>
      <c r="J23" s="290"/>
      <c r="K23" s="292"/>
      <c r="L23" s="292"/>
      <c r="M23" s="292"/>
      <c r="N23" s="292"/>
      <c r="O23" s="291"/>
      <c r="P23" s="291"/>
      <c r="Q23" s="291"/>
      <c r="R23" s="291"/>
      <c r="S23" s="291"/>
      <c r="T23" s="291"/>
      <c r="U23" s="291"/>
      <c r="V23" s="291"/>
      <c r="W23" s="291"/>
      <c r="X23" s="291"/>
      <c r="Y23" s="291"/>
      <c r="Z23" s="291"/>
      <c r="AA23" s="284"/>
      <c r="AB23" s="284"/>
      <c r="AC23" s="284"/>
      <c r="AD23" s="263"/>
      <c r="AE23" s="261"/>
      <c r="AF23" s="365"/>
      <c r="AG23" s="366"/>
      <c r="AH23" s="366"/>
      <c r="AI23" s="366"/>
      <c r="AJ23" s="375"/>
      <c r="AK23" s="366"/>
      <c r="AL23" s="368"/>
      <c r="AM23" s="366"/>
      <c r="AN23" s="366"/>
      <c r="AO23" s="369"/>
      <c r="AP23" s="366"/>
      <c r="AQ23" s="366"/>
      <c r="AR23" s="369"/>
      <c r="AS23" s="369"/>
      <c r="AT23" s="366"/>
      <c r="AU23" s="366"/>
      <c r="AV23" s="369"/>
      <c r="AW23" s="366"/>
      <c r="AX23" s="366"/>
      <c r="AY23" s="366"/>
      <c r="AZ23" s="366"/>
      <c r="BA23" s="366"/>
    </row>
    <row r="24" spans="1:53" s="371" customFormat="1" ht="15.75" customHeight="1" x14ac:dyDescent="0.25">
      <c r="A24" s="1013"/>
      <c r="B24" s="286" t="s">
        <v>1179</v>
      </c>
      <c r="C24" s="314">
        <v>0.4</v>
      </c>
      <c r="D24" s="336"/>
      <c r="E24" s="300"/>
      <c r="F24" s="301"/>
      <c r="G24" s="302"/>
      <c r="H24" s="301"/>
      <c r="I24" s="303"/>
      <c r="J24" s="290"/>
      <c r="K24" s="292"/>
      <c r="L24" s="292"/>
      <c r="M24" s="292"/>
      <c r="N24" s="292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84"/>
      <c r="AB24" s="284"/>
      <c r="AC24" s="284"/>
      <c r="AD24" s="263"/>
      <c r="AE24" s="261"/>
      <c r="AF24" s="365"/>
      <c r="AG24" s="366"/>
      <c r="AH24" s="366"/>
      <c r="AI24" s="366"/>
      <c r="AJ24" s="375"/>
      <c r="AK24" s="366"/>
      <c r="AL24" s="368"/>
      <c r="AM24" s="366"/>
      <c r="AN24" s="366"/>
      <c r="AO24" s="369"/>
      <c r="AP24" s="366"/>
      <c r="AQ24" s="366"/>
      <c r="AR24" s="369"/>
      <c r="AS24" s="369"/>
      <c r="AT24" s="366"/>
      <c r="AU24" s="366"/>
      <c r="AV24" s="369"/>
      <c r="AW24" s="366"/>
      <c r="AX24" s="366"/>
      <c r="AY24" s="366"/>
      <c r="AZ24" s="366"/>
      <c r="BA24" s="366"/>
    </row>
    <row r="25" spans="1:53" s="371" customFormat="1" ht="20.25" customHeight="1" x14ac:dyDescent="0.25">
      <c r="A25" s="1013"/>
      <c r="B25" s="315" t="s">
        <v>1181</v>
      </c>
      <c r="C25" s="277">
        <f>C20*C23+C21*C24</f>
        <v>21.265387714115601</v>
      </c>
      <c r="D25" s="336"/>
      <c r="E25" s="300"/>
      <c r="F25" s="376"/>
      <c r="G25" s="302"/>
      <c r="H25" s="301"/>
      <c r="I25" s="303"/>
      <c r="J25" s="290"/>
      <c r="K25" s="374"/>
      <c r="L25" s="311"/>
      <c r="M25" s="304"/>
      <c r="N25" s="292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84"/>
      <c r="AB25" s="284"/>
      <c r="AC25" s="284"/>
      <c r="AD25" s="263"/>
      <c r="AE25" s="261"/>
      <c r="AF25" s="365"/>
      <c r="AG25" s="366"/>
      <c r="AH25" s="366"/>
      <c r="AI25" s="366"/>
      <c r="AJ25" s="367"/>
      <c r="AK25" s="366"/>
      <c r="AL25" s="368"/>
      <c r="AM25" s="366"/>
      <c r="AN25" s="366"/>
      <c r="AO25" s="369"/>
      <c r="AP25" s="366"/>
      <c r="AQ25" s="366"/>
      <c r="AR25" s="369"/>
      <c r="AS25" s="369"/>
      <c r="AT25" s="366"/>
      <c r="AU25" s="366"/>
      <c r="AV25" s="369"/>
      <c r="AW25" s="366"/>
      <c r="AX25" s="366"/>
      <c r="AY25" s="366"/>
      <c r="AZ25" s="366"/>
      <c r="BA25" s="366"/>
    </row>
    <row r="26" spans="1:53" s="371" customFormat="1" ht="13.5" customHeight="1" x14ac:dyDescent="0.25">
      <c r="A26" s="1014"/>
      <c r="B26" s="318"/>
      <c r="C26" s="314"/>
      <c r="D26" s="337"/>
      <c r="E26" s="300"/>
      <c r="F26" s="376"/>
      <c r="G26" s="302"/>
      <c r="H26" s="301"/>
      <c r="I26" s="303"/>
      <c r="J26" s="290"/>
      <c r="K26" s="374"/>
      <c r="L26" s="292"/>
      <c r="M26" s="292"/>
      <c r="N26" s="292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  <c r="AA26" s="284"/>
      <c r="AB26" s="284"/>
      <c r="AC26" s="284"/>
      <c r="AD26" s="263"/>
      <c r="AE26" s="261"/>
      <c r="AF26" s="365"/>
      <c r="AG26" s="366"/>
      <c r="AH26" s="366"/>
      <c r="AI26" s="366"/>
      <c r="AJ26" s="375"/>
      <c r="AK26" s="366"/>
      <c r="AL26" s="368"/>
      <c r="AM26" s="366"/>
      <c r="AN26" s="366"/>
      <c r="AO26" s="369"/>
      <c r="AP26" s="366"/>
      <c r="AQ26" s="366"/>
      <c r="AR26" s="369"/>
      <c r="AS26" s="369"/>
      <c r="AT26" s="366"/>
      <c r="AU26" s="366"/>
      <c r="AV26" s="369"/>
      <c r="AW26" s="366"/>
      <c r="AX26" s="366"/>
      <c r="AY26" s="366"/>
      <c r="AZ26" s="366"/>
      <c r="BA26" s="366"/>
    </row>
    <row r="27" spans="1:53" s="261" customFormat="1" ht="56.25" customHeight="1" x14ac:dyDescent="0.25">
      <c r="A27" s="1012" t="s">
        <v>709</v>
      </c>
      <c r="B27" s="353" t="s">
        <v>710</v>
      </c>
      <c r="C27" s="277"/>
      <c r="D27" s="335"/>
      <c r="E27" s="278" t="s">
        <v>488</v>
      </c>
      <c r="F27" s="279" t="s">
        <v>837</v>
      </c>
      <c r="G27" s="277" t="s">
        <v>489</v>
      </c>
      <c r="H27" s="278" t="s">
        <v>1170</v>
      </c>
      <c r="I27" s="279" t="s">
        <v>838</v>
      </c>
      <c r="J27" s="280" t="s">
        <v>1171</v>
      </c>
      <c r="K27" s="280" t="s">
        <v>490</v>
      </c>
      <c r="L27" s="281" t="s">
        <v>489</v>
      </c>
      <c r="M27" s="280" t="s">
        <v>1172</v>
      </c>
      <c r="N27" s="354" t="s">
        <v>838</v>
      </c>
      <c r="O27" s="280" t="s">
        <v>1171</v>
      </c>
      <c r="P27" s="280" t="s">
        <v>826</v>
      </c>
      <c r="Q27" s="280" t="s">
        <v>1173</v>
      </c>
      <c r="R27" s="280" t="s">
        <v>1174</v>
      </c>
      <c r="S27" s="280" t="s">
        <v>839</v>
      </c>
      <c r="T27" s="280" t="s">
        <v>1171</v>
      </c>
      <c r="U27" s="280" t="s">
        <v>1392</v>
      </c>
      <c r="V27" s="280" t="s">
        <v>841</v>
      </c>
      <c r="W27" s="282" t="s">
        <v>1173</v>
      </c>
      <c r="X27" s="280" t="s">
        <v>1394</v>
      </c>
      <c r="Y27" s="280" t="s">
        <v>839</v>
      </c>
      <c r="Z27" s="283"/>
      <c r="AA27" s="284"/>
      <c r="AB27" s="284"/>
      <c r="AC27" s="284"/>
      <c r="AD27" s="263"/>
      <c r="AF27" s="262"/>
      <c r="AG27" s="263"/>
      <c r="AH27" s="263"/>
      <c r="AI27" s="263"/>
      <c r="AJ27" s="263"/>
      <c r="AK27" s="263"/>
      <c r="AL27" s="264"/>
      <c r="AM27" s="263"/>
      <c r="AN27" s="263"/>
      <c r="AO27" s="265"/>
      <c r="AP27" s="263"/>
      <c r="AQ27" s="355"/>
      <c r="AR27" s="355"/>
      <c r="AS27" s="355"/>
      <c r="AT27" s="263"/>
      <c r="AU27" s="263"/>
      <c r="AV27" s="265"/>
      <c r="AW27" s="263"/>
      <c r="AX27" s="263"/>
      <c r="AY27" s="263"/>
      <c r="AZ27" s="263"/>
      <c r="BA27" s="263"/>
    </row>
    <row r="28" spans="1:53" s="270" customFormat="1" ht="12" customHeight="1" x14ac:dyDescent="0.25">
      <c r="A28" s="1013"/>
      <c r="B28" s="285" t="s">
        <v>1175</v>
      </c>
      <c r="C28" s="277">
        <f>C35</f>
        <v>21.265387714115601</v>
      </c>
      <c r="D28" s="335">
        <f>C28*$D$5</f>
        <v>4.295608318251352</v>
      </c>
      <c r="E28" s="286" t="s">
        <v>1176</v>
      </c>
      <c r="F28" s="356"/>
      <c r="G28" s="288"/>
      <c r="H28" s="288"/>
      <c r="I28" s="289">
        <f>SUM(I29:I36)</f>
        <v>10.375</v>
      </c>
      <c r="J28" s="290" t="s">
        <v>1176</v>
      </c>
      <c r="K28" s="357"/>
      <c r="L28" s="291"/>
      <c r="M28" s="291"/>
      <c r="N28" s="433">
        <f>SUM(N29:N36)</f>
        <v>6.5600344379187187E-2</v>
      </c>
      <c r="O28" s="291"/>
      <c r="P28" s="291"/>
      <c r="Q28" s="291"/>
      <c r="R28" s="291"/>
      <c r="S28" s="295">
        <f>S29+S30</f>
        <v>8.3428557511388363E-2</v>
      </c>
      <c r="T28" s="292"/>
      <c r="U28" s="292"/>
      <c r="V28" s="292"/>
      <c r="W28" s="292"/>
      <c r="X28" s="292"/>
      <c r="Y28" s="433">
        <f>SUM(Y29:Y36)</f>
        <v>3.4791353150744957</v>
      </c>
      <c r="Z28" s="296">
        <f>(C28+D28+I28+N28+S28+Y28)*$Z$5</f>
        <v>51.440834231941963</v>
      </c>
      <c r="AA28" s="297">
        <f>C28+D28+I28+N28+S28+Y28+Z28</f>
        <v>91.004994481273982</v>
      </c>
      <c r="AB28" s="298">
        <v>0.25</v>
      </c>
      <c r="AC28" s="358">
        <f>AA28*(1+AB28)</f>
        <v>113.75624310159247</v>
      </c>
      <c r="AD28" s="265"/>
      <c r="AE28" s="261"/>
      <c r="AF28" s="262"/>
      <c r="AG28" s="263"/>
      <c r="AH28" s="263"/>
      <c r="AI28" s="355"/>
      <c r="AJ28" s="359"/>
      <c r="AK28" s="360"/>
      <c r="AL28" s="264"/>
      <c r="AM28" s="361"/>
      <c r="AN28" s="143"/>
      <c r="AO28" s="362"/>
      <c r="AP28" s="363"/>
      <c r="AQ28" s="363"/>
      <c r="AR28" s="363"/>
      <c r="AS28" s="363"/>
      <c r="AT28" s="363"/>
      <c r="AU28" s="362"/>
      <c r="AV28" s="362"/>
      <c r="AW28" s="364"/>
      <c r="AX28" s="272"/>
      <c r="AY28" s="272"/>
      <c r="AZ28" s="272"/>
      <c r="BA28" s="272"/>
    </row>
    <row r="29" spans="1:53" s="371" customFormat="1" ht="12.75" customHeight="1" x14ac:dyDescent="0.25">
      <c r="A29" s="1013"/>
      <c r="B29" s="299" t="s">
        <v>830</v>
      </c>
      <c r="C29" s="277"/>
      <c r="D29" s="336"/>
      <c r="E29" s="300" t="s">
        <v>2186</v>
      </c>
      <c r="F29" s="301" t="s">
        <v>1441</v>
      </c>
      <c r="G29" s="302">
        <v>5.36</v>
      </c>
      <c r="H29" s="301">
        <v>1</v>
      </c>
      <c r="I29" s="303">
        <f>G29*H29</f>
        <v>5.36</v>
      </c>
      <c r="J29" s="290" t="s">
        <v>1291</v>
      </c>
      <c r="K29" s="304">
        <v>2</v>
      </c>
      <c r="L29" s="305">
        <v>750</v>
      </c>
      <c r="M29" s="304">
        <v>2</v>
      </c>
      <c r="N29" s="433">
        <f>L29/'Исп. коэффициенты'!E52*(C33+C34)</f>
        <v>5.6552021016540679E-2</v>
      </c>
      <c r="O29" s="291" t="s">
        <v>1667</v>
      </c>
      <c r="P29" s="291">
        <v>4500</v>
      </c>
      <c r="Q29" s="291">
        <v>19.670000000000002</v>
      </c>
      <c r="R29" s="291">
        <v>885.15</v>
      </c>
      <c r="S29" s="295">
        <f>R29/'Исп. коэффициенты'!E52*C33</f>
        <v>3.3371347601860654E-2</v>
      </c>
      <c r="T29" s="306" t="s">
        <v>1435</v>
      </c>
      <c r="U29" s="307">
        <v>6785401.3499999996</v>
      </c>
      <c r="V29" s="746">
        <f>'Исп. коэффициенты'!E124</f>
        <v>2978.5</v>
      </c>
      <c r="W29" s="308">
        <v>1.3599999999999999E-2</v>
      </c>
      <c r="X29" s="292">
        <f>U29*W29</f>
        <v>92281.45835999999</v>
      </c>
      <c r="Y29" s="295">
        <f>X29/'Исп. коэффициенты'!E52*C33</f>
        <v>3.4791353150744957</v>
      </c>
      <c r="Z29" s="291"/>
      <c r="AA29" s="284"/>
      <c r="AB29" s="284"/>
      <c r="AC29" s="284"/>
      <c r="AD29" s="263"/>
      <c r="AE29" s="261"/>
      <c r="AF29" s="365"/>
      <c r="AG29" s="366"/>
      <c r="AH29" s="366"/>
      <c r="AI29" s="366"/>
      <c r="AJ29" s="367"/>
      <c r="AK29" s="366"/>
      <c r="AL29" s="368"/>
      <c r="AM29" s="366"/>
      <c r="AN29" s="366"/>
      <c r="AO29" s="369"/>
      <c r="AP29" s="366"/>
      <c r="AQ29" s="366"/>
      <c r="AR29" s="369"/>
      <c r="AS29" s="369"/>
      <c r="AT29" s="366"/>
      <c r="AU29" s="366"/>
      <c r="AV29" s="369"/>
      <c r="AW29" s="366"/>
      <c r="AX29" s="366"/>
      <c r="AY29" s="366"/>
      <c r="AZ29" s="366"/>
      <c r="BA29" s="366"/>
    </row>
    <row r="30" spans="1:53" s="371" customFormat="1" x14ac:dyDescent="0.25">
      <c r="A30" s="1013"/>
      <c r="B30" s="309" t="s">
        <v>1178</v>
      </c>
      <c r="C30" s="310">
        <f>C20</f>
        <v>33.667709452234185</v>
      </c>
      <c r="D30" s="336"/>
      <c r="E30" s="300" t="s">
        <v>2187</v>
      </c>
      <c r="F30" s="301" t="s">
        <v>1</v>
      </c>
      <c r="G30" s="302">
        <v>6.3E-2</v>
      </c>
      <c r="H30" s="301">
        <v>5</v>
      </c>
      <c r="I30" s="303">
        <f>G30*H30</f>
        <v>0.315</v>
      </c>
      <c r="J30" s="290" t="s">
        <v>1445</v>
      </c>
      <c r="K30" s="292">
        <v>2</v>
      </c>
      <c r="L30" s="311">
        <v>95</v>
      </c>
      <c r="M30" s="304">
        <v>2</v>
      </c>
      <c r="N30" s="433">
        <f>L30/'Исп. коэффициенты'!E52*(C33+C34)</f>
        <v>7.1632559954284865E-3</v>
      </c>
      <c r="O30" s="291" t="s">
        <v>1668</v>
      </c>
      <c r="P30" s="291">
        <v>6750</v>
      </c>
      <c r="Q30" s="291">
        <v>19.670000000000002</v>
      </c>
      <c r="R30" s="291">
        <v>1327.73</v>
      </c>
      <c r="S30" s="295">
        <f>R30/'Исп. коэффициенты'!E52*C33</f>
        <v>5.0057209909527701E-2</v>
      </c>
      <c r="T30" s="291"/>
      <c r="U30" s="291"/>
      <c r="V30" s="291"/>
      <c r="W30" s="291"/>
      <c r="X30" s="291"/>
      <c r="Y30" s="295"/>
      <c r="Z30" s="291"/>
      <c r="AA30" s="284"/>
      <c r="AB30" s="284"/>
      <c r="AC30" s="284"/>
      <c r="AD30" s="263"/>
      <c r="AE30" s="261"/>
      <c r="AF30" s="365"/>
      <c r="AG30" s="366"/>
      <c r="AH30" s="366"/>
      <c r="AI30" s="366"/>
      <c r="AJ30" s="367"/>
      <c r="AK30" s="366"/>
      <c r="AL30" s="368"/>
      <c r="AM30" s="373"/>
      <c r="AN30" s="366"/>
      <c r="AO30" s="369"/>
      <c r="AP30" s="366"/>
      <c r="AQ30" s="366"/>
      <c r="AR30" s="369"/>
      <c r="AS30" s="369"/>
      <c r="AT30" s="366"/>
      <c r="AU30" s="366"/>
      <c r="AV30" s="369"/>
      <c r="AW30" s="366"/>
      <c r="AX30" s="366"/>
      <c r="AY30" s="366"/>
      <c r="AZ30" s="366"/>
      <c r="BA30" s="366"/>
    </row>
    <row r="31" spans="1:53" s="371" customFormat="1" ht="12.75" customHeight="1" x14ac:dyDescent="0.25">
      <c r="A31" s="1013"/>
      <c r="B31" s="286" t="s">
        <v>1179</v>
      </c>
      <c r="C31" s="277">
        <f>C21</f>
        <v>19.495759833054819</v>
      </c>
      <c r="D31" s="336"/>
      <c r="E31" s="300" t="s">
        <v>2112</v>
      </c>
      <c r="F31" s="301" t="s">
        <v>1</v>
      </c>
      <c r="G31" s="302">
        <v>0.47</v>
      </c>
      <c r="H31" s="302">
        <v>10</v>
      </c>
      <c r="I31" s="303">
        <f>G31*H31</f>
        <v>4.6999999999999993</v>
      </c>
      <c r="J31" s="290" t="s">
        <v>1513</v>
      </c>
      <c r="K31" s="292">
        <v>2</v>
      </c>
      <c r="L31" s="292">
        <v>25</v>
      </c>
      <c r="M31" s="304">
        <v>0.5</v>
      </c>
      <c r="N31" s="433">
        <f>L31/'Исп. коэффициенты'!E52*(C33+C34)</f>
        <v>1.8850673672180227E-3</v>
      </c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84"/>
      <c r="AB31" s="284"/>
      <c r="AC31" s="284"/>
      <c r="AD31" s="263"/>
      <c r="AE31" s="261"/>
      <c r="AF31" s="365"/>
      <c r="AG31" s="366"/>
      <c r="AH31" s="366"/>
      <c r="AI31" s="366"/>
      <c r="AJ31" s="367"/>
      <c r="AK31" s="366"/>
      <c r="AL31" s="368"/>
      <c r="AM31" s="366"/>
      <c r="AN31" s="366"/>
      <c r="AO31" s="369"/>
      <c r="AP31" s="366"/>
      <c r="AQ31" s="366"/>
      <c r="AR31" s="369"/>
      <c r="AS31" s="369"/>
      <c r="AT31" s="366"/>
      <c r="AU31" s="366"/>
      <c r="AV31" s="369"/>
      <c r="AW31" s="366"/>
      <c r="AX31" s="366"/>
      <c r="AY31" s="366"/>
      <c r="AZ31" s="366"/>
      <c r="BA31" s="366"/>
    </row>
    <row r="32" spans="1:53" s="371" customFormat="1" ht="12.75" customHeight="1" x14ac:dyDescent="0.25">
      <c r="A32" s="1013"/>
      <c r="B32" s="286" t="s">
        <v>831</v>
      </c>
      <c r="C32" s="313"/>
      <c r="D32" s="336"/>
      <c r="E32" s="300"/>
      <c r="F32" s="301"/>
      <c r="G32" s="302"/>
      <c r="H32" s="301"/>
      <c r="I32" s="303"/>
      <c r="J32" s="290"/>
      <c r="K32" s="292"/>
      <c r="L32" s="292"/>
      <c r="M32" s="292"/>
      <c r="N32" s="292"/>
      <c r="O32" s="290"/>
      <c r="P32" s="292"/>
      <c r="Q32" s="292"/>
      <c r="R32" s="292"/>
      <c r="S32" s="292"/>
      <c r="T32" s="291"/>
      <c r="U32" s="291"/>
      <c r="V32" s="291"/>
      <c r="W32" s="291"/>
      <c r="X32" s="291"/>
      <c r="Y32" s="291"/>
      <c r="Z32" s="291"/>
      <c r="AA32" s="284"/>
      <c r="AB32" s="284"/>
      <c r="AC32" s="284"/>
      <c r="AD32" s="263"/>
      <c r="AE32" s="261"/>
      <c r="AF32" s="365"/>
      <c r="AG32" s="366"/>
      <c r="AH32" s="366"/>
      <c r="AI32" s="366"/>
      <c r="AJ32" s="367"/>
      <c r="AK32" s="366"/>
      <c r="AL32" s="368"/>
      <c r="AM32" s="366"/>
      <c r="AN32" s="366"/>
      <c r="AO32" s="369"/>
      <c r="AP32" s="366"/>
      <c r="AQ32" s="366"/>
      <c r="AR32" s="369"/>
      <c r="AS32" s="369"/>
      <c r="AT32" s="366"/>
      <c r="AU32" s="366"/>
      <c r="AV32" s="369"/>
      <c r="AW32" s="366"/>
      <c r="AX32" s="366"/>
      <c r="AY32" s="366"/>
      <c r="AZ32" s="366"/>
      <c r="BA32" s="366"/>
    </row>
    <row r="33" spans="1:53" s="371" customFormat="1" ht="12.75" customHeight="1" x14ac:dyDescent="0.25">
      <c r="A33" s="1013"/>
      <c r="B33" s="309" t="s">
        <v>1178</v>
      </c>
      <c r="C33" s="314">
        <v>0.4</v>
      </c>
      <c r="D33" s="336"/>
      <c r="E33" s="300"/>
      <c r="F33" s="301"/>
      <c r="G33" s="302"/>
      <c r="H33" s="301"/>
      <c r="I33" s="303"/>
      <c r="J33" s="290"/>
      <c r="K33" s="292"/>
      <c r="L33" s="292"/>
      <c r="M33" s="292"/>
      <c r="N33" s="292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84"/>
      <c r="AB33" s="284"/>
      <c r="AC33" s="284"/>
      <c r="AD33" s="263"/>
      <c r="AE33" s="261"/>
      <c r="AF33" s="365"/>
      <c r="AG33" s="366"/>
      <c r="AH33" s="366"/>
      <c r="AI33" s="366"/>
      <c r="AJ33" s="375"/>
      <c r="AK33" s="366"/>
      <c r="AL33" s="368"/>
      <c r="AM33" s="366"/>
      <c r="AN33" s="366"/>
      <c r="AO33" s="369"/>
      <c r="AP33" s="366"/>
      <c r="AQ33" s="366"/>
      <c r="AR33" s="369"/>
      <c r="AS33" s="369"/>
      <c r="AT33" s="366"/>
      <c r="AU33" s="366"/>
      <c r="AV33" s="369"/>
      <c r="AW33" s="366"/>
      <c r="AX33" s="366"/>
      <c r="AY33" s="366"/>
      <c r="AZ33" s="366"/>
      <c r="BA33" s="366"/>
    </row>
    <row r="34" spans="1:53" s="371" customFormat="1" ht="15.75" customHeight="1" x14ac:dyDescent="0.25">
      <c r="A34" s="1013"/>
      <c r="B34" s="286" t="s">
        <v>1179</v>
      </c>
      <c r="C34" s="314">
        <v>0.4</v>
      </c>
      <c r="D34" s="336"/>
      <c r="E34" s="300"/>
      <c r="F34" s="301"/>
      <c r="G34" s="302"/>
      <c r="H34" s="301"/>
      <c r="I34" s="303"/>
      <c r="J34" s="290"/>
      <c r="K34" s="292"/>
      <c r="L34" s="292"/>
      <c r="M34" s="292"/>
      <c r="N34" s="292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84"/>
      <c r="AB34" s="284"/>
      <c r="AC34" s="284"/>
      <c r="AD34" s="263"/>
      <c r="AE34" s="261"/>
      <c r="AF34" s="365"/>
      <c r="AG34" s="366"/>
      <c r="AH34" s="366"/>
      <c r="AI34" s="366"/>
      <c r="AJ34" s="375"/>
      <c r="AK34" s="366"/>
      <c r="AL34" s="368"/>
      <c r="AM34" s="366"/>
      <c r="AN34" s="366"/>
      <c r="AO34" s="369"/>
      <c r="AP34" s="366"/>
      <c r="AQ34" s="366"/>
      <c r="AR34" s="369"/>
      <c r="AS34" s="369"/>
      <c r="AT34" s="366"/>
      <c r="AU34" s="366"/>
      <c r="AV34" s="369"/>
      <c r="AW34" s="366"/>
      <c r="AX34" s="366"/>
      <c r="AY34" s="366"/>
      <c r="AZ34" s="366"/>
      <c r="BA34" s="366"/>
    </row>
    <row r="35" spans="1:53" s="371" customFormat="1" ht="20.25" customHeight="1" x14ac:dyDescent="0.25">
      <c r="A35" s="1013"/>
      <c r="B35" s="315" t="s">
        <v>1181</v>
      </c>
      <c r="C35" s="277">
        <f>C30*C33+C31*C34</f>
        <v>21.265387714115601</v>
      </c>
      <c r="D35" s="336"/>
      <c r="E35" s="300"/>
      <c r="F35" s="376"/>
      <c r="G35" s="302"/>
      <c r="H35" s="301"/>
      <c r="I35" s="303"/>
      <c r="J35" s="290"/>
      <c r="K35" s="374"/>
      <c r="L35" s="311"/>
      <c r="M35" s="304"/>
      <c r="N35" s="292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84"/>
      <c r="AB35" s="284"/>
      <c r="AC35" s="284"/>
      <c r="AD35" s="263"/>
      <c r="AE35" s="261"/>
      <c r="AF35" s="365"/>
      <c r="AG35" s="366"/>
      <c r="AH35" s="366"/>
      <c r="AI35" s="366"/>
      <c r="AJ35" s="367"/>
      <c r="AK35" s="366"/>
      <c r="AL35" s="368"/>
      <c r="AM35" s="366"/>
      <c r="AN35" s="366"/>
      <c r="AO35" s="369"/>
      <c r="AP35" s="366"/>
      <c r="AQ35" s="366"/>
      <c r="AR35" s="369"/>
      <c r="AS35" s="369"/>
      <c r="AT35" s="366"/>
      <c r="AU35" s="366"/>
      <c r="AV35" s="369"/>
      <c r="AW35" s="366"/>
      <c r="AX35" s="366"/>
      <c r="AY35" s="366"/>
      <c r="AZ35" s="366"/>
      <c r="BA35" s="366"/>
    </row>
    <row r="36" spans="1:53" s="371" customFormat="1" ht="13.5" customHeight="1" x14ac:dyDescent="0.25">
      <c r="A36" s="1014"/>
      <c r="B36" s="318"/>
      <c r="C36" s="314"/>
      <c r="D36" s="337"/>
      <c r="E36" s="300"/>
      <c r="F36" s="376"/>
      <c r="G36" s="302"/>
      <c r="H36" s="301"/>
      <c r="I36" s="303"/>
      <c r="J36" s="290"/>
      <c r="K36" s="374"/>
      <c r="L36" s="292"/>
      <c r="M36" s="292"/>
      <c r="N36" s="292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84"/>
      <c r="AB36" s="284"/>
      <c r="AC36" s="284"/>
      <c r="AD36" s="263"/>
      <c r="AE36" s="261"/>
      <c r="AF36" s="365"/>
      <c r="AG36" s="366"/>
      <c r="AH36" s="366"/>
      <c r="AI36" s="366"/>
      <c r="AJ36" s="375"/>
      <c r="AK36" s="366"/>
      <c r="AL36" s="368"/>
      <c r="AM36" s="366"/>
      <c r="AN36" s="366"/>
      <c r="AO36" s="369"/>
      <c r="AP36" s="366"/>
      <c r="AQ36" s="366"/>
      <c r="AR36" s="369"/>
      <c r="AS36" s="369"/>
      <c r="AT36" s="366"/>
      <c r="AU36" s="366"/>
      <c r="AV36" s="369"/>
      <c r="AW36" s="366"/>
      <c r="AX36" s="366"/>
      <c r="AY36" s="366"/>
      <c r="AZ36" s="366"/>
      <c r="BA36" s="366"/>
    </row>
    <row r="37" spans="1:53" s="261" customFormat="1" ht="56.25" customHeight="1" x14ac:dyDescent="0.25">
      <c r="A37" s="1012" t="s">
        <v>1539</v>
      </c>
      <c r="B37" s="353" t="s">
        <v>1540</v>
      </c>
      <c r="C37" s="277"/>
      <c r="D37" s="335"/>
      <c r="E37" s="278" t="s">
        <v>488</v>
      </c>
      <c r="F37" s="279" t="s">
        <v>837</v>
      </c>
      <c r="G37" s="277" t="s">
        <v>489</v>
      </c>
      <c r="H37" s="278" t="s">
        <v>1170</v>
      </c>
      <c r="I37" s="279" t="s">
        <v>838</v>
      </c>
      <c r="J37" s="280" t="s">
        <v>1171</v>
      </c>
      <c r="K37" s="280" t="s">
        <v>490</v>
      </c>
      <c r="L37" s="281" t="s">
        <v>489</v>
      </c>
      <c r="M37" s="280" t="s">
        <v>1172</v>
      </c>
      <c r="N37" s="354" t="s">
        <v>838</v>
      </c>
      <c r="O37" s="280" t="s">
        <v>1171</v>
      </c>
      <c r="P37" s="280" t="s">
        <v>826</v>
      </c>
      <c r="Q37" s="280" t="s">
        <v>1173</v>
      </c>
      <c r="R37" s="280" t="s">
        <v>1174</v>
      </c>
      <c r="S37" s="280" t="s">
        <v>839</v>
      </c>
      <c r="T37" s="280" t="s">
        <v>1171</v>
      </c>
      <c r="U37" s="280" t="s">
        <v>1392</v>
      </c>
      <c r="V37" s="280" t="s">
        <v>841</v>
      </c>
      <c r="W37" s="282" t="s">
        <v>1173</v>
      </c>
      <c r="X37" s="280" t="s">
        <v>1394</v>
      </c>
      <c r="Y37" s="280" t="s">
        <v>839</v>
      </c>
      <c r="Z37" s="283"/>
      <c r="AA37" s="284"/>
      <c r="AB37" s="284"/>
      <c r="AC37" s="284"/>
      <c r="AD37" s="263"/>
      <c r="AF37" s="262"/>
      <c r="AG37" s="263"/>
      <c r="AH37" s="263"/>
      <c r="AI37" s="263"/>
      <c r="AJ37" s="263"/>
      <c r="AK37" s="263"/>
      <c r="AL37" s="264"/>
      <c r="AM37" s="263"/>
      <c r="AN37" s="263"/>
      <c r="AO37" s="265"/>
      <c r="AP37" s="263"/>
      <c r="AQ37" s="355"/>
      <c r="AR37" s="355"/>
      <c r="AS37" s="355"/>
      <c r="AT37" s="263"/>
      <c r="AU37" s="263"/>
      <c r="AV37" s="265"/>
      <c r="AW37" s="263"/>
      <c r="AX37" s="263"/>
      <c r="AY37" s="263"/>
      <c r="AZ37" s="263"/>
      <c r="BA37" s="263"/>
    </row>
    <row r="38" spans="1:53" s="270" customFormat="1" ht="12" customHeight="1" x14ac:dyDescent="0.25">
      <c r="A38" s="1013"/>
      <c r="B38" s="285" t="s">
        <v>1175</v>
      </c>
      <c r="C38" s="277">
        <f>C45</f>
        <v>198.48192752197664</v>
      </c>
      <c r="D38" s="335">
        <f>C38*$D$5</f>
        <v>40.093349359439287</v>
      </c>
      <c r="E38" s="286" t="s">
        <v>1176</v>
      </c>
      <c r="F38" s="356"/>
      <c r="G38" s="288"/>
      <c r="H38" s="288"/>
      <c r="I38" s="289">
        <f>SUM(I39:I46)</f>
        <v>23.664999999999999</v>
      </c>
      <c r="J38" s="290" t="s">
        <v>1176</v>
      </c>
      <c r="K38" s="357"/>
      <c r="L38" s="291"/>
      <c r="M38" s="291"/>
      <c r="N38" s="433">
        <f>SUM(N39:N46)</f>
        <v>0.65600344379187181</v>
      </c>
      <c r="O38" s="291"/>
      <c r="P38" s="291"/>
      <c r="Q38" s="291"/>
      <c r="R38" s="291"/>
      <c r="S38" s="295">
        <f>S39+S40</f>
        <v>0.62571418133541268</v>
      </c>
      <c r="T38" s="292"/>
      <c r="U38" s="292"/>
      <c r="V38" s="292"/>
      <c r="W38" s="292"/>
      <c r="X38" s="292"/>
      <c r="Y38" s="433">
        <f>SUM(Y39:Y46)</f>
        <v>26.093514863058715</v>
      </c>
      <c r="Z38" s="296">
        <f>(C38+D38+I38+N38+S38+Y38)*$Z$5</f>
        <v>376.55452092484779</v>
      </c>
      <c r="AA38" s="297">
        <f>C38+D38+I38+N38+S38+Y38+Z38</f>
        <v>666.1700302944497</v>
      </c>
      <c r="AB38" s="298">
        <v>0.25</v>
      </c>
      <c r="AC38" s="358">
        <f>AA38*(1+AB38)</f>
        <v>832.7125378680621</v>
      </c>
      <c r="AD38" s="265"/>
      <c r="AE38" s="261"/>
      <c r="AF38" s="262"/>
      <c r="AG38" s="263"/>
      <c r="AH38" s="263"/>
      <c r="AI38" s="355"/>
      <c r="AJ38" s="359"/>
      <c r="AK38" s="360"/>
      <c r="AL38" s="264"/>
      <c r="AM38" s="361"/>
      <c r="AN38" s="143"/>
      <c r="AO38" s="362"/>
      <c r="AP38" s="363"/>
      <c r="AQ38" s="363"/>
      <c r="AR38" s="363"/>
      <c r="AS38" s="363"/>
      <c r="AT38" s="363"/>
      <c r="AU38" s="362"/>
      <c r="AV38" s="362"/>
      <c r="AW38" s="364"/>
      <c r="AX38" s="272"/>
      <c r="AY38" s="272"/>
      <c r="AZ38" s="272"/>
      <c r="BA38" s="272"/>
    </row>
    <row r="39" spans="1:53" s="371" customFormat="1" ht="12.75" customHeight="1" x14ac:dyDescent="0.25">
      <c r="A39" s="1013"/>
      <c r="B39" s="299" t="s">
        <v>830</v>
      </c>
      <c r="C39" s="277"/>
      <c r="D39" s="336"/>
      <c r="E39" s="300" t="s">
        <v>2186</v>
      </c>
      <c r="F39" s="301" t="s">
        <v>1441</v>
      </c>
      <c r="G39" s="302">
        <v>5.36</v>
      </c>
      <c r="H39" s="301">
        <v>2</v>
      </c>
      <c r="I39" s="303">
        <f>G39*H39</f>
        <v>10.72</v>
      </c>
      <c r="J39" s="290" t="s">
        <v>1291</v>
      </c>
      <c r="K39" s="304">
        <v>2</v>
      </c>
      <c r="L39" s="305">
        <v>750</v>
      </c>
      <c r="M39" s="304">
        <v>2</v>
      </c>
      <c r="N39" s="433">
        <f>L39/'Исп. коэффициенты'!E52*(C43+C44)</f>
        <v>0.56552021016540677</v>
      </c>
      <c r="O39" s="291" t="s">
        <v>1667</v>
      </c>
      <c r="P39" s="291">
        <v>4500</v>
      </c>
      <c r="Q39" s="291">
        <v>19.670000000000002</v>
      </c>
      <c r="R39" s="291">
        <v>885.15</v>
      </c>
      <c r="S39" s="295">
        <f>R39/'Исп. коэффициенты'!E52*C43</f>
        <v>0.2502851070139549</v>
      </c>
      <c r="T39" s="306" t="s">
        <v>1435</v>
      </c>
      <c r="U39" s="307">
        <v>6785401.3499999996</v>
      </c>
      <c r="V39" s="746">
        <f>'Исп. коэффициенты'!E124</f>
        <v>2978.5</v>
      </c>
      <c r="W39" s="308">
        <v>1.3599999999999999E-2</v>
      </c>
      <c r="X39" s="292">
        <f>U39*W39</f>
        <v>92281.45835999999</v>
      </c>
      <c r="Y39" s="295">
        <f>X39/'Исп. коэффициенты'!E52*C43</f>
        <v>26.093514863058715</v>
      </c>
      <c r="Z39" s="291"/>
      <c r="AA39" s="284"/>
      <c r="AB39" s="284"/>
      <c r="AC39" s="284"/>
      <c r="AD39" s="263"/>
      <c r="AE39" s="261"/>
      <c r="AF39" s="365"/>
      <c r="AG39" s="366"/>
      <c r="AH39" s="366"/>
      <c r="AI39" s="366"/>
      <c r="AJ39" s="367"/>
      <c r="AK39" s="366"/>
      <c r="AL39" s="368"/>
      <c r="AM39" s="366"/>
      <c r="AN39" s="366"/>
      <c r="AO39" s="369"/>
      <c r="AP39" s="366"/>
      <c r="AQ39" s="366"/>
      <c r="AR39" s="369"/>
      <c r="AS39" s="369"/>
      <c r="AT39" s="366"/>
      <c r="AU39" s="366"/>
      <c r="AV39" s="369"/>
      <c r="AW39" s="366"/>
      <c r="AX39" s="366"/>
      <c r="AY39" s="366"/>
      <c r="AZ39" s="366"/>
      <c r="BA39" s="366"/>
    </row>
    <row r="40" spans="1:53" s="371" customFormat="1" x14ac:dyDescent="0.25">
      <c r="A40" s="1013"/>
      <c r="B40" s="309" t="s">
        <v>1178</v>
      </c>
      <c r="C40" s="310">
        <f>C30</f>
        <v>33.667709452234185</v>
      </c>
      <c r="D40" s="336"/>
      <c r="E40" s="300" t="s">
        <v>2187</v>
      </c>
      <c r="F40" s="301" t="s">
        <v>1</v>
      </c>
      <c r="G40" s="302">
        <v>6.3E-2</v>
      </c>
      <c r="H40" s="301">
        <v>5</v>
      </c>
      <c r="I40" s="303">
        <f>G40*H40</f>
        <v>0.315</v>
      </c>
      <c r="J40" s="290" t="s">
        <v>1445</v>
      </c>
      <c r="K40" s="292">
        <v>2</v>
      </c>
      <c r="L40" s="311">
        <v>95</v>
      </c>
      <c r="M40" s="304">
        <v>2</v>
      </c>
      <c r="N40" s="433">
        <f>L40/'Исп. коэффициенты'!E52*(C43+C44)</f>
        <v>7.1632559954284858E-2</v>
      </c>
      <c r="O40" s="291" t="s">
        <v>1668</v>
      </c>
      <c r="P40" s="291">
        <v>6750</v>
      </c>
      <c r="Q40" s="291">
        <v>19.670000000000002</v>
      </c>
      <c r="R40" s="291">
        <v>1327.73</v>
      </c>
      <c r="S40" s="295">
        <f>R40/'Исп. коэффициенты'!E52*C43</f>
        <v>0.37542907432145778</v>
      </c>
      <c r="T40" s="291"/>
      <c r="U40" s="291"/>
      <c r="V40" s="291"/>
      <c r="W40" s="291"/>
      <c r="X40" s="291"/>
      <c r="Y40" s="295"/>
      <c r="Z40" s="291"/>
      <c r="AA40" s="284"/>
      <c r="AB40" s="284"/>
      <c r="AC40" s="284"/>
      <c r="AD40" s="263"/>
      <c r="AE40" s="261"/>
      <c r="AF40" s="365"/>
      <c r="AG40" s="366"/>
      <c r="AH40" s="366"/>
      <c r="AI40" s="366"/>
      <c r="AJ40" s="367"/>
      <c r="AK40" s="366"/>
      <c r="AL40" s="368"/>
      <c r="AM40" s="373"/>
      <c r="AN40" s="366"/>
      <c r="AO40" s="369"/>
      <c r="AP40" s="366"/>
      <c r="AQ40" s="366"/>
      <c r="AR40" s="369"/>
      <c r="AS40" s="369"/>
      <c r="AT40" s="366"/>
      <c r="AU40" s="366"/>
      <c r="AV40" s="369"/>
      <c r="AW40" s="366"/>
      <c r="AX40" s="366"/>
      <c r="AY40" s="366"/>
      <c r="AZ40" s="366"/>
      <c r="BA40" s="366"/>
    </row>
    <row r="41" spans="1:53" s="371" customFormat="1" ht="12.75" customHeight="1" x14ac:dyDescent="0.25">
      <c r="A41" s="1013"/>
      <c r="B41" s="286" t="s">
        <v>1179</v>
      </c>
      <c r="C41" s="277">
        <f>C31</f>
        <v>19.495759833054819</v>
      </c>
      <c r="D41" s="336"/>
      <c r="E41" s="300" t="s">
        <v>2112</v>
      </c>
      <c r="F41" s="301" t="s">
        <v>1</v>
      </c>
      <c r="G41" s="302">
        <v>0.47</v>
      </c>
      <c r="H41" s="302">
        <v>10</v>
      </c>
      <c r="I41" s="303">
        <f>G41*H41</f>
        <v>4.6999999999999993</v>
      </c>
      <c r="J41" s="290" t="s">
        <v>1513</v>
      </c>
      <c r="K41" s="292">
        <v>2</v>
      </c>
      <c r="L41" s="292">
        <v>25</v>
      </c>
      <c r="M41" s="304">
        <v>0.5</v>
      </c>
      <c r="N41" s="433">
        <f>L41/'Исп. коэффициенты'!E52*(C43+C44)</f>
        <v>1.8850673672180226E-2</v>
      </c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291"/>
      <c r="Z41" s="291"/>
      <c r="AA41" s="284"/>
      <c r="AB41" s="284"/>
      <c r="AC41" s="284"/>
      <c r="AD41" s="263"/>
      <c r="AE41" s="261"/>
      <c r="AF41" s="365"/>
      <c r="AG41" s="366"/>
      <c r="AH41" s="366"/>
      <c r="AI41" s="366"/>
      <c r="AJ41" s="367"/>
      <c r="AK41" s="366"/>
      <c r="AL41" s="368"/>
      <c r="AM41" s="366"/>
      <c r="AN41" s="366"/>
      <c r="AO41" s="369"/>
      <c r="AP41" s="366"/>
      <c r="AQ41" s="366"/>
      <c r="AR41" s="369"/>
      <c r="AS41" s="369"/>
      <c r="AT41" s="366"/>
      <c r="AU41" s="366"/>
      <c r="AV41" s="369"/>
      <c r="AW41" s="366"/>
      <c r="AX41" s="366"/>
      <c r="AY41" s="366"/>
      <c r="AZ41" s="366"/>
      <c r="BA41" s="366"/>
    </row>
    <row r="42" spans="1:53" s="371" customFormat="1" ht="28.5" customHeight="1" x14ac:dyDescent="0.25">
      <c r="A42" s="1013"/>
      <c r="B42" s="286" t="s">
        <v>831</v>
      </c>
      <c r="C42" s="313"/>
      <c r="D42" s="336"/>
      <c r="E42" s="747" t="s">
        <v>2188</v>
      </c>
      <c r="F42" s="301" t="s">
        <v>1441</v>
      </c>
      <c r="G42" s="302">
        <v>0.05</v>
      </c>
      <c r="H42" s="301">
        <v>10</v>
      </c>
      <c r="I42" s="303">
        <f t="shared" ref="I42:I43" si="0">G42*H42</f>
        <v>0.5</v>
      </c>
      <c r="J42" s="290"/>
      <c r="K42" s="292"/>
      <c r="L42" s="292"/>
      <c r="M42" s="292"/>
      <c r="N42" s="292"/>
      <c r="O42" s="290"/>
      <c r="P42" s="292"/>
      <c r="Q42" s="292"/>
      <c r="R42" s="292"/>
      <c r="S42" s="292"/>
      <c r="T42" s="291"/>
      <c r="U42" s="291"/>
      <c r="V42" s="291"/>
      <c r="W42" s="291"/>
      <c r="X42" s="291"/>
      <c r="Y42" s="291"/>
      <c r="Z42" s="291"/>
      <c r="AA42" s="284"/>
      <c r="AB42" s="284"/>
      <c r="AC42" s="284"/>
      <c r="AD42" s="263"/>
      <c r="AE42" s="261"/>
      <c r="AF42" s="365"/>
      <c r="AG42" s="366"/>
      <c r="AH42" s="366"/>
      <c r="AI42" s="366"/>
      <c r="AJ42" s="367"/>
      <c r="AK42" s="366"/>
      <c r="AL42" s="368"/>
      <c r="AM42" s="366"/>
      <c r="AN42" s="366"/>
      <c r="AO42" s="369"/>
      <c r="AP42" s="366"/>
      <c r="AQ42" s="366"/>
      <c r="AR42" s="369"/>
      <c r="AS42" s="369"/>
      <c r="AT42" s="366"/>
      <c r="AU42" s="366"/>
      <c r="AV42" s="369"/>
      <c r="AW42" s="366"/>
      <c r="AX42" s="366"/>
      <c r="AY42" s="366"/>
      <c r="AZ42" s="366"/>
      <c r="BA42" s="366"/>
    </row>
    <row r="43" spans="1:53" s="371" customFormat="1" ht="12.75" customHeight="1" x14ac:dyDescent="0.25">
      <c r="A43" s="1013"/>
      <c r="B43" s="309" t="s">
        <v>1178</v>
      </c>
      <c r="C43" s="314">
        <v>3</v>
      </c>
      <c r="D43" s="336"/>
      <c r="E43" s="300" t="s">
        <v>1703</v>
      </c>
      <c r="F43" s="301" t="s">
        <v>1</v>
      </c>
      <c r="G43" s="302">
        <v>7.4300000000000005E-2</v>
      </c>
      <c r="H43" s="301">
        <v>100</v>
      </c>
      <c r="I43" s="303">
        <f t="shared" si="0"/>
        <v>7.4300000000000006</v>
      </c>
      <c r="J43" s="290"/>
      <c r="K43" s="292"/>
      <c r="L43" s="292"/>
      <c r="M43" s="292"/>
      <c r="N43" s="292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84"/>
      <c r="AB43" s="284"/>
      <c r="AC43" s="284"/>
      <c r="AD43" s="263"/>
      <c r="AE43" s="261"/>
      <c r="AF43" s="365"/>
      <c r="AG43" s="366"/>
      <c r="AH43" s="366"/>
      <c r="AI43" s="366"/>
      <c r="AJ43" s="375"/>
      <c r="AK43" s="366"/>
      <c r="AL43" s="368"/>
      <c r="AM43" s="366"/>
      <c r="AN43" s="366"/>
      <c r="AO43" s="369"/>
      <c r="AP43" s="366"/>
      <c r="AQ43" s="366"/>
      <c r="AR43" s="369"/>
      <c r="AS43" s="369"/>
      <c r="AT43" s="366"/>
      <c r="AU43" s="366"/>
      <c r="AV43" s="369"/>
      <c r="AW43" s="366"/>
      <c r="AX43" s="366"/>
      <c r="AY43" s="366"/>
      <c r="AZ43" s="366"/>
      <c r="BA43" s="366"/>
    </row>
    <row r="44" spans="1:53" s="371" customFormat="1" ht="15.75" customHeight="1" x14ac:dyDescent="0.25">
      <c r="A44" s="1013"/>
      <c r="B44" s="286" t="s">
        <v>1179</v>
      </c>
      <c r="C44" s="314">
        <v>5</v>
      </c>
      <c r="D44" s="336"/>
      <c r="E44" s="300"/>
      <c r="F44" s="301"/>
      <c r="G44" s="302"/>
      <c r="H44" s="301"/>
      <c r="I44" s="303"/>
      <c r="J44" s="290"/>
      <c r="K44" s="292"/>
      <c r="L44" s="292"/>
      <c r="M44" s="292"/>
      <c r="N44" s="292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84"/>
      <c r="AB44" s="284"/>
      <c r="AC44" s="284"/>
      <c r="AD44" s="263"/>
      <c r="AE44" s="261"/>
      <c r="AF44" s="365"/>
      <c r="AG44" s="366"/>
      <c r="AH44" s="366"/>
      <c r="AI44" s="366"/>
      <c r="AJ44" s="375"/>
      <c r="AK44" s="366"/>
      <c r="AL44" s="368"/>
      <c r="AM44" s="366"/>
      <c r="AN44" s="366"/>
      <c r="AO44" s="369"/>
      <c r="AP44" s="366"/>
      <c r="AQ44" s="366"/>
      <c r="AR44" s="369"/>
      <c r="AS44" s="369"/>
      <c r="AT44" s="366"/>
      <c r="AU44" s="366"/>
      <c r="AV44" s="369"/>
      <c r="AW44" s="366"/>
      <c r="AX44" s="366"/>
      <c r="AY44" s="366"/>
      <c r="AZ44" s="366"/>
      <c r="BA44" s="366"/>
    </row>
    <row r="45" spans="1:53" s="371" customFormat="1" ht="20.25" customHeight="1" x14ac:dyDescent="0.25">
      <c r="A45" s="1013"/>
      <c r="B45" s="315" t="s">
        <v>1181</v>
      </c>
      <c r="C45" s="277">
        <f>C40*C43+C41*C44</f>
        <v>198.48192752197664</v>
      </c>
      <c r="D45" s="336"/>
      <c r="E45" s="300"/>
      <c r="F45" s="376"/>
      <c r="G45" s="302"/>
      <c r="H45" s="301"/>
      <c r="I45" s="303"/>
      <c r="J45" s="290"/>
      <c r="K45" s="374"/>
      <c r="L45" s="311"/>
      <c r="M45" s="304"/>
      <c r="N45" s="292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84"/>
      <c r="AB45" s="284"/>
      <c r="AC45" s="284"/>
      <c r="AD45" s="263"/>
      <c r="AE45" s="261"/>
      <c r="AF45" s="365"/>
      <c r="AG45" s="366"/>
      <c r="AH45" s="366"/>
      <c r="AI45" s="366"/>
      <c r="AJ45" s="367"/>
      <c r="AK45" s="366"/>
      <c r="AL45" s="368"/>
      <c r="AM45" s="366"/>
      <c r="AN45" s="366"/>
      <c r="AO45" s="369"/>
      <c r="AP45" s="366"/>
      <c r="AQ45" s="366"/>
      <c r="AR45" s="369"/>
      <c r="AS45" s="369"/>
      <c r="AT45" s="366"/>
      <c r="AU45" s="366"/>
      <c r="AV45" s="369"/>
      <c r="AW45" s="366"/>
      <c r="AX45" s="366"/>
      <c r="AY45" s="366"/>
      <c r="AZ45" s="366"/>
      <c r="BA45" s="366"/>
    </row>
    <row r="46" spans="1:53" s="371" customFormat="1" ht="13.5" customHeight="1" x14ac:dyDescent="0.25">
      <c r="A46" s="1014"/>
      <c r="B46" s="318"/>
      <c r="C46" s="314"/>
      <c r="D46" s="337"/>
      <c r="E46" s="300"/>
      <c r="F46" s="376"/>
      <c r="G46" s="302"/>
      <c r="H46" s="301"/>
      <c r="I46" s="303"/>
      <c r="J46" s="290"/>
      <c r="K46" s="374"/>
      <c r="L46" s="292"/>
      <c r="M46" s="292"/>
      <c r="N46" s="292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284"/>
      <c r="AB46" s="284"/>
      <c r="AC46" s="284"/>
      <c r="AD46" s="263"/>
      <c r="AE46" s="261"/>
      <c r="AF46" s="365"/>
      <c r="AG46" s="366"/>
      <c r="AH46" s="366"/>
      <c r="AI46" s="366"/>
      <c r="AJ46" s="375"/>
      <c r="AK46" s="366"/>
      <c r="AL46" s="368"/>
      <c r="AM46" s="366"/>
      <c r="AN46" s="366"/>
      <c r="AO46" s="369"/>
      <c r="AP46" s="366"/>
      <c r="AQ46" s="366"/>
      <c r="AR46" s="369"/>
      <c r="AS46" s="369"/>
      <c r="AT46" s="366"/>
      <c r="AU46" s="366"/>
      <c r="AV46" s="369"/>
      <c r="AW46" s="366"/>
      <c r="AX46" s="366"/>
      <c r="AY46" s="366"/>
      <c r="AZ46" s="366"/>
      <c r="BA46" s="366"/>
    </row>
    <row r="47" spans="1:53" s="261" customFormat="1" ht="56.25" customHeight="1" x14ac:dyDescent="0.25">
      <c r="A47" s="1012" t="s">
        <v>1541</v>
      </c>
      <c r="B47" s="353" t="s">
        <v>1542</v>
      </c>
      <c r="C47" s="277"/>
      <c r="D47" s="335"/>
      <c r="E47" s="278" t="s">
        <v>488</v>
      </c>
      <c r="F47" s="279" t="s">
        <v>837</v>
      </c>
      <c r="G47" s="277" t="s">
        <v>489</v>
      </c>
      <c r="H47" s="278" t="s">
        <v>1170</v>
      </c>
      <c r="I47" s="279" t="s">
        <v>838</v>
      </c>
      <c r="J47" s="280" t="s">
        <v>1171</v>
      </c>
      <c r="K47" s="280" t="s">
        <v>490</v>
      </c>
      <c r="L47" s="281" t="s">
        <v>489</v>
      </c>
      <c r="M47" s="280" t="s">
        <v>1172</v>
      </c>
      <c r="N47" s="354" t="s">
        <v>838</v>
      </c>
      <c r="O47" s="280" t="s">
        <v>1171</v>
      </c>
      <c r="P47" s="280" t="s">
        <v>826</v>
      </c>
      <c r="Q47" s="280" t="s">
        <v>1173</v>
      </c>
      <c r="R47" s="280" t="s">
        <v>1174</v>
      </c>
      <c r="S47" s="280" t="s">
        <v>839</v>
      </c>
      <c r="T47" s="280" t="s">
        <v>1171</v>
      </c>
      <c r="U47" s="280" t="s">
        <v>1392</v>
      </c>
      <c r="V47" s="280" t="s">
        <v>841</v>
      </c>
      <c r="W47" s="282" t="s">
        <v>1173</v>
      </c>
      <c r="X47" s="280" t="s">
        <v>1394</v>
      </c>
      <c r="Y47" s="280" t="s">
        <v>839</v>
      </c>
      <c r="Z47" s="283"/>
      <c r="AA47" s="284"/>
      <c r="AB47" s="284"/>
      <c r="AC47" s="284"/>
      <c r="AD47" s="263"/>
      <c r="AF47" s="262"/>
      <c r="AG47" s="263"/>
      <c r="AH47" s="263"/>
      <c r="AI47" s="263"/>
      <c r="AJ47" s="263"/>
      <c r="AK47" s="263"/>
      <c r="AL47" s="264"/>
      <c r="AM47" s="263"/>
      <c r="AN47" s="263"/>
      <c r="AO47" s="265"/>
      <c r="AP47" s="263"/>
      <c r="AQ47" s="355"/>
      <c r="AR47" s="355"/>
      <c r="AS47" s="355"/>
      <c r="AT47" s="263"/>
      <c r="AU47" s="263"/>
      <c r="AV47" s="265"/>
      <c r="AW47" s="263"/>
      <c r="AX47" s="263"/>
      <c r="AY47" s="263"/>
      <c r="AZ47" s="263"/>
      <c r="BA47" s="263"/>
    </row>
    <row r="48" spans="1:53" s="270" customFormat="1" ht="12" customHeight="1" x14ac:dyDescent="0.25">
      <c r="A48" s="1013"/>
      <c r="B48" s="285" t="s">
        <v>1175</v>
      </c>
      <c r="C48" s="277">
        <f>C55</f>
        <v>212.65387714115602</v>
      </c>
      <c r="D48" s="335">
        <f>C48*$D$5</f>
        <v>42.956083182513517</v>
      </c>
      <c r="E48" s="286" t="s">
        <v>1176</v>
      </c>
      <c r="F48" s="356"/>
      <c r="G48" s="288"/>
      <c r="H48" s="288"/>
      <c r="I48" s="289">
        <f>SUM(I49:I56)</f>
        <v>23.664999999999999</v>
      </c>
      <c r="J48" s="290" t="s">
        <v>1176</v>
      </c>
      <c r="K48" s="357"/>
      <c r="L48" s="291"/>
      <c r="M48" s="291"/>
      <c r="N48" s="433">
        <f>SUM(N49:N56)</f>
        <v>0.65600344379187181</v>
      </c>
      <c r="O48" s="291"/>
      <c r="P48" s="291"/>
      <c r="Q48" s="291"/>
      <c r="R48" s="291"/>
      <c r="S48" s="295">
        <f>S49+S50</f>
        <v>0.83428557511388357</v>
      </c>
      <c r="T48" s="292"/>
      <c r="U48" s="292"/>
      <c r="V48" s="292"/>
      <c r="W48" s="292"/>
      <c r="X48" s="292"/>
      <c r="Y48" s="433">
        <f>SUM(Y49:Y56)</f>
        <v>34.791353150744953</v>
      </c>
      <c r="Z48" s="296">
        <f>(C48+D48+I48+N48+S48+Y48)*$Z$5</f>
        <v>410.28281094194966</v>
      </c>
      <c r="AA48" s="297">
        <f>C48+D48+I48+N48+S48+Y48+Z48</f>
        <v>725.83941343526988</v>
      </c>
      <c r="AB48" s="298">
        <v>0.25</v>
      </c>
      <c r="AC48" s="358">
        <f>AA48*(1+AB48)</f>
        <v>907.29926679408732</v>
      </c>
      <c r="AD48" s="265"/>
      <c r="AE48" s="261"/>
      <c r="AF48" s="262"/>
      <c r="AG48" s="263"/>
      <c r="AH48" s="263"/>
      <c r="AI48" s="355"/>
      <c r="AJ48" s="359"/>
      <c r="AK48" s="360"/>
      <c r="AL48" s="264"/>
      <c r="AM48" s="361"/>
      <c r="AN48" s="143"/>
      <c r="AO48" s="362"/>
      <c r="AP48" s="363"/>
      <c r="AQ48" s="363"/>
      <c r="AR48" s="363"/>
      <c r="AS48" s="363"/>
      <c r="AT48" s="363"/>
      <c r="AU48" s="362"/>
      <c r="AV48" s="362"/>
      <c r="AW48" s="364"/>
      <c r="AX48" s="272"/>
      <c r="AY48" s="272"/>
      <c r="AZ48" s="272"/>
      <c r="BA48" s="272"/>
    </row>
    <row r="49" spans="1:53" s="371" customFormat="1" ht="12.75" customHeight="1" x14ac:dyDescent="0.25">
      <c r="A49" s="1013"/>
      <c r="B49" s="299" t="s">
        <v>830</v>
      </c>
      <c r="C49" s="277"/>
      <c r="D49" s="336"/>
      <c r="E49" s="300" t="s">
        <v>2186</v>
      </c>
      <c r="F49" s="301" t="s">
        <v>1441</v>
      </c>
      <c r="G49" s="302">
        <v>5.36</v>
      </c>
      <c r="H49" s="301">
        <v>2</v>
      </c>
      <c r="I49" s="303">
        <f>G49*H49</f>
        <v>10.72</v>
      </c>
      <c r="J49" s="290" t="s">
        <v>1291</v>
      </c>
      <c r="K49" s="304">
        <v>2</v>
      </c>
      <c r="L49" s="305">
        <v>750</v>
      </c>
      <c r="M49" s="304">
        <v>2</v>
      </c>
      <c r="N49" s="433">
        <f>L49/'Исп. коэффициенты'!E52*(C53+C54)</f>
        <v>0.56552021016540677</v>
      </c>
      <c r="O49" s="291" t="s">
        <v>1667</v>
      </c>
      <c r="P49" s="291">
        <v>4500</v>
      </c>
      <c r="Q49" s="291">
        <v>19.670000000000002</v>
      </c>
      <c r="R49" s="291">
        <v>885.15</v>
      </c>
      <c r="S49" s="295">
        <f>R49/'Исп. коэффициенты'!E52*C53</f>
        <v>0.33371347601860651</v>
      </c>
      <c r="T49" s="306" t="s">
        <v>1435</v>
      </c>
      <c r="U49" s="307">
        <v>6785401.3499999996</v>
      </c>
      <c r="V49" s="746">
        <f>'Исп. коэффициенты'!E124</f>
        <v>2978.5</v>
      </c>
      <c r="W49" s="308">
        <v>1.3599999999999999E-2</v>
      </c>
      <c r="X49" s="292">
        <f>U49*W49</f>
        <v>92281.45835999999</v>
      </c>
      <c r="Y49" s="295">
        <f>X49/'Исп. коэффициенты'!E52*C53</f>
        <v>34.791353150744953</v>
      </c>
      <c r="Z49" s="291"/>
      <c r="AA49" s="284"/>
      <c r="AB49" s="284"/>
      <c r="AC49" s="284"/>
      <c r="AD49" s="263"/>
      <c r="AE49" s="261"/>
      <c r="AF49" s="365"/>
      <c r="AG49" s="366"/>
      <c r="AH49" s="366"/>
      <c r="AI49" s="366"/>
      <c r="AJ49" s="367"/>
      <c r="AK49" s="366"/>
      <c r="AL49" s="368"/>
      <c r="AM49" s="366"/>
      <c r="AN49" s="366"/>
      <c r="AO49" s="369"/>
      <c r="AP49" s="366"/>
      <c r="AQ49" s="366"/>
      <c r="AR49" s="369"/>
      <c r="AS49" s="369"/>
      <c r="AT49" s="366"/>
      <c r="AU49" s="366"/>
      <c r="AV49" s="369"/>
      <c r="AW49" s="366"/>
      <c r="AX49" s="366"/>
      <c r="AY49" s="366"/>
      <c r="AZ49" s="366"/>
      <c r="BA49" s="366"/>
    </row>
    <row r="50" spans="1:53" s="371" customFormat="1" x14ac:dyDescent="0.25">
      <c r="A50" s="1013"/>
      <c r="B50" s="309" t="s">
        <v>1178</v>
      </c>
      <c r="C50" s="310">
        <f>C40</f>
        <v>33.667709452234185</v>
      </c>
      <c r="D50" s="336"/>
      <c r="E50" s="300" t="s">
        <v>2187</v>
      </c>
      <c r="F50" s="301" t="s">
        <v>1</v>
      </c>
      <c r="G50" s="302">
        <v>6.3E-2</v>
      </c>
      <c r="H50" s="301">
        <v>5</v>
      </c>
      <c r="I50" s="303">
        <f>G50*H50</f>
        <v>0.315</v>
      </c>
      <c r="J50" s="290" t="s">
        <v>1445</v>
      </c>
      <c r="K50" s="292">
        <v>2</v>
      </c>
      <c r="L50" s="311">
        <v>95</v>
      </c>
      <c r="M50" s="304">
        <v>2</v>
      </c>
      <c r="N50" s="433">
        <f>L50/'Исп. коэффициенты'!E52*(C53+C54)</f>
        <v>7.1632559954284858E-2</v>
      </c>
      <c r="O50" s="291" t="s">
        <v>1668</v>
      </c>
      <c r="P50" s="291">
        <v>6750</v>
      </c>
      <c r="Q50" s="291">
        <v>19.670000000000002</v>
      </c>
      <c r="R50" s="291">
        <v>1327.73</v>
      </c>
      <c r="S50" s="295">
        <f>R50/'Исп. коэффициенты'!E52*C53</f>
        <v>0.500572099095277</v>
      </c>
      <c r="T50" s="291"/>
      <c r="U50" s="291"/>
      <c r="V50" s="291"/>
      <c r="W50" s="291"/>
      <c r="X50" s="291"/>
      <c r="Y50" s="295"/>
      <c r="Z50" s="291"/>
      <c r="AA50" s="284"/>
      <c r="AB50" s="284"/>
      <c r="AC50" s="284"/>
      <c r="AD50" s="263"/>
      <c r="AE50" s="261"/>
      <c r="AF50" s="365"/>
      <c r="AG50" s="366"/>
      <c r="AH50" s="366"/>
      <c r="AI50" s="366"/>
      <c r="AJ50" s="367"/>
      <c r="AK50" s="366"/>
      <c r="AL50" s="368"/>
      <c r="AM50" s="373"/>
      <c r="AN50" s="366"/>
      <c r="AO50" s="369"/>
      <c r="AP50" s="366"/>
      <c r="AQ50" s="366"/>
      <c r="AR50" s="369"/>
      <c r="AS50" s="369"/>
      <c r="AT50" s="366"/>
      <c r="AU50" s="366"/>
      <c r="AV50" s="369"/>
      <c r="AW50" s="366"/>
      <c r="AX50" s="366"/>
      <c r="AY50" s="366"/>
      <c r="AZ50" s="366"/>
      <c r="BA50" s="366"/>
    </row>
    <row r="51" spans="1:53" s="371" customFormat="1" ht="12.75" customHeight="1" x14ac:dyDescent="0.25">
      <c r="A51" s="1013"/>
      <c r="B51" s="286" t="s">
        <v>1179</v>
      </c>
      <c r="C51" s="277">
        <f>C41</f>
        <v>19.495759833054819</v>
      </c>
      <c r="D51" s="336"/>
      <c r="E51" s="300" t="s">
        <v>2112</v>
      </c>
      <c r="F51" s="301" t="s">
        <v>1</v>
      </c>
      <c r="G51" s="302">
        <v>0.47</v>
      </c>
      <c r="H51" s="302">
        <v>10</v>
      </c>
      <c r="I51" s="303">
        <f>G51*H51</f>
        <v>4.6999999999999993</v>
      </c>
      <c r="J51" s="290" t="s">
        <v>1513</v>
      </c>
      <c r="K51" s="292">
        <v>2</v>
      </c>
      <c r="L51" s="292">
        <v>25</v>
      </c>
      <c r="M51" s="304">
        <v>0.5</v>
      </c>
      <c r="N51" s="433">
        <f>L51/'Исп. коэффициенты'!E52*(C53+C54)</f>
        <v>1.8850673672180226E-2</v>
      </c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84"/>
      <c r="AB51" s="284"/>
      <c r="AC51" s="284"/>
      <c r="AD51" s="263"/>
      <c r="AE51" s="261"/>
      <c r="AF51" s="365"/>
      <c r="AG51" s="366"/>
      <c r="AH51" s="366"/>
      <c r="AI51" s="366"/>
      <c r="AJ51" s="367"/>
      <c r="AK51" s="366"/>
      <c r="AL51" s="368"/>
      <c r="AM51" s="366"/>
      <c r="AN51" s="366"/>
      <c r="AO51" s="369"/>
      <c r="AP51" s="366"/>
      <c r="AQ51" s="366"/>
      <c r="AR51" s="369"/>
      <c r="AS51" s="369"/>
      <c r="AT51" s="366"/>
      <c r="AU51" s="366"/>
      <c r="AV51" s="369"/>
      <c r="AW51" s="366"/>
      <c r="AX51" s="366"/>
      <c r="AY51" s="366"/>
      <c r="AZ51" s="366"/>
      <c r="BA51" s="366"/>
    </row>
    <row r="52" spans="1:53" s="371" customFormat="1" ht="12.75" customHeight="1" x14ac:dyDescent="0.25">
      <c r="A52" s="1013"/>
      <c r="B52" s="286" t="s">
        <v>831</v>
      </c>
      <c r="C52" s="313"/>
      <c r="D52" s="336"/>
      <c r="E52" s="747" t="s">
        <v>2188</v>
      </c>
      <c r="F52" s="301" t="s">
        <v>1441</v>
      </c>
      <c r="G52" s="302">
        <v>0.05</v>
      </c>
      <c r="H52" s="301">
        <v>10</v>
      </c>
      <c r="I52" s="303">
        <f t="shared" ref="I52:I53" si="1">G52*H52</f>
        <v>0.5</v>
      </c>
      <c r="J52" s="290"/>
      <c r="K52" s="292"/>
      <c r="L52" s="292"/>
      <c r="M52" s="292"/>
      <c r="N52" s="292"/>
      <c r="O52" s="290"/>
      <c r="P52" s="292"/>
      <c r="Q52" s="292"/>
      <c r="R52" s="292"/>
      <c r="S52" s="292"/>
      <c r="T52" s="291"/>
      <c r="U52" s="291"/>
      <c r="V52" s="291"/>
      <c r="W52" s="291"/>
      <c r="X52" s="291"/>
      <c r="Y52" s="291"/>
      <c r="Z52" s="291"/>
      <c r="AA52" s="284"/>
      <c r="AB52" s="284"/>
      <c r="AC52" s="284"/>
      <c r="AD52" s="263"/>
      <c r="AE52" s="261"/>
      <c r="AF52" s="365"/>
      <c r="AG52" s="366"/>
      <c r="AH52" s="366"/>
      <c r="AI52" s="366"/>
      <c r="AJ52" s="367"/>
      <c r="AK52" s="366"/>
      <c r="AL52" s="368"/>
      <c r="AM52" s="366"/>
      <c r="AN52" s="366"/>
      <c r="AO52" s="369"/>
      <c r="AP52" s="366"/>
      <c r="AQ52" s="366"/>
      <c r="AR52" s="369"/>
      <c r="AS52" s="369"/>
      <c r="AT52" s="366"/>
      <c r="AU52" s="366"/>
      <c r="AV52" s="369"/>
      <c r="AW52" s="366"/>
      <c r="AX52" s="366"/>
      <c r="AY52" s="366"/>
      <c r="AZ52" s="366"/>
      <c r="BA52" s="366"/>
    </row>
    <row r="53" spans="1:53" s="371" customFormat="1" ht="12.75" customHeight="1" x14ac:dyDescent="0.25">
      <c r="A53" s="1013"/>
      <c r="B53" s="309" t="s">
        <v>1178</v>
      </c>
      <c r="C53" s="314">
        <v>4</v>
      </c>
      <c r="D53" s="336"/>
      <c r="E53" s="300" t="s">
        <v>1703</v>
      </c>
      <c r="F53" s="301" t="s">
        <v>1</v>
      </c>
      <c r="G53" s="302">
        <v>7.4300000000000005E-2</v>
      </c>
      <c r="H53" s="301">
        <v>100</v>
      </c>
      <c r="I53" s="303">
        <f t="shared" si="1"/>
        <v>7.4300000000000006</v>
      </c>
      <c r="J53" s="290"/>
      <c r="K53" s="292"/>
      <c r="L53" s="292"/>
      <c r="M53" s="292"/>
      <c r="N53" s="292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84"/>
      <c r="AB53" s="284"/>
      <c r="AC53" s="284"/>
      <c r="AD53" s="263"/>
      <c r="AE53" s="261"/>
      <c r="AF53" s="365"/>
      <c r="AG53" s="366"/>
      <c r="AH53" s="366"/>
      <c r="AI53" s="366"/>
      <c r="AJ53" s="375"/>
      <c r="AK53" s="366"/>
      <c r="AL53" s="368"/>
      <c r="AM53" s="366"/>
      <c r="AN53" s="366"/>
      <c r="AO53" s="369"/>
      <c r="AP53" s="366"/>
      <c r="AQ53" s="366"/>
      <c r="AR53" s="369"/>
      <c r="AS53" s="369"/>
      <c r="AT53" s="366"/>
      <c r="AU53" s="366"/>
      <c r="AV53" s="369"/>
      <c r="AW53" s="366"/>
      <c r="AX53" s="366"/>
      <c r="AY53" s="366"/>
      <c r="AZ53" s="366"/>
      <c r="BA53" s="366"/>
    </row>
    <row r="54" spans="1:53" s="371" customFormat="1" ht="15.75" customHeight="1" x14ac:dyDescent="0.25">
      <c r="A54" s="1013"/>
      <c r="B54" s="286" t="s">
        <v>1179</v>
      </c>
      <c r="C54" s="314">
        <v>4</v>
      </c>
      <c r="D54" s="336"/>
      <c r="E54" s="300"/>
      <c r="F54" s="301"/>
      <c r="G54" s="302"/>
      <c r="H54" s="301"/>
      <c r="I54" s="303"/>
      <c r="J54" s="290"/>
      <c r="K54" s="292"/>
      <c r="L54" s="292"/>
      <c r="M54" s="292"/>
      <c r="N54" s="292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84"/>
      <c r="AB54" s="284"/>
      <c r="AC54" s="284"/>
      <c r="AD54" s="263"/>
      <c r="AE54" s="261"/>
      <c r="AF54" s="365"/>
      <c r="AG54" s="366"/>
      <c r="AH54" s="366"/>
      <c r="AI54" s="366"/>
      <c r="AJ54" s="375"/>
      <c r="AK54" s="366"/>
      <c r="AL54" s="368"/>
      <c r="AM54" s="366"/>
      <c r="AN54" s="366"/>
      <c r="AO54" s="369"/>
      <c r="AP54" s="366"/>
      <c r="AQ54" s="366"/>
      <c r="AR54" s="369"/>
      <c r="AS54" s="369"/>
      <c r="AT54" s="366"/>
      <c r="AU54" s="366"/>
      <c r="AV54" s="369"/>
      <c r="AW54" s="366"/>
      <c r="AX54" s="366"/>
      <c r="AY54" s="366"/>
      <c r="AZ54" s="366"/>
      <c r="BA54" s="366"/>
    </row>
    <row r="55" spans="1:53" s="371" customFormat="1" ht="20.25" customHeight="1" x14ac:dyDescent="0.25">
      <c r="A55" s="1013"/>
      <c r="B55" s="315" t="s">
        <v>1181</v>
      </c>
      <c r="C55" s="277">
        <f>C50*C53+C51*C54</f>
        <v>212.65387714115602</v>
      </c>
      <c r="D55" s="336"/>
      <c r="E55" s="300"/>
      <c r="F55" s="376"/>
      <c r="G55" s="302"/>
      <c r="H55" s="301"/>
      <c r="I55" s="303"/>
      <c r="J55" s="290"/>
      <c r="K55" s="374"/>
      <c r="L55" s="311"/>
      <c r="M55" s="304"/>
      <c r="N55" s="292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84"/>
      <c r="AB55" s="284"/>
      <c r="AC55" s="284"/>
      <c r="AD55" s="263"/>
      <c r="AE55" s="261"/>
      <c r="AF55" s="365"/>
      <c r="AG55" s="366"/>
      <c r="AH55" s="366"/>
      <c r="AI55" s="366"/>
      <c r="AJ55" s="367"/>
      <c r="AK55" s="366"/>
      <c r="AL55" s="368"/>
      <c r="AM55" s="366"/>
      <c r="AN55" s="366"/>
      <c r="AO55" s="369"/>
      <c r="AP55" s="366"/>
      <c r="AQ55" s="366"/>
      <c r="AR55" s="369"/>
      <c r="AS55" s="369"/>
      <c r="AT55" s="366"/>
      <c r="AU55" s="366"/>
      <c r="AV55" s="369"/>
      <c r="AW55" s="366"/>
      <c r="AX55" s="366"/>
      <c r="AY55" s="366"/>
      <c r="AZ55" s="366"/>
      <c r="BA55" s="366"/>
    </row>
    <row r="56" spans="1:53" s="371" customFormat="1" ht="13.5" customHeight="1" x14ac:dyDescent="0.25">
      <c r="A56" s="1014"/>
      <c r="B56" s="318"/>
      <c r="C56" s="314"/>
      <c r="D56" s="337"/>
      <c r="E56" s="300"/>
      <c r="F56" s="376"/>
      <c r="G56" s="302"/>
      <c r="H56" s="301"/>
      <c r="I56" s="303"/>
      <c r="J56" s="290"/>
      <c r="K56" s="374"/>
      <c r="L56" s="292"/>
      <c r="M56" s="292"/>
      <c r="N56" s="292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84"/>
      <c r="AB56" s="284"/>
      <c r="AC56" s="284"/>
      <c r="AD56" s="263"/>
      <c r="AE56" s="261"/>
      <c r="AF56" s="365"/>
      <c r="AG56" s="366"/>
      <c r="AH56" s="366"/>
      <c r="AI56" s="366"/>
      <c r="AJ56" s="375"/>
      <c r="AK56" s="366"/>
      <c r="AL56" s="368"/>
      <c r="AM56" s="366"/>
      <c r="AN56" s="366"/>
      <c r="AO56" s="369"/>
      <c r="AP56" s="366"/>
      <c r="AQ56" s="366"/>
      <c r="AR56" s="369"/>
      <c r="AS56" s="369"/>
      <c r="AT56" s="366"/>
      <c r="AU56" s="366"/>
      <c r="AV56" s="369"/>
      <c r="AW56" s="366"/>
      <c r="AX56" s="366"/>
      <c r="AY56" s="366"/>
      <c r="AZ56" s="366"/>
      <c r="BA56" s="366"/>
    </row>
    <row r="57" spans="1:53" s="261" customFormat="1" ht="56.25" customHeight="1" x14ac:dyDescent="0.25">
      <c r="A57" s="1012" t="s">
        <v>1247</v>
      </c>
      <c r="B57" s="353" t="s">
        <v>1246</v>
      </c>
      <c r="C57" s="277"/>
      <c r="D57" s="335"/>
      <c r="E57" s="278" t="s">
        <v>488</v>
      </c>
      <c r="F57" s="279" t="s">
        <v>837</v>
      </c>
      <c r="G57" s="277" t="s">
        <v>489</v>
      </c>
      <c r="H57" s="278" t="s">
        <v>1170</v>
      </c>
      <c r="I57" s="279" t="s">
        <v>838</v>
      </c>
      <c r="J57" s="280" t="s">
        <v>1171</v>
      </c>
      <c r="K57" s="280" t="s">
        <v>490</v>
      </c>
      <c r="L57" s="281" t="s">
        <v>489</v>
      </c>
      <c r="M57" s="280" t="s">
        <v>1172</v>
      </c>
      <c r="N57" s="354" t="s">
        <v>838</v>
      </c>
      <c r="O57" s="280" t="s">
        <v>1171</v>
      </c>
      <c r="P57" s="280" t="s">
        <v>826</v>
      </c>
      <c r="Q57" s="280" t="s">
        <v>1173</v>
      </c>
      <c r="R57" s="280" t="s">
        <v>1174</v>
      </c>
      <c r="S57" s="280" t="s">
        <v>839</v>
      </c>
      <c r="T57" s="280" t="s">
        <v>1171</v>
      </c>
      <c r="U57" s="280" t="s">
        <v>1392</v>
      </c>
      <c r="V57" s="280" t="s">
        <v>841</v>
      </c>
      <c r="W57" s="282" t="s">
        <v>1173</v>
      </c>
      <c r="X57" s="280" t="s">
        <v>1394</v>
      </c>
      <c r="Y57" s="280" t="s">
        <v>839</v>
      </c>
      <c r="Z57" s="283"/>
      <c r="AA57" s="284"/>
      <c r="AB57" s="284"/>
      <c r="AC57" s="284"/>
      <c r="AD57" s="263"/>
      <c r="AF57" s="262"/>
      <c r="AG57" s="263"/>
      <c r="AH57" s="263"/>
      <c r="AI57" s="263"/>
      <c r="AJ57" s="263"/>
      <c r="AK57" s="263"/>
      <c r="AL57" s="264"/>
      <c r="AM57" s="263"/>
      <c r="AN57" s="263"/>
      <c r="AO57" s="265"/>
      <c r="AP57" s="263"/>
      <c r="AQ57" s="355"/>
      <c r="AR57" s="355"/>
      <c r="AS57" s="355"/>
      <c r="AT57" s="263"/>
      <c r="AU57" s="263"/>
      <c r="AV57" s="265"/>
      <c r="AW57" s="263"/>
      <c r="AX57" s="263"/>
      <c r="AY57" s="263"/>
      <c r="AZ57" s="263"/>
      <c r="BA57" s="263"/>
    </row>
    <row r="58" spans="1:53" s="270" customFormat="1" ht="12" customHeight="1" x14ac:dyDescent="0.25">
      <c r="A58" s="1013"/>
      <c r="B58" s="285" t="s">
        <v>1175</v>
      </c>
      <c r="C58" s="277">
        <f>C65</f>
        <v>42.530775428231202</v>
      </c>
      <c r="D58" s="335">
        <f>C58*$D$5</f>
        <v>8.5912166365027041</v>
      </c>
      <c r="E58" s="286" t="s">
        <v>1176</v>
      </c>
      <c r="F58" s="356"/>
      <c r="G58" s="288"/>
      <c r="H58" s="288"/>
      <c r="I58" s="289">
        <f>SUM(I59:I66)</f>
        <v>23.664999999999999</v>
      </c>
      <c r="J58" s="290" t="s">
        <v>1176</v>
      </c>
      <c r="K58" s="357"/>
      <c r="L58" s="291"/>
      <c r="M58" s="291"/>
      <c r="N58" s="433">
        <f>SUM(N59:N66)</f>
        <v>0.13120068875837437</v>
      </c>
      <c r="O58" s="291"/>
      <c r="P58" s="291"/>
      <c r="Q58" s="291"/>
      <c r="R58" s="291"/>
      <c r="S58" s="295">
        <f>S59+S60</f>
        <v>0.16685711502277673</v>
      </c>
      <c r="T58" s="292"/>
      <c r="U58" s="292"/>
      <c r="V58" s="292"/>
      <c r="W58" s="292"/>
      <c r="X58" s="292"/>
      <c r="Y58" s="433">
        <f>SUM(Y59:Y66)</f>
        <v>6.9582706301489914</v>
      </c>
      <c r="Z58" s="296">
        <f>(C58+D58+I58+N58+S58+Y58)*$Z$5</f>
        <v>106.67171558838072</v>
      </c>
      <c r="AA58" s="297">
        <f>C58+D58+I58+N58+S58+Y58+Z58</f>
        <v>188.71503608704478</v>
      </c>
      <c r="AB58" s="298">
        <v>0.25</v>
      </c>
      <c r="AC58" s="358">
        <f>AA58*(1+AB58)</f>
        <v>235.89379510880599</v>
      </c>
      <c r="AD58" s="265"/>
      <c r="AE58" s="261"/>
      <c r="AF58" s="262"/>
      <c r="AG58" s="263"/>
      <c r="AH58" s="263"/>
      <c r="AI58" s="355"/>
      <c r="AJ58" s="359"/>
      <c r="AK58" s="360"/>
      <c r="AL58" s="264"/>
      <c r="AM58" s="361"/>
      <c r="AN58" s="143"/>
      <c r="AO58" s="362"/>
      <c r="AP58" s="363"/>
      <c r="AQ58" s="363"/>
      <c r="AR58" s="363"/>
      <c r="AS58" s="363"/>
      <c r="AT58" s="363"/>
      <c r="AU58" s="362"/>
      <c r="AV58" s="362"/>
      <c r="AW58" s="364"/>
      <c r="AX58" s="272"/>
      <c r="AY58" s="272"/>
      <c r="AZ58" s="272"/>
      <c r="BA58" s="272"/>
    </row>
    <row r="59" spans="1:53" s="371" customFormat="1" ht="12.75" customHeight="1" x14ac:dyDescent="0.25">
      <c r="A59" s="1013"/>
      <c r="B59" s="299" t="s">
        <v>830</v>
      </c>
      <c r="C59" s="277"/>
      <c r="D59" s="336"/>
      <c r="E59" s="300" t="s">
        <v>2186</v>
      </c>
      <c r="F59" s="301" t="s">
        <v>1441</v>
      </c>
      <c r="G59" s="302">
        <v>5.36</v>
      </c>
      <c r="H59" s="301">
        <v>2</v>
      </c>
      <c r="I59" s="303">
        <f>G59*H59</f>
        <v>10.72</v>
      </c>
      <c r="J59" s="290" t="s">
        <v>1291</v>
      </c>
      <c r="K59" s="304">
        <v>2</v>
      </c>
      <c r="L59" s="305">
        <v>750</v>
      </c>
      <c r="M59" s="304">
        <v>2</v>
      </c>
      <c r="N59" s="433">
        <f>L59/'Исп. коэффициенты'!E52*(C63+C64)</f>
        <v>0.11310404203308136</v>
      </c>
      <c r="O59" s="291" t="s">
        <v>1667</v>
      </c>
      <c r="P59" s="291">
        <v>4500</v>
      </c>
      <c r="Q59" s="291">
        <v>19.670000000000002</v>
      </c>
      <c r="R59" s="291">
        <v>885.15</v>
      </c>
      <c r="S59" s="295">
        <f>R59/'Исп. коэффициенты'!E52*C63</f>
        <v>6.6742695203721308E-2</v>
      </c>
      <c r="T59" s="306" t="s">
        <v>1435</v>
      </c>
      <c r="U59" s="307">
        <v>6785401.3499999996</v>
      </c>
      <c r="V59" s="746">
        <f>'Исп. коэффициенты'!E154</f>
        <v>0</v>
      </c>
      <c r="W59" s="308">
        <v>1.3599999999999999E-2</v>
      </c>
      <c r="X59" s="292">
        <f>U59*W59</f>
        <v>92281.45835999999</v>
      </c>
      <c r="Y59" s="295">
        <f>X59/'Исп. коэффициенты'!E52*C63</f>
        <v>6.9582706301489914</v>
      </c>
      <c r="Z59" s="291"/>
      <c r="AA59" s="284"/>
      <c r="AB59" s="284"/>
      <c r="AC59" s="284"/>
      <c r="AD59" s="263"/>
      <c r="AE59" s="261"/>
      <c r="AF59" s="365"/>
      <c r="AG59" s="366"/>
      <c r="AH59" s="366"/>
      <c r="AI59" s="366"/>
      <c r="AJ59" s="367"/>
      <c r="AK59" s="366"/>
      <c r="AL59" s="368"/>
      <c r="AM59" s="366"/>
      <c r="AN59" s="366"/>
      <c r="AO59" s="369"/>
      <c r="AP59" s="366"/>
      <c r="AQ59" s="366"/>
      <c r="AR59" s="369"/>
      <c r="AS59" s="369"/>
      <c r="AT59" s="366"/>
      <c r="AU59" s="366"/>
      <c r="AV59" s="369"/>
      <c r="AW59" s="366"/>
      <c r="AX59" s="366"/>
      <c r="AY59" s="366"/>
      <c r="AZ59" s="366"/>
      <c r="BA59" s="366"/>
    </row>
    <row r="60" spans="1:53" s="371" customFormat="1" x14ac:dyDescent="0.25">
      <c r="A60" s="1013"/>
      <c r="B60" s="309" t="s">
        <v>1178</v>
      </c>
      <c r="C60" s="310">
        <f>C50</f>
        <v>33.667709452234185</v>
      </c>
      <c r="D60" s="336"/>
      <c r="E60" s="300" t="s">
        <v>2187</v>
      </c>
      <c r="F60" s="301" t="s">
        <v>1</v>
      </c>
      <c r="G60" s="302">
        <v>6.3E-2</v>
      </c>
      <c r="H60" s="301">
        <v>5</v>
      </c>
      <c r="I60" s="303">
        <f>G60*H60</f>
        <v>0.315</v>
      </c>
      <c r="J60" s="290" t="s">
        <v>1445</v>
      </c>
      <c r="K60" s="292">
        <v>2</v>
      </c>
      <c r="L60" s="311">
        <v>95</v>
      </c>
      <c r="M60" s="304">
        <v>2</v>
      </c>
      <c r="N60" s="433">
        <f>L60/'Исп. коэффициенты'!E52*(C63+C64)</f>
        <v>1.4326511990856973E-2</v>
      </c>
      <c r="O60" s="291" t="s">
        <v>1668</v>
      </c>
      <c r="P60" s="291">
        <v>6750</v>
      </c>
      <c r="Q60" s="291">
        <v>19.670000000000002</v>
      </c>
      <c r="R60" s="291">
        <v>1327.73</v>
      </c>
      <c r="S60" s="295">
        <f>R60/'Исп. коэффициенты'!E52*C63</f>
        <v>0.1001144198190554</v>
      </c>
      <c r="T60" s="291"/>
      <c r="U60" s="291"/>
      <c r="V60" s="291"/>
      <c r="W60" s="291"/>
      <c r="X60" s="291"/>
      <c r="Y60" s="295"/>
      <c r="Z60" s="291"/>
      <c r="AA60" s="284"/>
      <c r="AB60" s="284"/>
      <c r="AC60" s="284"/>
      <c r="AD60" s="263"/>
      <c r="AE60" s="261"/>
      <c r="AF60" s="365"/>
      <c r="AG60" s="366"/>
      <c r="AH60" s="366"/>
      <c r="AI60" s="366"/>
      <c r="AJ60" s="367"/>
      <c r="AK60" s="366"/>
      <c r="AL60" s="368"/>
      <c r="AM60" s="373"/>
      <c r="AN60" s="366"/>
      <c r="AO60" s="369"/>
      <c r="AP60" s="366"/>
      <c r="AQ60" s="366"/>
      <c r="AR60" s="369"/>
      <c r="AS60" s="369"/>
      <c r="AT60" s="366"/>
      <c r="AU60" s="366"/>
      <c r="AV60" s="369"/>
      <c r="AW60" s="366"/>
      <c r="AX60" s="366"/>
      <c r="AY60" s="366"/>
      <c r="AZ60" s="366"/>
      <c r="BA60" s="366"/>
    </row>
    <row r="61" spans="1:53" s="371" customFormat="1" ht="12.75" customHeight="1" x14ac:dyDescent="0.25">
      <c r="A61" s="1013"/>
      <c r="B61" s="286" t="s">
        <v>1179</v>
      </c>
      <c r="C61" s="277">
        <f>C51</f>
        <v>19.495759833054819</v>
      </c>
      <c r="D61" s="336"/>
      <c r="E61" s="300" t="s">
        <v>2112</v>
      </c>
      <c r="F61" s="301" t="s">
        <v>1</v>
      </c>
      <c r="G61" s="302">
        <v>0.47</v>
      </c>
      <c r="H61" s="302">
        <v>10</v>
      </c>
      <c r="I61" s="303">
        <f>G61*H61</f>
        <v>4.6999999999999993</v>
      </c>
      <c r="J61" s="290" t="s">
        <v>1513</v>
      </c>
      <c r="K61" s="292">
        <v>2</v>
      </c>
      <c r="L61" s="292">
        <v>25</v>
      </c>
      <c r="M61" s="304">
        <v>0.5</v>
      </c>
      <c r="N61" s="433">
        <f>L61/'Исп. коэффициенты'!E52*(C63+C64)</f>
        <v>3.7701347344360455E-3</v>
      </c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84"/>
      <c r="AB61" s="284"/>
      <c r="AC61" s="284"/>
      <c r="AD61" s="263"/>
      <c r="AE61" s="261"/>
      <c r="AF61" s="365"/>
      <c r="AG61" s="366"/>
      <c r="AH61" s="366"/>
      <c r="AI61" s="366"/>
      <c r="AJ61" s="367"/>
      <c r="AK61" s="366"/>
      <c r="AL61" s="368"/>
      <c r="AM61" s="366"/>
      <c r="AN61" s="366"/>
      <c r="AO61" s="369"/>
      <c r="AP61" s="366"/>
      <c r="AQ61" s="366"/>
      <c r="AR61" s="369"/>
      <c r="AS61" s="369"/>
      <c r="AT61" s="366"/>
      <c r="AU61" s="366"/>
      <c r="AV61" s="369"/>
      <c r="AW61" s="366"/>
      <c r="AX61" s="366"/>
      <c r="AY61" s="366"/>
      <c r="AZ61" s="366"/>
      <c r="BA61" s="366"/>
    </row>
    <row r="62" spans="1:53" s="371" customFormat="1" ht="12.75" customHeight="1" x14ac:dyDescent="0.25">
      <c r="A62" s="1013"/>
      <c r="B62" s="286" t="s">
        <v>831</v>
      </c>
      <c r="C62" s="313"/>
      <c r="D62" s="336"/>
      <c r="E62" s="747" t="s">
        <v>2188</v>
      </c>
      <c r="F62" s="301" t="s">
        <v>1441</v>
      </c>
      <c r="G62" s="302">
        <v>0.05</v>
      </c>
      <c r="H62" s="301">
        <v>10</v>
      </c>
      <c r="I62" s="303">
        <f t="shared" ref="I62:I63" si="2">G62*H62</f>
        <v>0.5</v>
      </c>
      <c r="J62" s="290"/>
      <c r="K62" s="292"/>
      <c r="L62" s="292"/>
      <c r="M62" s="292"/>
      <c r="N62" s="292"/>
      <c r="O62" s="290"/>
      <c r="P62" s="292"/>
      <c r="Q62" s="292"/>
      <c r="R62" s="292"/>
      <c r="S62" s="292"/>
      <c r="T62" s="291"/>
      <c r="U62" s="291"/>
      <c r="V62" s="291"/>
      <c r="W62" s="291"/>
      <c r="X62" s="291"/>
      <c r="Y62" s="291"/>
      <c r="Z62" s="291"/>
      <c r="AA62" s="284"/>
      <c r="AB62" s="284"/>
      <c r="AC62" s="284"/>
      <c r="AD62" s="263"/>
      <c r="AE62" s="261"/>
      <c r="AF62" s="365"/>
      <c r="AG62" s="366"/>
      <c r="AH62" s="366"/>
      <c r="AI62" s="366"/>
      <c r="AJ62" s="367"/>
      <c r="AK62" s="366"/>
      <c r="AL62" s="368"/>
      <c r="AM62" s="366"/>
      <c r="AN62" s="366"/>
      <c r="AO62" s="369"/>
      <c r="AP62" s="366"/>
      <c r="AQ62" s="366"/>
      <c r="AR62" s="369"/>
      <c r="AS62" s="369"/>
      <c r="AT62" s="366"/>
      <c r="AU62" s="366"/>
      <c r="AV62" s="369"/>
      <c r="AW62" s="366"/>
      <c r="AX62" s="366"/>
      <c r="AY62" s="366"/>
      <c r="AZ62" s="366"/>
      <c r="BA62" s="366"/>
    </row>
    <row r="63" spans="1:53" s="371" customFormat="1" ht="12.75" customHeight="1" x14ac:dyDescent="0.25">
      <c r="A63" s="1013"/>
      <c r="B63" s="309" t="s">
        <v>1178</v>
      </c>
      <c r="C63" s="314">
        <v>0.8</v>
      </c>
      <c r="D63" s="336"/>
      <c r="E63" s="300" t="s">
        <v>1703</v>
      </c>
      <c r="F63" s="301" t="s">
        <v>1</v>
      </c>
      <c r="G63" s="302">
        <v>7.4300000000000005E-2</v>
      </c>
      <c r="H63" s="301">
        <v>100</v>
      </c>
      <c r="I63" s="303">
        <f t="shared" si="2"/>
        <v>7.4300000000000006</v>
      </c>
      <c r="J63" s="290"/>
      <c r="K63" s="292"/>
      <c r="L63" s="292"/>
      <c r="M63" s="292"/>
      <c r="N63" s="292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84"/>
      <c r="AB63" s="284"/>
      <c r="AC63" s="284"/>
      <c r="AD63" s="263"/>
      <c r="AE63" s="261"/>
      <c r="AF63" s="365"/>
      <c r="AG63" s="366"/>
      <c r="AH63" s="366"/>
      <c r="AI63" s="366"/>
      <c r="AJ63" s="375"/>
      <c r="AK63" s="366"/>
      <c r="AL63" s="368"/>
      <c r="AM63" s="366"/>
      <c r="AN63" s="366"/>
      <c r="AO63" s="369"/>
      <c r="AP63" s="366"/>
      <c r="AQ63" s="366"/>
      <c r="AR63" s="369"/>
      <c r="AS63" s="369"/>
      <c r="AT63" s="366"/>
      <c r="AU63" s="366"/>
      <c r="AV63" s="369"/>
      <c r="AW63" s="366"/>
      <c r="AX63" s="366"/>
      <c r="AY63" s="366"/>
      <c r="AZ63" s="366"/>
      <c r="BA63" s="366"/>
    </row>
    <row r="64" spans="1:53" s="371" customFormat="1" ht="15.75" customHeight="1" x14ac:dyDescent="0.25">
      <c r="A64" s="1013"/>
      <c r="B64" s="286" t="s">
        <v>1179</v>
      </c>
      <c r="C64" s="314">
        <v>0.8</v>
      </c>
      <c r="D64" s="336"/>
      <c r="E64" s="300"/>
      <c r="F64" s="301"/>
      <c r="G64" s="302"/>
      <c r="H64" s="301"/>
      <c r="I64" s="303"/>
      <c r="J64" s="290"/>
      <c r="K64" s="292"/>
      <c r="L64" s="292"/>
      <c r="M64" s="292"/>
      <c r="N64" s="292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84"/>
      <c r="AB64" s="284"/>
      <c r="AC64" s="284"/>
      <c r="AD64" s="263"/>
      <c r="AE64" s="261"/>
      <c r="AF64" s="365"/>
      <c r="AG64" s="366"/>
      <c r="AH64" s="366"/>
      <c r="AI64" s="366"/>
      <c r="AJ64" s="375"/>
      <c r="AK64" s="366"/>
      <c r="AL64" s="368"/>
      <c r="AM64" s="366"/>
      <c r="AN64" s="366"/>
      <c r="AO64" s="369"/>
      <c r="AP64" s="366"/>
      <c r="AQ64" s="366"/>
      <c r="AR64" s="369"/>
      <c r="AS64" s="369"/>
      <c r="AT64" s="366"/>
      <c r="AU64" s="366"/>
      <c r="AV64" s="369"/>
      <c r="AW64" s="366"/>
      <c r="AX64" s="366"/>
      <c r="AY64" s="366"/>
      <c r="AZ64" s="366"/>
      <c r="BA64" s="366"/>
    </row>
    <row r="65" spans="1:53" s="371" customFormat="1" ht="20.25" customHeight="1" x14ac:dyDescent="0.25">
      <c r="A65" s="1013"/>
      <c r="B65" s="315" t="s">
        <v>1181</v>
      </c>
      <c r="C65" s="277">
        <f>C60*C63+C61*C64</f>
        <v>42.530775428231202</v>
      </c>
      <c r="D65" s="336"/>
      <c r="E65" s="300"/>
      <c r="F65" s="376"/>
      <c r="G65" s="302"/>
      <c r="H65" s="301"/>
      <c r="I65" s="303"/>
      <c r="J65" s="290"/>
      <c r="K65" s="374"/>
      <c r="L65" s="311"/>
      <c r="M65" s="304"/>
      <c r="N65" s="292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84"/>
      <c r="AB65" s="284"/>
      <c r="AC65" s="284"/>
      <c r="AD65" s="263"/>
      <c r="AE65" s="261"/>
      <c r="AF65" s="365"/>
      <c r="AG65" s="366"/>
      <c r="AH65" s="366"/>
      <c r="AI65" s="366"/>
      <c r="AJ65" s="367"/>
      <c r="AK65" s="366"/>
      <c r="AL65" s="368"/>
      <c r="AM65" s="366"/>
      <c r="AN65" s="366"/>
      <c r="AO65" s="369"/>
      <c r="AP65" s="366"/>
      <c r="AQ65" s="366"/>
      <c r="AR65" s="369"/>
      <c r="AS65" s="369"/>
      <c r="AT65" s="366"/>
      <c r="AU65" s="366"/>
      <c r="AV65" s="369"/>
      <c r="AW65" s="366"/>
      <c r="AX65" s="366"/>
      <c r="AY65" s="366"/>
      <c r="AZ65" s="366"/>
      <c r="BA65" s="366"/>
    </row>
    <row r="66" spans="1:53" s="371" customFormat="1" ht="13.5" customHeight="1" x14ac:dyDescent="0.25">
      <c r="A66" s="1014"/>
      <c r="B66" s="318"/>
      <c r="C66" s="314"/>
      <c r="D66" s="337"/>
      <c r="E66" s="300"/>
      <c r="F66" s="376"/>
      <c r="G66" s="302"/>
      <c r="H66" s="301"/>
      <c r="I66" s="303"/>
      <c r="J66" s="290"/>
      <c r="K66" s="374"/>
      <c r="L66" s="292"/>
      <c r="M66" s="292"/>
      <c r="N66" s="292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84"/>
      <c r="AB66" s="284"/>
      <c r="AC66" s="284"/>
      <c r="AD66" s="263"/>
      <c r="AE66" s="261"/>
      <c r="AF66" s="365"/>
      <c r="AG66" s="366"/>
      <c r="AH66" s="366"/>
      <c r="AI66" s="366"/>
      <c r="AJ66" s="375"/>
      <c r="AK66" s="366"/>
      <c r="AL66" s="368"/>
      <c r="AM66" s="366"/>
      <c r="AN66" s="366"/>
      <c r="AO66" s="369"/>
      <c r="AP66" s="366"/>
      <c r="AQ66" s="366"/>
      <c r="AR66" s="369"/>
      <c r="AS66" s="369"/>
      <c r="AT66" s="366"/>
      <c r="AU66" s="366"/>
      <c r="AV66" s="369"/>
      <c r="AW66" s="366"/>
      <c r="AX66" s="366"/>
      <c r="AY66" s="366"/>
      <c r="AZ66" s="366"/>
      <c r="BA66" s="366"/>
    </row>
    <row r="67" spans="1:53" s="261" customFormat="1" ht="56.25" customHeight="1" x14ac:dyDescent="0.25">
      <c r="A67" s="1012" t="s">
        <v>1248</v>
      </c>
      <c r="B67" s="353" t="s">
        <v>1249</v>
      </c>
      <c r="C67" s="277"/>
      <c r="D67" s="335"/>
      <c r="E67" s="278" t="s">
        <v>488</v>
      </c>
      <c r="F67" s="279" t="s">
        <v>837</v>
      </c>
      <c r="G67" s="277" t="s">
        <v>489</v>
      </c>
      <c r="H67" s="278" t="s">
        <v>1170</v>
      </c>
      <c r="I67" s="279" t="s">
        <v>838</v>
      </c>
      <c r="J67" s="280" t="s">
        <v>1171</v>
      </c>
      <c r="K67" s="280" t="s">
        <v>490</v>
      </c>
      <c r="L67" s="281" t="s">
        <v>489</v>
      </c>
      <c r="M67" s="280" t="s">
        <v>1172</v>
      </c>
      <c r="N67" s="354" t="s">
        <v>838</v>
      </c>
      <c r="O67" s="280" t="s">
        <v>1171</v>
      </c>
      <c r="P67" s="280" t="s">
        <v>826</v>
      </c>
      <c r="Q67" s="280" t="s">
        <v>1173</v>
      </c>
      <c r="R67" s="280" t="s">
        <v>1174</v>
      </c>
      <c r="S67" s="280" t="s">
        <v>839</v>
      </c>
      <c r="T67" s="280" t="s">
        <v>1171</v>
      </c>
      <c r="U67" s="280" t="s">
        <v>1392</v>
      </c>
      <c r="V67" s="280" t="s">
        <v>841</v>
      </c>
      <c r="W67" s="282" t="s">
        <v>1173</v>
      </c>
      <c r="X67" s="280" t="s">
        <v>1394</v>
      </c>
      <c r="Y67" s="280" t="s">
        <v>839</v>
      </c>
      <c r="Z67" s="283"/>
      <c r="AA67" s="284"/>
      <c r="AB67" s="284"/>
      <c r="AC67" s="284"/>
      <c r="AD67" s="263"/>
      <c r="AF67" s="262"/>
      <c r="AG67" s="263"/>
      <c r="AH67" s="263"/>
      <c r="AI67" s="263"/>
      <c r="AJ67" s="263"/>
      <c r="AK67" s="263"/>
      <c r="AL67" s="264"/>
      <c r="AM67" s="263"/>
      <c r="AN67" s="263"/>
      <c r="AO67" s="265"/>
      <c r="AP67" s="263"/>
      <c r="AQ67" s="355"/>
      <c r="AR67" s="355"/>
      <c r="AS67" s="355"/>
      <c r="AT67" s="263"/>
      <c r="AU67" s="263"/>
      <c r="AV67" s="265"/>
      <c r="AW67" s="263"/>
      <c r="AX67" s="263"/>
      <c r="AY67" s="263"/>
      <c r="AZ67" s="263"/>
      <c r="BA67" s="263"/>
    </row>
    <row r="68" spans="1:53" s="270" customFormat="1" ht="12" customHeight="1" x14ac:dyDescent="0.25">
      <c r="A68" s="1013"/>
      <c r="B68" s="285" t="s">
        <v>1175</v>
      </c>
      <c r="C68" s="277">
        <f>C75</f>
        <v>139.99464802281219</v>
      </c>
      <c r="D68" s="335">
        <f>C68*$D$5</f>
        <v>28.278918900608062</v>
      </c>
      <c r="E68" s="286" t="s">
        <v>1176</v>
      </c>
      <c r="F68" s="356"/>
      <c r="G68" s="288"/>
      <c r="H68" s="288"/>
      <c r="I68" s="289">
        <f>SUM(I69:I76)</f>
        <v>23.664999999999999</v>
      </c>
      <c r="J68" s="290" t="s">
        <v>1176</v>
      </c>
      <c r="K68" s="357"/>
      <c r="L68" s="291"/>
      <c r="M68" s="291"/>
      <c r="N68" s="433">
        <f>SUM(N69:N76)</f>
        <v>0.41000215236991988</v>
      </c>
      <c r="O68" s="291"/>
      <c r="P68" s="291"/>
      <c r="Q68" s="291"/>
      <c r="R68" s="291"/>
      <c r="S68" s="295">
        <f>S69+S70</f>
        <v>0.62571418133541268</v>
      </c>
      <c r="T68" s="292"/>
      <c r="U68" s="292"/>
      <c r="V68" s="292"/>
      <c r="W68" s="292"/>
      <c r="X68" s="292"/>
      <c r="Y68" s="433">
        <f>SUM(Y69:Y76)</f>
        <v>26.093514863058715</v>
      </c>
      <c r="Z68" s="296">
        <f>(C68+D68+I68+N68+S68+Y68)*$Z$5</f>
        <v>284.82925500351513</v>
      </c>
      <c r="AA68" s="297">
        <f>C68+D68+I68+N68+S68+Y68+Z68</f>
        <v>503.89705312369938</v>
      </c>
      <c r="AB68" s="298">
        <v>0.25</v>
      </c>
      <c r="AC68" s="358">
        <f>AA68*(1+AB68)</f>
        <v>629.87131640462417</v>
      </c>
      <c r="AD68" s="265"/>
      <c r="AE68" s="261"/>
      <c r="AF68" s="262"/>
      <c r="AG68" s="263"/>
      <c r="AH68" s="263"/>
      <c r="AI68" s="355"/>
      <c r="AJ68" s="359"/>
      <c r="AK68" s="360"/>
      <c r="AL68" s="264"/>
      <c r="AM68" s="361"/>
      <c r="AN68" s="143"/>
      <c r="AO68" s="362"/>
      <c r="AP68" s="363"/>
      <c r="AQ68" s="363"/>
      <c r="AR68" s="363"/>
      <c r="AS68" s="363"/>
      <c r="AT68" s="363"/>
      <c r="AU68" s="362"/>
      <c r="AV68" s="362"/>
      <c r="AW68" s="364"/>
      <c r="AX68" s="272"/>
      <c r="AY68" s="272"/>
      <c r="AZ68" s="272"/>
      <c r="BA68" s="272"/>
    </row>
    <row r="69" spans="1:53" s="371" customFormat="1" ht="12.75" customHeight="1" x14ac:dyDescent="0.25">
      <c r="A69" s="1013"/>
      <c r="B69" s="299" t="s">
        <v>830</v>
      </c>
      <c r="C69" s="277"/>
      <c r="D69" s="336"/>
      <c r="E69" s="300" t="s">
        <v>2186</v>
      </c>
      <c r="F69" s="301" t="s">
        <v>1441</v>
      </c>
      <c r="G69" s="302">
        <v>5.36</v>
      </c>
      <c r="H69" s="301">
        <v>2</v>
      </c>
      <c r="I69" s="303">
        <f>G69*H69</f>
        <v>10.72</v>
      </c>
      <c r="J69" s="290" t="s">
        <v>1291</v>
      </c>
      <c r="K69" s="304">
        <v>2</v>
      </c>
      <c r="L69" s="305">
        <v>750</v>
      </c>
      <c r="M69" s="304">
        <v>2</v>
      </c>
      <c r="N69" s="433">
        <f>L69/'Исп. коэффициенты'!E52*(C73+C74)</f>
        <v>0.35345013135337922</v>
      </c>
      <c r="O69" s="291" t="s">
        <v>1667</v>
      </c>
      <c r="P69" s="291">
        <v>4500</v>
      </c>
      <c r="Q69" s="291">
        <v>19.670000000000002</v>
      </c>
      <c r="R69" s="291">
        <v>885.15</v>
      </c>
      <c r="S69" s="295">
        <f>R69/'Исп. коэффициенты'!E52*C73</f>
        <v>0.2502851070139549</v>
      </c>
      <c r="T69" s="306" t="s">
        <v>1435</v>
      </c>
      <c r="U69" s="307">
        <v>6785401.3499999996</v>
      </c>
      <c r="V69" s="746">
        <f>'Исп. коэффициенты'!E124</f>
        <v>2978.5</v>
      </c>
      <c r="W69" s="308">
        <v>1.3599999999999999E-2</v>
      </c>
      <c r="X69" s="292">
        <f>U69*W69</f>
        <v>92281.45835999999</v>
      </c>
      <c r="Y69" s="295">
        <f>X69/'Исп. коэффициенты'!E52*C73</f>
        <v>26.093514863058715</v>
      </c>
      <c r="Z69" s="291"/>
      <c r="AA69" s="284"/>
      <c r="AB69" s="284"/>
      <c r="AC69" s="284"/>
      <c r="AD69" s="263"/>
      <c r="AE69" s="261"/>
      <c r="AF69" s="365"/>
      <c r="AG69" s="366"/>
      <c r="AH69" s="366"/>
      <c r="AI69" s="366"/>
      <c r="AJ69" s="367"/>
      <c r="AK69" s="366"/>
      <c r="AL69" s="368"/>
      <c r="AM69" s="366"/>
      <c r="AN69" s="366"/>
      <c r="AO69" s="369"/>
      <c r="AP69" s="366"/>
      <c r="AQ69" s="366"/>
      <c r="AR69" s="369"/>
      <c r="AS69" s="369"/>
      <c r="AT69" s="366"/>
      <c r="AU69" s="366"/>
      <c r="AV69" s="369"/>
      <c r="AW69" s="366"/>
      <c r="AX69" s="366"/>
      <c r="AY69" s="366"/>
      <c r="AZ69" s="366"/>
      <c r="BA69" s="366"/>
    </row>
    <row r="70" spans="1:53" s="371" customFormat="1" x14ac:dyDescent="0.25">
      <c r="A70" s="1013"/>
      <c r="B70" s="309" t="s">
        <v>1178</v>
      </c>
      <c r="C70" s="310">
        <f>C60</f>
        <v>33.667709452234185</v>
      </c>
      <c r="D70" s="336"/>
      <c r="E70" s="300" t="s">
        <v>2187</v>
      </c>
      <c r="F70" s="301" t="s">
        <v>1</v>
      </c>
      <c r="G70" s="302">
        <v>6.3E-2</v>
      </c>
      <c r="H70" s="301">
        <v>5</v>
      </c>
      <c r="I70" s="303">
        <f>G70*H70</f>
        <v>0.315</v>
      </c>
      <c r="J70" s="290" t="s">
        <v>1445</v>
      </c>
      <c r="K70" s="292">
        <v>2</v>
      </c>
      <c r="L70" s="311">
        <v>95</v>
      </c>
      <c r="M70" s="304">
        <v>2</v>
      </c>
      <c r="N70" s="433">
        <f>L70/'Исп. коэффициенты'!E52*(C73+C74)</f>
        <v>4.4770349971428036E-2</v>
      </c>
      <c r="O70" s="291" t="s">
        <v>1668</v>
      </c>
      <c r="P70" s="291">
        <v>6750</v>
      </c>
      <c r="Q70" s="291">
        <v>19.670000000000002</v>
      </c>
      <c r="R70" s="291">
        <v>1327.73</v>
      </c>
      <c r="S70" s="295">
        <f>R70/'Исп. коэффициенты'!E52*C73</f>
        <v>0.37542907432145778</v>
      </c>
      <c r="T70" s="291"/>
      <c r="U70" s="291"/>
      <c r="V70" s="291"/>
      <c r="W70" s="291"/>
      <c r="X70" s="291"/>
      <c r="Y70" s="295"/>
      <c r="Z70" s="291"/>
      <c r="AA70" s="284"/>
      <c r="AB70" s="284"/>
      <c r="AC70" s="284"/>
      <c r="AD70" s="263"/>
      <c r="AE70" s="261"/>
      <c r="AF70" s="365"/>
      <c r="AG70" s="366"/>
      <c r="AH70" s="366"/>
      <c r="AI70" s="366"/>
      <c r="AJ70" s="367"/>
      <c r="AK70" s="366"/>
      <c r="AL70" s="368"/>
      <c r="AM70" s="373"/>
      <c r="AN70" s="366"/>
      <c r="AO70" s="369"/>
      <c r="AP70" s="366"/>
      <c r="AQ70" s="366"/>
      <c r="AR70" s="369"/>
      <c r="AS70" s="369"/>
      <c r="AT70" s="366"/>
      <c r="AU70" s="366"/>
      <c r="AV70" s="369"/>
      <c r="AW70" s="366"/>
      <c r="AX70" s="366"/>
      <c r="AY70" s="366"/>
      <c r="AZ70" s="366"/>
      <c r="BA70" s="366"/>
    </row>
    <row r="71" spans="1:53" s="371" customFormat="1" ht="12.75" customHeight="1" x14ac:dyDescent="0.25">
      <c r="A71" s="1013"/>
      <c r="B71" s="286" t="s">
        <v>1179</v>
      </c>
      <c r="C71" s="277">
        <f>C61</f>
        <v>19.495759833054819</v>
      </c>
      <c r="D71" s="336"/>
      <c r="E71" s="300" t="s">
        <v>2112</v>
      </c>
      <c r="F71" s="301" t="s">
        <v>1</v>
      </c>
      <c r="G71" s="302">
        <v>0.47</v>
      </c>
      <c r="H71" s="302">
        <v>10</v>
      </c>
      <c r="I71" s="303">
        <f>G71*H71</f>
        <v>4.6999999999999993</v>
      </c>
      <c r="J71" s="290" t="s">
        <v>1513</v>
      </c>
      <c r="K71" s="292">
        <v>2</v>
      </c>
      <c r="L71" s="292">
        <v>25</v>
      </c>
      <c r="M71" s="304">
        <v>0.5</v>
      </c>
      <c r="N71" s="433">
        <f>L71/'Исп. коэффициенты'!E52*(C73+C74)</f>
        <v>1.1781671045112642E-2</v>
      </c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84"/>
      <c r="AB71" s="284"/>
      <c r="AC71" s="284"/>
      <c r="AD71" s="263"/>
      <c r="AE71" s="261"/>
      <c r="AF71" s="365"/>
      <c r="AG71" s="366"/>
      <c r="AH71" s="366"/>
      <c r="AI71" s="366"/>
      <c r="AJ71" s="367"/>
      <c r="AK71" s="366"/>
      <c r="AL71" s="368"/>
      <c r="AM71" s="366"/>
      <c r="AN71" s="366"/>
      <c r="AO71" s="369"/>
      <c r="AP71" s="366"/>
      <c r="AQ71" s="366"/>
      <c r="AR71" s="369"/>
      <c r="AS71" s="369"/>
      <c r="AT71" s="366"/>
      <c r="AU71" s="366"/>
      <c r="AV71" s="369"/>
      <c r="AW71" s="366"/>
      <c r="AX71" s="366"/>
      <c r="AY71" s="366"/>
      <c r="AZ71" s="366"/>
      <c r="BA71" s="366"/>
    </row>
    <row r="72" spans="1:53" s="371" customFormat="1" ht="12.75" customHeight="1" x14ac:dyDescent="0.25">
      <c r="A72" s="1013"/>
      <c r="B72" s="286" t="s">
        <v>831</v>
      </c>
      <c r="C72" s="313"/>
      <c r="D72" s="336"/>
      <c r="E72" s="747" t="s">
        <v>2188</v>
      </c>
      <c r="F72" s="301" t="s">
        <v>1441</v>
      </c>
      <c r="G72" s="302">
        <v>0.05</v>
      </c>
      <c r="H72" s="301">
        <v>10</v>
      </c>
      <c r="I72" s="303">
        <f t="shared" ref="I72:I73" si="3">G72*H72</f>
        <v>0.5</v>
      </c>
      <c r="J72" s="290"/>
      <c r="K72" s="292"/>
      <c r="L72" s="292"/>
      <c r="M72" s="292"/>
      <c r="N72" s="292"/>
      <c r="O72" s="290"/>
      <c r="P72" s="292"/>
      <c r="Q72" s="292"/>
      <c r="R72" s="292"/>
      <c r="S72" s="292"/>
      <c r="T72" s="291"/>
      <c r="U72" s="291"/>
      <c r="V72" s="291"/>
      <c r="W72" s="291"/>
      <c r="X72" s="291"/>
      <c r="Y72" s="291"/>
      <c r="Z72" s="291"/>
      <c r="AA72" s="284"/>
      <c r="AB72" s="284"/>
      <c r="AC72" s="284"/>
      <c r="AD72" s="263"/>
      <c r="AE72" s="261"/>
      <c r="AF72" s="365"/>
      <c r="AG72" s="366"/>
      <c r="AH72" s="366"/>
      <c r="AI72" s="366"/>
      <c r="AJ72" s="367"/>
      <c r="AK72" s="366"/>
      <c r="AL72" s="368"/>
      <c r="AM72" s="366"/>
      <c r="AN72" s="366"/>
      <c r="AO72" s="369"/>
      <c r="AP72" s="366"/>
      <c r="AQ72" s="366"/>
      <c r="AR72" s="369"/>
      <c r="AS72" s="369"/>
      <c r="AT72" s="366"/>
      <c r="AU72" s="366"/>
      <c r="AV72" s="369"/>
      <c r="AW72" s="366"/>
      <c r="AX72" s="366"/>
      <c r="AY72" s="366"/>
      <c r="AZ72" s="366"/>
      <c r="BA72" s="366"/>
    </row>
    <row r="73" spans="1:53" s="371" customFormat="1" ht="12.75" customHeight="1" x14ac:dyDescent="0.25">
      <c r="A73" s="1013"/>
      <c r="B73" s="309" t="s">
        <v>1178</v>
      </c>
      <c r="C73" s="314">
        <v>3</v>
      </c>
      <c r="D73" s="336"/>
      <c r="E73" s="300" t="s">
        <v>1703</v>
      </c>
      <c r="F73" s="301" t="s">
        <v>1</v>
      </c>
      <c r="G73" s="302">
        <v>7.4300000000000005E-2</v>
      </c>
      <c r="H73" s="301">
        <v>100</v>
      </c>
      <c r="I73" s="303">
        <f t="shared" si="3"/>
        <v>7.4300000000000006</v>
      </c>
      <c r="J73" s="290"/>
      <c r="K73" s="292"/>
      <c r="L73" s="292"/>
      <c r="M73" s="292"/>
      <c r="N73" s="292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84"/>
      <c r="AB73" s="284"/>
      <c r="AC73" s="284"/>
      <c r="AD73" s="263"/>
      <c r="AE73" s="261"/>
      <c r="AF73" s="365"/>
      <c r="AG73" s="366"/>
      <c r="AH73" s="366"/>
      <c r="AI73" s="366"/>
      <c r="AJ73" s="375"/>
      <c r="AK73" s="366"/>
      <c r="AL73" s="368"/>
      <c r="AM73" s="366"/>
      <c r="AN73" s="366"/>
      <c r="AO73" s="369"/>
      <c r="AP73" s="366"/>
      <c r="AQ73" s="366"/>
      <c r="AR73" s="369"/>
      <c r="AS73" s="369"/>
      <c r="AT73" s="366"/>
      <c r="AU73" s="366"/>
      <c r="AV73" s="369"/>
      <c r="AW73" s="366"/>
      <c r="AX73" s="366"/>
      <c r="AY73" s="366"/>
      <c r="AZ73" s="366"/>
      <c r="BA73" s="366"/>
    </row>
    <row r="74" spans="1:53" s="371" customFormat="1" ht="15.75" customHeight="1" x14ac:dyDescent="0.25">
      <c r="A74" s="1013"/>
      <c r="B74" s="286" t="s">
        <v>1179</v>
      </c>
      <c r="C74" s="314">
        <v>2</v>
      </c>
      <c r="D74" s="336"/>
      <c r="E74" s="300"/>
      <c r="F74" s="301"/>
      <c r="G74" s="302"/>
      <c r="H74" s="301"/>
      <c r="I74" s="303"/>
      <c r="J74" s="290"/>
      <c r="K74" s="292"/>
      <c r="L74" s="292"/>
      <c r="M74" s="292"/>
      <c r="N74" s="292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84"/>
      <c r="AB74" s="284"/>
      <c r="AC74" s="284"/>
      <c r="AD74" s="263"/>
      <c r="AE74" s="261"/>
      <c r="AF74" s="365"/>
      <c r="AG74" s="366"/>
      <c r="AH74" s="366"/>
      <c r="AI74" s="366"/>
      <c r="AJ74" s="375"/>
      <c r="AK74" s="366"/>
      <c r="AL74" s="368"/>
      <c r="AM74" s="366"/>
      <c r="AN74" s="366"/>
      <c r="AO74" s="369"/>
      <c r="AP74" s="366"/>
      <c r="AQ74" s="366"/>
      <c r="AR74" s="369"/>
      <c r="AS74" s="369"/>
      <c r="AT74" s="366"/>
      <c r="AU74" s="366"/>
      <c r="AV74" s="369"/>
      <c r="AW74" s="366"/>
      <c r="AX74" s="366"/>
      <c r="AY74" s="366"/>
      <c r="AZ74" s="366"/>
      <c r="BA74" s="366"/>
    </row>
    <row r="75" spans="1:53" s="371" customFormat="1" ht="20.25" customHeight="1" x14ac:dyDescent="0.25">
      <c r="A75" s="1013"/>
      <c r="B75" s="315" t="s">
        <v>1181</v>
      </c>
      <c r="C75" s="277">
        <f>C70*C73+C71*C74</f>
        <v>139.99464802281219</v>
      </c>
      <c r="D75" s="336"/>
      <c r="E75" s="300"/>
      <c r="F75" s="376"/>
      <c r="G75" s="302"/>
      <c r="H75" s="301"/>
      <c r="I75" s="303"/>
      <c r="J75" s="290"/>
      <c r="K75" s="374"/>
      <c r="L75" s="311"/>
      <c r="M75" s="304"/>
      <c r="N75" s="292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84"/>
      <c r="AB75" s="284"/>
      <c r="AC75" s="284"/>
      <c r="AD75" s="263"/>
      <c r="AE75" s="261"/>
      <c r="AF75" s="365"/>
      <c r="AG75" s="366"/>
      <c r="AH75" s="366"/>
      <c r="AI75" s="366"/>
      <c r="AJ75" s="367"/>
      <c r="AK75" s="366"/>
      <c r="AL75" s="368"/>
      <c r="AM75" s="366"/>
      <c r="AN75" s="366"/>
      <c r="AO75" s="369"/>
      <c r="AP75" s="366"/>
      <c r="AQ75" s="366"/>
      <c r="AR75" s="369"/>
      <c r="AS75" s="369"/>
      <c r="AT75" s="366"/>
      <c r="AU75" s="366"/>
      <c r="AV75" s="369"/>
      <c r="AW75" s="366"/>
      <c r="AX75" s="366"/>
      <c r="AY75" s="366"/>
      <c r="AZ75" s="366"/>
      <c r="BA75" s="366"/>
    </row>
    <row r="76" spans="1:53" s="371" customFormat="1" ht="13.5" customHeight="1" x14ac:dyDescent="0.25">
      <c r="A76" s="1014"/>
      <c r="B76" s="318"/>
      <c r="C76" s="314"/>
      <c r="D76" s="337"/>
      <c r="E76" s="300"/>
      <c r="F76" s="376"/>
      <c r="G76" s="302"/>
      <c r="H76" s="301"/>
      <c r="I76" s="303"/>
      <c r="J76" s="290"/>
      <c r="K76" s="374"/>
      <c r="L76" s="292"/>
      <c r="M76" s="292"/>
      <c r="N76" s="292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84"/>
      <c r="AB76" s="284"/>
      <c r="AC76" s="284"/>
      <c r="AD76" s="263"/>
      <c r="AE76" s="261"/>
      <c r="AF76" s="365"/>
      <c r="AG76" s="366"/>
      <c r="AH76" s="366"/>
      <c r="AI76" s="366"/>
      <c r="AJ76" s="375"/>
      <c r="AK76" s="366"/>
      <c r="AL76" s="368"/>
      <c r="AM76" s="366"/>
      <c r="AN76" s="366"/>
      <c r="AO76" s="369"/>
      <c r="AP76" s="366"/>
      <c r="AQ76" s="366"/>
      <c r="AR76" s="369"/>
      <c r="AS76" s="369"/>
      <c r="AT76" s="366"/>
      <c r="AU76" s="366"/>
      <c r="AV76" s="369"/>
      <c r="AW76" s="366"/>
      <c r="AX76" s="366"/>
      <c r="AY76" s="366"/>
      <c r="AZ76" s="366"/>
      <c r="BA76" s="366"/>
    </row>
    <row r="77" spans="1:53" s="261" customFormat="1" ht="56.25" customHeight="1" x14ac:dyDescent="0.25">
      <c r="A77" s="1012" t="s">
        <v>1250</v>
      </c>
      <c r="B77" s="353" t="s">
        <v>1251</v>
      </c>
      <c r="C77" s="277"/>
      <c r="D77" s="335"/>
      <c r="E77" s="278" t="s">
        <v>488</v>
      </c>
      <c r="F77" s="279" t="s">
        <v>837</v>
      </c>
      <c r="G77" s="277" t="s">
        <v>489</v>
      </c>
      <c r="H77" s="278" t="s">
        <v>1170</v>
      </c>
      <c r="I77" s="279" t="s">
        <v>838</v>
      </c>
      <c r="J77" s="280" t="s">
        <v>1171</v>
      </c>
      <c r="K77" s="280" t="s">
        <v>490</v>
      </c>
      <c r="L77" s="281" t="s">
        <v>489</v>
      </c>
      <c r="M77" s="280" t="s">
        <v>1172</v>
      </c>
      <c r="N77" s="354" t="s">
        <v>838</v>
      </c>
      <c r="O77" s="280" t="s">
        <v>1171</v>
      </c>
      <c r="P77" s="280" t="s">
        <v>826</v>
      </c>
      <c r="Q77" s="280" t="s">
        <v>1173</v>
      </c>
      <c r="R77" s="280" t="s">
        <v>1174</v>
      </c>
      <c r="S77" s="280" t="s">
        <v>839</v>
      </c>
      <c r="T77" s="280" t="s">
        <v>1171</v>
      </c>
      <c r="U77" s="280" t="s">
        <v>1392</v>
      </c>
      <c r="V77" s="280" t="s">
        <v>841</v>
      </c>
      <c r="W77" s="282" t="s">
        <v>1173</v>
      </c>
      <c r="X77" s="280" t="s">
        <v>1394</v>
      </c>
      <c r="Y77" s="280" t="s">
        <v>839</v>
      </c>
      <c r="Z77" s="283"/>
      <c r="AA77" s="284"/>
      <c r="AB77" s="284"/>
      <c r="AC77" s="284"/>
      <c r="AD77" s="263"/>
      <c r="AF77" s="262"/>
      <c r="AG77" s="263"/>
      <c r="AH77" s="263"/>
      <c r="AI77" s="263"/>
      <c r="AJ77" s="263"/>
      <c r="AK77" s="263"/>
      <c r="AL77" s="264"/>
      <c r="AM77" s="263"/>
      <c r="AN77" s="263"/>
      <c r="AO77" s="265"/>
      <c r="AP77" s="263"/>
      <c r="AQ77" s="355"/>
      <c r="AR77" s="355"/>
      <c r="AS77" s="355"/>
      <c r="AT77" s="263"/>
      <c r="AU77" s="263"/>
      <c r="AV77" s="265"/>
      <c r="AW77" s="263"/>
      <c r="AX77" s="263"/>
      <c r="AY77" s="263"/>
      <c r="AZ77" s="263"/>
      <c r="BA77" s="263"/>
    </row>
    <row r="78" spans="1:53" s="270" customFormat="1" ht="12" customHeight="1" x14ac:dyDescent="0.25">
      <c r="A78" s="1013"/>
      <c r="B78" s="285" t="s">
        <v>1175</v>
      </c>
      <c r="C78" s="277">
        <f>C85</f>
        <v>139.99464802281219</v>
      </c>
      <c r="D78" s="335">
        <f>C78*$D$5</f>
        <v>28.278918900608062</v>
      </c>
      <c r="E78" s="286" t="s">
        <v>1176</v>
      </c>
      <c r="F78" s="356"/>
      <c r="G78" s="288"/>
      <c r="H78" s="288"/>
      <c r="I78" s="289">
        <f>SUM(I79:I86)</f>
        <v>23.664999999999999</v>
      </c>
      <c r="J78" s="290" t="s">
        <v>1176</v>
      </c>
      <c r="K78" s="357"/>
      <c r="L78" s="291"/>
      <c r="M78" s="291"/>
      <c r="N78" s="433">
        <f>SUM(N79:N86)</f>
        <v>0.41000215236991988</v>
      </c>
      <c r="O78" s="291"/>
      <c r="P78" s="291"/>
      <c r="Q78" s="291"/>
      <c r="R78" s="291"/>
      <c r="S78" s="295">
        <f>S79+S80</f>
        <v>0.62571418133541268</v>
      </c>
      <c r="T78" s="292"/>
      <c r="U78" s="292"/>
      <c r="V78" s="292"/>
      <c r="W78" s="292"/>
      <c r="X78" s="292"/>
      <c r="Y78" s="433">
        <f>SUM(Y79:Y86)</f>
        <v>26.093514863058715</v>
      </c>
      <c r="Z78" s="296">
        <f>(C78+D78+I78+N78+S78+Y78)*$Z$5</f>
        <v>284.82925500351513</v>
      </c>
      <c r="AA78" s="297">
        <f>C78+D78+I78+N78+S78+Y78+Z78</f>
        <v>503.89705312369938</v>
      </c>
      <c r="AB78" s="298">
        <v>0.25</v>
      </c>
      <c r="AC78" s="358">
        <f>AA78*(1+AB78)</f>
        <v>629.87131640462417</v>
      </c>
      <c r="AD78" s="265"/>
      <c r="AE78" s="261"/>
      <c r="AF78" s="262"/>
      <c r="AG78" s="263"/>
      <c r="AH78" s="263"/>
      <c r="AI78" s="355"/>
      <c r="AJ78" s="359"/>
      <c r="AK78" s="360"/>
      <c r="AL78" s="264"/>
      <c r="AM78" s="361"/>
      <c r="AN78" s="143"/>
      <c r="AO78" s="362"/>
      <c r="AP78" s="363"/>
      <c r="AQ78" s="363"/>
      <c r="AR78" s="363"/>
      <c r="AS78" s="363"/>
      <c r="AT78" s="363"/>
      <c r="AU78" s="362"/>
      <c r="AV78" s="362"/>
      <c r="AW78" s="364"/>
      <c r="AX78" s="272"/>
      <c r="AY78" s="272"/>
      <c r="AZ78" s="272"/>
      <c r="BA78" s="272"/>
    </row>
    <row r="79" spans="1:53" s="371" customFormat="1" ht="12.75" customHeight="1" x14ac:dyDescent="0.25">
      <c r="A79" s="1013"/>
      <c r="B79" s="299" t="s">
        <v>830</v>
      </c>
      <c r="C79" s="277"/>
      <c r="D79" s="336"/>
      <c r="E79" s="300" t="s">
        <v>2186</v>
      </c>
      <c r="F79" s="301" t="s">
        <v>1441</v>
      </c>
      <c r="G79" s="302">
        <v>5.36</v>
      </c>
      <c r="H79" s="301">
        <v>2</v>
      </c>
      <c r="I79" s="303">
        <f>G79*H79</f>
        <v>10.72</v>
      </c>
      <c r="J79" s="290" t="s">
        <v>1291</v>
      </c>
      <c r="K79" s="304">
        <v>2</v>
      </c>
      <c r="L79" s="305">
        <v>750</v>
      </c>
      <c r="M79" s="304">
        <v>2</v>
      </c>
      <c r="N79" s="433">
        <f>L79/'Исп. коэффициенты'!E52*(C83+C84)</f>
        <v>0.35345013135337922</v>
      </c>
      <c r="O79" s="291" t="s">
        <v>1667</v>
      </c>
      <c r="P79" s="291">
        <v>4500</v>
      </c>
      <c r="Q79" s="291">
        <v>19.670000000000002</v>
      </c>
      <c r="R79" s="291">
        <v>885.15</v>
      </c>
      <c r="S79" s="295">
        <f>R79/'Исп. коэффициенты'!E52*C83</f>
        <v>0.2502851070139549</v>
      </c>
      <c r="T79" s="306" t="s">
        <v>1435</v>
      </c>
      <c r="U79" s="307">
        <v>6785401.3499999996</v>
      </c>
      <c r="V79" s="746">
        <f>'Исп. коэффициенты'!E124</f>
        <v>2978.5</v>
      </c>
      <c r="W79" s="308">
        <v>1.3599999999999999E-2</v>
      </c>
      <c r="X79" s="292">
        <f>U79*W79</f>
        <v>92281.45835999999</v>
      </c>
      <c r="Y79" s="295">
        <f>X79/'Исп. коэффициенты'!E52*C83</f>
        <v>26.093514863058715</v>
      </c>
      <c r="Z79" s="291"/>
      <c r="AA79" s="284"/>
      <c r="AB79" s="284"/>
      <c r="AC79" s="284"/>
      <c r="AD79" s="263"/>
      <c r="AE79" s="261"/>
      <c r="AF79" s="365"/>
      <c r="AG79" s="366"/>
      <c r="AH79" s="366"/>
      <c r="AI79" s="366"/>
      <c r="AJ79" s="367"/>
      <c r="AK79" s="366"/>
      <c r="AL79" s="368"/>
      <c r="AM79" s="366"/>
      <c r="AN79" s="366"/>
      <c r="AO79" s="369"/>
      <c r="AP79" s="366"/>
      <c r="AQ79" s="366"/>
      <c r="AR79" s="369"/>
      <c r="AS79" s="369"/>
      <c r="AT79" s="366"/>
      <c r="AU79" s="366"/>
      <c r="AV79" s="369"/>
      <c r="AW79" s="366"/>
      <c r="AX79" s="366"/>
      <c r="AY79" s="366"/>
      <c r="AZ79" s="366"/>
      <c r="BA79" s="366"/>
    </row>
    <row r="80" spans="1:53" s="371" customFormat="1" x14ac:dyDescent="0.25">
      <c r="A80" s="1013"/>
      <c r="B80" s="309" t="s">
        <v>1178</v>
      </c>
      <c r="C80" s="310">
        <f>C70</f>
        <v>33.667709452234185</v>
      </c>
      <c r="D80" s="336"/>
      <c r="E80" s="300" t="s">
        <v>2187</v>
      </c>
      <c r="F80" s="301" t="s">
        <v>1</v>
      </c>
      <c r="G80" s="302">
        <v>6.3E-2</v>
      </c>
      <c r="H80" s="301">
        <v>5</v>
      </c>
      <c r="I80" s="303">
        <f>G80*H80</f>
        <v>0.315</v>
      </c>
      <c r="J80" s="290" t="s">
        <v>1445</v>
      </c>
      <c r="K80" s="292">
        <v>2</v>
      </c>
      <c r="L80" s="311">
        <v>95</v>
      </c>
      <c r="M80" s="304">
        <v>2</v>
      </c>
      <c r="N80" s="433">
        <f>L80/'Исп. коэффициенты'!E52*(C83+C84)</f>
        <v>4.4770349971428036E-2</v>
      </c>
      <c r="O80" s="291" t="s">
        <v>1668</v>
      </c>
      <c r="P80" s="291">
        <v>6750</v>
      </c>
      <c r="Q80" s="291">
        <v>19.670000000000002</v>
      </c>
      <c r="R80" s="291">
        <v>1327.73</v>
      </c>
      <c r="S80" s="295">
        <f>R80/'Исп. коэффициенты'!E52*C83</f>
        <v>0.37542907432145778</v>
      </c>
      <c r="T80" s="291"/>
      <c r="U80" s="291"/>
      <c r="V80" s="291"/>
      <c r="W80" s="291"/>
      <c r="X80" s="291"/>
      <c r="Y80" s="295"/>
      <c r="Z80" s="291"/>
      <c r="AA80" s="284"/>
      <c r="AB80" s="284"/>
      <c r="AC80" s="284"/>
      <c r="AD80" s="263"/>
      <c r="AE80" s="261"/>
      <c r="AF80" s="365"/>
      <c r="AG80" s="366"/>
      <c r="AH80" s="366"/>
      <c r="AI80" s="366"/>
      <c r="AJ80" s="367"/>
      <c r="AK80" s="366"/>
      <c r="AL80" s="368"/>
      <c r="AM80" s="373"/>
      <c r="AN80" s="366"/>
      <c r="AO80" s="369"/>
      <c r="AP80" s="366"/>
      <c r="AQ80" s="366"/>
      <c r="AR80" s="369"/>
      <c r="AS80" s="369"/>
      <c r="AT80" s="366"/>
      <c r="AU80" s="366"/>
      <c r="AV80" s="369"/>
      <c r="AW80" s="366"/>
      <c r="AX80" s="366"/>
      <c r="AY80" s="366"/>
      <c r="AZ80" s="366"/>
      <c r="BA80" s="366"/>
    </row>
    <row r="81" spans="1:53" s="371" customFormat="1" ht="12.75" customHeight="1" x14ac:dyDescent="0.25">
      <c r="A81" s="1013"/>
      <c r="B81" s="286" t="s">
        <v>1179</v>
      </c>
      <c r="C81" s="277">
        <f>C71</f>
        <v>19.495759833054819</v>
      </c>
      <c r="D81" s="336"/>
      <c r="E81" s="300" t="s">
        <v>2112</v>
      </c>
      <c r="F81" s="301" t="s">
        <v>1</v>
      </c>
      <c r="G81" s="302">
        <v>0.47</v>
      </c>
      <c r="H81" s="302">
        <v>10</v>
      </c>
      <c r="I81" s="303">
        <f>G81*H81</f>
        <v>4.6999999999999993</v>
      </c>
      <c r="J81" s="290" t="s">
        <v>1513</v>
      </c>
      <c r="K81" s="292">
        <v>2</v>
      </c>
      <c r="L81" s="292">
        <v>25</v>
      </c>
      <c r="M81" s="304">
        <v>0.5</v>
      </c>
      <c r="N81" s="433">
        <f>L81/'Исп. коэффициенты'!E52*(C83+C84)</f>
        <v>1.1781671045112642E-2</v>
      </c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84"/>
      <c r="AB81" s="284"/>
      <c r="AC81" s="284"/>
      <c r="AD81" s="263"/>
      <c r="AE81" s="261"/>
      <c r="AF81" s="365"/>
      <c r="AG81" s="366"/>
      <c r="AH81" s="366"/>
      <c r="AI81" s="366"/>
      <c r="AJ81" s="367"/>
      <c r="AK81" s="366"/>
      <c r="AL81" s="368"/>
      <c r="AM81" s="366"/>
      <c r="AN81" s="366"/>
      <c r="AO81" s="369"/>
      <c r="AP81" s="366"/>
      <c r="AQ81" s="366"/>
      <c r="AR81" s="369"/>
      <c r="AS81" s="369"/>
      <c r="AT81" s="366"/>
      <c r="AU81" s="366"/>
      <c r="AV81" s="369"/>
      <c r="AW81" s="366"/>
      <c r="AX81" s="366"/>
      <c r="AY81" s="366"/>
      <c r="AZ81" s="366"/>
      <c r="BA81" s="366"/>
    </row>
    <row r="82" spans="1:53" s="371" customFormat="1" ht="12.75" customHeight="1" x14ac:dyDescent="0.25">
      <c r="A82" s="1013"/>
      <c r="B82" s="286" t="s">
        <v>831</v>
      </c>
      <c r="C82" s="313"/>
      <c r="D82" s="336"/>
      <c r="E82" s="747" t="s">
        <v>2188</v>
      </c>
      <c r="F82" s="301" t="s">
        <v>1441</v>
      </c>
      <c r="G82" s="302">
        <v>0.05</v>
      </c>
      <c r="H82" s="301">
        <v>10</v>
      </c>
      <c r="I82" s="303">
        <f t="shared" ref="I82:I83" si="4">G82*H82</f>
        <v>0.5</v>
      </c>
      <c r="J82" s="290"/>
      <c r="K82" s="292"/>
      <c r="L82" s="292"/>
      <c r="M82" s="292"/>
      <c r="N82" s="292"/>
      <c r="O82" s="290"/>
      <c r="P82" s="292"/>
      <c r="Q82" s="292"/>
      <c r="R82" s="292"/>
      <c r="S82" s="292"/>
      <c r="T82" s="291"/>
      <c r="U82" s="291"/>
      <c r="V82" s="291"/>
      <c r="W82" s="291"/>
      <c r="X82" s="291"/>
      <c r="Y82" s="291"/>
      <c r="Z82" s="291"/>
      <c r="AA82" s="284"/>
      <c r="AB82" s="284"/>
      <c r="AC82" s="284"/>
      <c r="AD82" s="263"/>
      <c r="AE82" s="261"/>
      <c r="AF82" s="365"/>
      <c r="AG82" s="366"/>
      <c r="AH82" s="366"/>
      <c r="AI82" s="366"/>
      <c r="AJ82" s="367"/>
      <c r="AK82" s="366"/>
      <c r="AL82" s="368"/>
      <c r="AM82" s="366"/>
      <c r="AN82" s="366"/>
      <c r="AO82" s="369"/>
      <c r="AP82" s="366"/>
      <c r="AQ82" s="366"/>
      <c r="AR82" s="369"/>
      <c r="AS82" s="369"/>
      <c r="AT82" s="366"/>
      <c r="AU82" s="366"/>
      <c r="AV82" s="369"/>
      <c r="AW82" s="366"/>
      <c r="AX82" s="366"/>
      <c r="AY82" s="366"/>
      <c r="AZ82" s="366"/>
      <c r="BA82" s="366"/>
    </row>
    <row r="83" spans="1:53" s="371" customFormat="1" ht="12.75" customHeight="1" x14ac:dyDescent="0.25">
      <c r="A83" s="1013"/>
      <c r="B83" s="309" t="s">
        <v>1178</v>
      </c>
      <c r="C83" s="314">
        <v>3</v>
      </c>
      <c r="D83" s="336"/>
      <c r="E83" s="300" t="s">
        <v>1703</v>
      </c>
      <c r="F83" s="301" t="s">
        <v>1</v>
      </c>
      <c r="G83" s="302">
        <v>7.4300000000000005E-2</v>
      </c>
      <c r="H83" s="301">
        <v>100</v>
      </c>
      <c r="I83" s="303">
        <f t="shared" si="4"/>
        <v>7.4300000000000006</v>
      </c>
      <c r="J83" s="290"/>
      <c r="K83" s="292"/>
      <c r="L83" s="292"/>
      <c r="M83" s="292"/>
      <c r="N83" s="292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84"/>
      <c r="AB83" s="284"/>
      <c r="AC83" s="284"/>
      <c r="AD83" s="263"/>
      <c r="AE83" s="261"/>
      <c r="AF83" s="365"/>
      <c r="AG83" s="366"/>
      <c r="AH83" s="366"/>
      <c r="AI83" s="366"/>
      <c r="AJ83" s="375"/>
      <c r="AK83" s="366"/>
      <c r="AL83" s="368"/>
      <c r="AM83" s="366"/>
      <c r="AN83" s="366"/>
      <c r="AO83" s="369"/>
      <c r="AP83" s="366"/>
      <c r="AQ83" s="366"/>
      <c r="AR83" s="369"/>
      <c r="AS83" s="369"/>
      <c r="AT83" s="366"/>
      <c r="AU83" s="366"/>
      <c r="AV83" s="369"/>
      <c r="AW83" s="366"/>
      <c r="AX83" s="366"/>
      <c r="AY83" s="366"/>
      <c r="AZ83" s="366"/>
      <c r="BA83" s="366"/>
    </row>
    <row r="84" spans="1:53" s="371" customFormat="1" ht="15.75" customHeight="1" x14ac:dyDescent="0.25">
      <c r="A84" s="1013"/>
      <c r="B84" s="286" t="s">
        <v>1179</v>
      </c>
      <c r="C84" s="314">
        <v>2</v>
      </c>
      <c r="D84" s="336"/>
      <c r="E84" s="300"/>
      <c r="F84" s="301"/>
      <c r="G84" s="302"/>
      <c r="H84" s="301"/>
      <c r="I84" s="303"/>
      <c r="J84" s="290"/>
      <c r="K84" s="292"/>
      <c r="L84" s="292"/>
      <c r="M84" s="292"/>
      <c r="N84" s="292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84"/>
      <c r="AB84" s="284"/>
      <c r="AC84" s="284"/>
      <c r="AD84" s="263"/>
      <c r="AE84" s="261"/>
      <c r="AF84" s="365"/>
      <c r="AG84" s="366"/>
      <c r="AH84" s="366"/>
      <c r="AI84" s="366"/>
      <c r="AJ84" s="375"/>
      <c r="AK84" s="366"/>
      <c r="AL84" s="368"/>
      <c r="AM84" s="366"/>
      <c r="AN84" s="366"/>
      <c r="AO84" s="369"/>
      <c r="AP84" s="366"/>
      <c r="AQ84" s="366"/>
      <c r="AR84" s="369"/>
      <c r="AS84" s="369"/>
      <c r="AT84" s="366"/>
      <c r="AU84" s="366"/>
      <c r="AV84" s="369"/>
      <c r="AW84" s="366"/>
      <c r="AX84" s="366"/>
      <c r="AY84" s="366"/>
      <c r="AZ84" s="366"/>
      <c r="BA84" s="366"/>
    </row>
    <row r="85" spans="1:53" s="371" customFormat="1" ht="20.25" customHeight="1" x14ac:dyDescent="0.25">
      <c r="A85" s="1013"/>
      <c r="B85" s="315" t="s">
        <v>1181</v>
      </c>
      <c r="C85" s="277">
        <f>C80*C83+C81*C84</f>
        <v>139.99464802281219</v>
      </c>
      <c r="D85" s="336"/>
      <c r="E85" s="300"/>
      <c r="F85" s="376"/>
      <c r="G85" s="302"/>
      <c r="H85" s="301"/>
      <c r="I85" s="303"/>
      <c r="J85" s="290"/>
      <c r="K85" s="374"/>
      <c r="L85" s="311"/>
      <c r="M85" s="304"/>
      <c r="N85" s="292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84"/>
      <c r="AB85" s="284"/>
      <c r="AC85" s="284"/>
      <c r="AD85" s="263"/>
      <c r="AE85" s="261"/>
      <c r="AF85" s="365"/>
      <c r="AG85" s="366"/>
      <c r="AH85" s="366"/>
      <c r="AI85" s="366"/>
      <c r="AJ85" s="367"/>
      <c r="AK85" s="366"/>
      <c r="AL85" s="368"/>
      <c r="AM85" s="366"/>
      <c r="AN85" s="366"/>
      <c r="AO85" s="369"/>
      <c r="AP85" s="366"/>
      <c r="AQ85" s="366"/>
      <c r="AR85" s="369"/>
      <c r="AS85" s="369"/>
      <c r="AT85" s="366"/>
      <c r="AU85" s="366"/>
      <c r="AV85" s="369"/>
      <c r="AW85" s="366"/>
      <c r="AX85" s="366"/>
      <c r="AY85" s="366"/>
      <c r="AZ85" s="366"/>
      <c r="BA85" s="366"/>
    </row>
    <row r="86" spans="1:53" s="371" customFormat="1" ht="13.5" customHeight="1" x14ac:dyDescent="0.25">
      <c r="A86" s="1014"/>
      <c r="B86" s="318"/>
      <c r="C86" s="314"/>
      <c r="D86" s="337"/>
      <c r="E86" s="300"/>
      <c r="F86" s="376"/>
      <c r="G86" s="302"/>
      <c r="H86" s="301"/>
      <c r="I86" s="303"/>
      <c r="J86" s="290"/>
      <c r="K86" s="374"/>
      <c r="L86" s="292"/>
      <c r="M86" s="292"/>
      <c r="N86" s="292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84"/>
      <c r="AB86" s="284"/>
      <c r="AC86" s="284"/>
      <c r="AD86" s="263"/>
      <c r="AE86" s="261"/>
      <c r="AF86" s="365"/>
      <c r="AG86" s="366"/>
      <c r="AH86" s="366"/>
      <c r="AI86" s="366"/>
      <c r="AJ86" s="375"/>
      <c r="AK86" s="366"/>
      <c r="AL86" s="368"/>
      <c r="AM86" s="366"/>
      <c r="AN86" s="366"/>
      <c r="AO86" s="369"/>
      <c r="AP86" s="366"/>
      <c r="AQ86" s="366"/>
      <c r="AR86" s="369"/>
      <c r="AS86" s="369"/>
      <c r="AT86" s="366"/>
      <c r="AU86" s="366"/>
      <c r="AV86" s="369"/>
      <c r="AW86" s="366"/>
      <c r="AX86" s="366"/>
      <c r="AY86" s="366"/>
      <c r="AZ86" s="366"/>
      <c r="BA86" s="366"/>
    </row>
    <row r="87" spans="1:53" s="261" customFormat="1" ht="56.25" customHeight="1" x14ac:dyDescent="0.25">
      <c r="A87" s="1012" t="s">
        <v>769</v>
      </c>
      <c r="B87" s="353" t="s">
        <v>770</v>
      </c>
      <c r="C87" s="277"/>
      <c r="D87" s="335"/>
      <c r="E87" s="278" t="s">
        <v>488</v>
      </c>
      <c r="F87" s="279" t="s">
        <v>837</v>
      </c>
      <c r="G87" s="277" t="s">
        <v>489</v>
      </c>
      <c r="H87" s="278" t="s">
        <v>1170</v>
      </c>
      <c r="I87" s="279" t="s">
        <v>838</v>
      </c>
      <c r="J87" s="280" t="s">
        <v>1171</v>
      </c>
      <c r="K87" s="280" t="s">
        <v>490</v>
      </c>
      <c r="L87" s="281" t="s">
        <v>489</v>
      </c>
      <c r="M87" s="280" t="s">
        <v>1172</v>
      </c>
      <c r="N87" s="354" t="s">
        <v>838</v>
      </c>
      <c r="O87" s="280" t="s">
        <v>1171</v>
      </c>
      <c r="P87" s="280" t="s">
        <v>826</v>
      </c>
      <c r="Q87" s="280" t="s">
        <v>1173</v>
      </c>
      <c r="R87" s="280" t="s">
        <v>1174</v>
      </c>
      <c r="S87" s="280" t="s">
        <v>839</v>
      </c>
      <c r="T87" s="280" t="s">
        <v>1171</v>
      </c>
      <c r="U87" s="280" t="s">
        <v>1392</v>
      </c>
      <c r="V87" s="280" t="s">
        <v>841</v>
      </c>
      <c r="W87" s="282" t="s">
        <v>1173</v>
      </c>
      <c r="X87" s="280" t="s">
        <v>1394</v>
      </c>
      <c r="Y87" s="280" t="s">
        <v>839</v>
      </c>
      <c r="Z87" s="283"/>
      <c r="AA87" s="284"/>
      <c r="AB87" s="284"/>
      <c r="AC87" s="284"/>
      <c r="AD87" s="263"/>
      <c r="AF87" s="262"/>
      <c r="AG87" s="263"/>
      <c r="AH87" s="263"/>
      <c r="AI87" s="263"/>
      <c r="AJ87" s="263"/>
      <c r="AK87" s="263"/>
      <c r="AL87" s="264"/>
      <c r="AM87" s="263"/>
      <c r="AN87" s="263"/>
      <c r="AO87" s="265"/>
      <c r="AP87" s="263"/>
      <c r="AQ87" s="355"/>
      <c r="AR87" s="355"/>
      <c r="AS87" s="355"/>
      <c r="AT87" s="263"/>
      <c r="AU87" s="263"/>
      <c r="AV87" s="265"/>
      <c r="AW87" s="263"/>
      <c r="AX87" s="263"/>
      <c r="AY87" s="263"/>
      <c r="AZ87" s="263"/>
      <c r="BA87" s="263"/>
    </row>
    <row r="88" spans="1:53" s="270" customFormat="1" ht="12" customHeight="1" x14ac:dyDescent="0.25">
      <c r="A88" s="1013"/>
      <c r="B88" s="285" t="s">
        <v>1175</v>
      </c>
      <c r="C88" s="277">
        <f>C95</f>
        <v>139.99464802281219</v>
      </c>
      <c r="D88" s="335">
        <f>C88*$D$5</f>
        <v>28.278918900608062</v>
      </c>
      <c r="E88" s="286" t="s">
        <v>1176</v>
      </c>
      <c r="F88" s="356"/>
      <c r="G88" s="288"/>
      <c r="H88" s="288"/>
      <c r="I88" s="289">
        <f>SUM(I89:I96)</f>
        <v>23.664999999999999</v>
      </c>
      <c r="J88" s="290" t="s">
        <v>1176</v>
      </c>
      <c r="K88" s="357"/>
      <c r="L88" s="291"/>
      <c r="M88" s="291"/>
      <c r="N88" s="433">
        <f>SUM(N89:N96)</f>
        <v>0.41000215236991988</v>
      </c>
      <c r="O88" s="291"/>
      <c r="P88" s="291"/>
      <c r="Q88" s="291"/>
      <c r="R88" s="291"/>
      <c r="S88" s="295">
        <f>S89+S90</f>
        <v>0.62571418133541268</v>
      </c>
      <c r="T88" s="292"/>
      <c r="U88" s="292"/>
      <c r="V88" s="292"/>
      <c r="W88" s="292"/>
      <c r="X88" s="292"/>
      <c r="Y88" s="433">
        <f>SUM(Y89:Y96)</f>
        <v>26.093514863058715</v>
      </c>
      <c r="Z88" s="296">
        <f>(C88+D88+I88+N88+S88+Y88)*$Z$5</f>
        <v>284.82925500351513</v>
      </c>
      <c r="AA88" s="297">
        <f>C88+D88+I88+N88+S88+Y88+Z88</f>
        <v>503.89705312369938</v>
      </c>
      <c r="AB88" s="298">
        <v>0.25</v>
      </c>
      <c r="AC88" s="358">
        <f>AA88*(1+AB88)</f>
        <v>629.87131640462417</v>
      </c>
      <c r="AD88" s="265"/>
      <c r="AE88" s="261"/>
      <c r="AF88" s="262"/>
      <c r="AG88" s="263"/>
      <c r="AH88" s="263"/>
      <c r="AI88" s="355"/>
      <c r="AJ88" s="359"/>
      <c r="AK88" s="360"/>
      <c r="AL88" s="264"/>
      <c r="AM88" s="361"/>
      <c r="AN88" s="143"/>
      <c r="AO88" s="362"/>
      <c r="AP88" s="363"/>
      <c r="AQ88" s="363"/>
      <c r="AR88" s="363"/>
      <c r="AS88" s="363"/>
      <c r="AT88" s="363"/>
      <c r="AU88" s="362"/>
      <c r="AV88" s="362"/>
      <c r="AW88" s="364"/>
      <c r="AX88" s="272"/>
      <c r="AY88" s="272"/>
      <c r="AZ88" s="272"/>
      <c r="BA88" s="272"/>
    </row>
    <row r="89" spans="1:53" s="371" customFormat="1" ht="12.75" customHeight="1" x14ac:dyDescent="0.25">
      <c r="A89" s="1013"/>
      <c r="B89" s="299" t="s">
        <v>830</v>
      </c>
      <c r="C89" s="277"/>
      <c r="D89" s="336"/>
      <c r="E89" s="300" t="s">
        <v>2186</v>
      </c>
      <c r="F89" s="301" t="s">
        <v>1441</v>
      </c>
      <c r="G89" s="302">
        <v>5.36</v>
      </c>
      <c r="H89" s="301">
        <v>2</v>
      </c>
      <c r="I89" s="303">
        <f>G89*H89</f>
        <v>10.72</v>
      </c>
      <c r="J89" s="290" t="s">
        <v>1291</v>
      </c>
      <c r="K89" s="304">
        <v>2</v>
      </c>
      <c r="L89" s="305">
        <v>750</v>
      </c>
      <c r="M89" s="304">
        <v>2</v>
      </c>
      <c r="N89" s="433">
        <f>L89/'Исп. коэффициенты'!E52*(C93+C94)</f>
        <v>0.35345013135337922</v>
      </c>
      <c r="O89" s="291" t="s">
        <v>1667</v>
      </c>
      <c r="P89" s="291">
        <v>4500</v>
      </c>
      <c r="Q89" s="291">
        <v>19.670000000000002</v>
      </c>
      <c r="R89" s="291">
        <v>885.15</v>
      </c>
      <c r="S89" s="295">
        <f>R89/'Исп. коэффициенты'!E52*C93</f>
        <v>0.2502851070139549</v>
      </c>
      <c r="T89" s="306" t="s">
        <v>1435</v>
      </c>
      <c r="U89" s="307">
        <v>6785401.3499999996</v>
      </c>
      <c r="V89" s="746">
        <f>'Исп. коэффициенты'!E124</f>
        <v>2978.5</v>
      </c>
      <c r="W89" s="308">
        <v>1.3599999999999999E-2</v>
      </c>
      <c r="X89" s="292">
        <f>U89*W89</f>
        <v>92281.45835999999</v>
      </c>
      <c r="Y89" s="295">
        <f>X89/'Исп. коэффициенты'!E52*C93</f>
        <v>26.093514863058715</v>
      </c>
      <c r="Z89" s="291"/>
      <c r="AA89" s="284"/>
      <c r="AB89" s="284"/>
      <c r="AC89" s="284"/>
      <c r="AD89" s="263"/>
      <c r="AE89" s="261"/>
      <c r="AF89" s="365"/>
      <c r="AG89" s="366"/>
      <c r="AH89" s="366"/>
      <c r="AI89" s="366"/>
      <c r="AJ89" s="367"/>
      <c r="AK89" s="366"/>
      <c r="AL89" s="368"/>
      <c r="AM89" s="366"/>
      <c r="AN89" s="366"/>
      <c r="AO89" s="369"/>
      <c r="AP89" s="366"/>
      <c r="AQ89" s="366"/>
      <c r="AR89" s="369"/>
      <c r="AS89" s="369"/>
      <c r="AT89" s="366"/>
      <c r="AU89" s="366"/>
      <c r="AV89" s="369"/>
      <c r="AW89" s="366"/>
      <c r="AX89" s="366"/>
      <c r="AY89" s="366"/>
      <c r="AZ89" s="366"/>
      <c r="BA89" s="366"/>
    </row>
    <row r="90" spans="1:53" s="371" customFormat="1" x14ac:dyDescent="0.25">
      <c r="A90" s="1013"/>
      <c r="B90" s="309" t="s">
        <v>1178</v>
      </c>
      <c r="C90" s="310">
        <f>C80</f>
        <v>33.667709452234185</v>
      </c>
      <c r="D90" s="336"/>
      <c r="E90" s="300" t="s">
        <v>2187</v>
      </c>
      <c r="F90" s="301" t="s">
        <v>1</v>
      </c>
      <c r="G90" s="302">
        <v>6.3E-2</v>
      </c>
      <c r="H90" s="301">
        <v>5</v>
      </c>
      <c r="I90" s="303">
        <f>G90*H90</f>
        <v>0.315</v>
      </c>
      <c r="J90" s="290" t="s">
        <v>1445</v>
      </c>
      <c r="K90" s="292">
        <v>2</v>
      </c>
      <c r="L90" s="311">
        <v>95</v>
      </c>
      <c r="M90" s="304">
        <v>2</v>
      </c>
      <c r="N90" s="433">
        <f>L90/'Исп. коэффициенты'!E52*(C93+C94)</f>
        <v>4.4770349971428036E-2</v>
      </c>
      <c r="O90" s="291" t="s">
        <v>1668</v>
      </c>
      <c r="P90" s="291">
        <v>6750</v>
      </c>
      <c r="Q90" s="291">
        <v>19.670000000000002</v>
      </c>
      <c r="R90" s="291">
        <v>1327.73</v>
      </c>
      <c r="S90" s="295">
        <f>R90/'Исп. коэффициенты'!E52*C93</f>
        <v>0.37542907432145778</v>
      </c>
      <c r="T90" s="291"/>
      <c r="U90" s="291"/>
      <c r="V90" s="291"/>
      <c r="W90" s="291"/>
      <c r="X90" s="291"/>
      <c r="Y90" s="295"/>
      <c r="Z90" s="291"/>
      <c r="AA90" s="284"/>
      <c r="AB90" s="284"/>
      <c r="AC90" s="284"/>
      <c r="AD90" s="263"/>
      <c r="AE90" s="261"/>
      <c r="AF90" s="365"/>
      <c r="AG90" s="366"/>
      <c r="AH90" s="366"/>
      <c r="AI90" s="366"/>
      <c r="AJ90" s="367"/>
      <c r="AK90" s="366"/>
      <c r="AL90" s="368"/>
      <c r="AM90" s="373"/>
      <c r="AN90" s="366"/>
      <c r="AO90" s="369"/>
      <c r="AP90" s="366"/>
      <c r="AQ90" s="366"/>
      <c r="AR90" s="369"/>
      <c r="AS90" s="369"/>
      <c r="AT90" s="366"/>
      <c r="AU90" s="366"/>
      <c r="AV90" s="369"/>
      <c r="AW90" s="366"/>
      <c r="AX90" s="366"/>
      <c r="AY90" s="366"/>
      <c r="AZ90" s="366"/>
      <c r="BA90" s="366"/>
    </row>
    <row r="91" spans="1:53" s="371" customFormat="1" ht="12.75" customHeight="1" x14ac:dyDescent="0.25">
      <c r="A91" s="1013"/>
      <c r="B91" s="286" t="s">
        <v>1179</v>
      </c>
      <c r="C91" s="277">
        <f>C81</f>
        <v>19.495759833054819</v>
      </c>
      <c r="D91" s="336"/>
      <c r="E91" s="300" t="s">
        <v>2112</v>
      </c>
      <c r="F91" s="301" t="s">
        <v>1</v>
      </c>
      <c r="G91" s="302">
        <v>0.47</v>
      </c>
      <c r="H91" s="302">
        <v>10</v>
      </c>
      <c r="I91" s="303">
        <f>G91*H91</f>
        <v>4.6999999999999993</v>
      </c>
      <c r="J91" s="290" t="s">
        <v>1513</v>
      </c>
      <c r="K91" s="292">
        <v>2</v>
      </c>
      <c r="L91" s="292">
        <v>25</v>
      </c>
      <c r="M91" s="304">
        <v>0.5</v>
      </c>
      <c r="N91" s="433">
        <f>L91/'Исп. коэффициенты'!E52*(C93+C94)</f>
        <v>1.1781671045112642E-2</v>
      </c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84"/>
      <c r="AB91" s="284"/>
      <c r="AC91" s="284"/>
      <c r="AD91" s="263"/>
      <c r="AE91" s="261"/>
      <c r="AF91" s="365"/>
      <c r="AG91" s="366"/>
      <c r="AH91" s="366"/>
      <c r="AI91" s="366"/>
      <c r="AJ91" s="367"/>
      <c r="AK91" s="366"/>
      <c r="AL91" s="368"/>
      <c r="AM91" s="366"/>
      <c r="AN91" s="366"/>
      <c r="AO91" s="369"/>
      <c r="AP91" s="366"/>
      <c r="AQ91" s="366"/>
      <c r="AR91" s="369"/>
      <c r="AS91" s="369"/>
      <c r="AT91" s="366"/>
      <c r="AU91" s="366"/>
      <c r="AV91" s="369"/>
      <c r="AW91" s="366"/>
      <c r="AX91" s="366"/>
      <c r="AY91" s="366"/>
      <c r="AZ91" s="366"/>
      <c r="BA91" s="366"/>
    </row>
    <row r="92" spans="1:53" s="371" customFormat="1" ht="12.75" customHeight="1" x14ac:dyDescent="0.25">
      <c r="A92" s="1013"/>
      <c r="B92" s="286" t="s">
        <v>831</v>
      </c>
      <c r="C92" s="313"/>
      <c r="D92" s="336"/>
      <c r="E92" s="747" t="s">
        <v>2188</v>
      </c>
      <c r="F92" s="301" t="s">
        <v>1441</v>
      </c>
      <c r="G92" s="302">
        <v>0.05</v>
      </c>
      <c r="H92" s="301">
        <v>10</v>
      </c>
      <c r="I92" s="303">
        <f t="shared" ref="I92:I93" si="5">G92*H92</f>
        <v>0.5</v>
      </c>
      <c r="J92" s="290"/>
      <c r="K92" s="292"/>
      <c r="L92" s="292"/>
      <c r="M92" s="292"/>
      <c r="N92" s="292"/>
      <c r="O92" s="290"/>
      <c r="P92" s="292"/>
      <c r="Q92" s="292"/>
      <c r="R92" s="292"/>
      <c r="S92" s="292"/>
      <c r="T92" s="291"/>
      <c r="U92" s="291"/>
      <c r="V92" s="291"/>
      <c r="W92" s="291"/>
      <c r="X92" s="291"/>
      <c r="Y92" s="291"/>
      <c r="Z92" s="291"/>
      <c r="AA92" s="284"/>
      <c r="AB92" s="284"/>
      <c r="AC92" s="284"/>
      <c r="AD92" s="263"/>
      <c r="AE92" s="261"/>
      <c r="AF92" s="365"/>
      <c r="AG92" s="366"/>
      <c r="AH92" s="366"/>
      <c r="AI92" s="366"/>
      <c r="AJ92" s="367"/>
      <c r="AK92" s="366"/>
      <c r="AL92" s="368"/>
      <c r="AM92" s="366"/>
      <c r="AN92" s="366"/>
      <c r="AO92" s="369"/>
      <c r="AP92" s="366"/>
      <c r="AQ92" s="366"/>
      <c r="AR92" s="369"/>
      <c r="AS92" s="369"/>
      <c r="AT92" s="366"/>
      <c r="AU92" s="366"/>
      <c r="AV92" s="369"/>
      <c r="AW92" s="366"/>
      <c r="AX92" s="366"/>
      <c r="AY92" s="366"/>
      <c r="AZ92" s="366"/>
      <c r="BA92" s="366"/>
    </row>
    <row r="93" spans="1:53" s="371" customFormat="1" ht="12.75" customHeight="1" x14ac:dyDescent="0.25">
      <c r="A93" s="1013"/>
      <c r="B93" s="309" t="s">
        <v>1178</v>
      </c>
      <c r="C93" s="314">
        <v>3</v>
      </c>
      <c r="D93" s="336"/>
      <c r="E93" s="300" t="s">
        <v>1703</v>
      </c>
      <c r="F93" s="301" t="s">
        <v>1</v>
      </c>
      <c r="G93" s="302">
        <v>7.4300000000000005E-2</v>
      </c>
      <c r="H93" s="301">
        <v>100</v>
      </c>
      <c r="I93" s="303">
        <f t="shared" si="5"/>
        <v>7.4300000000000006</v>
      </c>
      <c r="J93" s="290"/>
      <c r="K93" s="292"/>
      <c r="L93" s="292"/>
      <c r="M93" s="292"/>
      <c r="N93" s="292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84"/>
      <c r="AB93" s="284"/>
      <c r="AC93" s="284"/>
      <c r="AD93" s="263"/>
      <c r="AE93" s="261"/>
      <c r="AF93" s="365"/>
      <c r="AG93" s="366"/>
      <c r="AH93" s="366"/>
      <c r="AI93" s="366"/>
      <c r="AJ93" s="375"/>
      <c r="AK93" s="366"/>
      <c r="AL93" s="368"/>
      <c r="AM93" s="366"/>
      <c r="AN93" s="366"/>
      <c r="AO93" s="369"/>
      <c r="AP93" s="366"/>
      <c r="AQ93" s="366"/>
      <c r="AR93" s="369"/>
      <c r="AS93" s="369"/>
      <c r="AT93" s="366"/>
      <c r="AU93" s="366"/>
      <c r="AV93" s="369"/>
      <c r="AW93" s="366"/>
      <c r="AX93" s="366"/>
      <c r="AY93" s="366"/>
      <c r="AZ93" s="366"/>
      <c r="BA93" s="366"/>
    </row>
    <row r="94" spans="1:53" s="371" customFormat="1" ht="15.75" customHeight="1" x14ac:dyDescent="0.25">
      <c r="A94" s="1013"/>
      <c r="B94" s="286" t="s">
        <v>1179</v>
      </c>
      <c r="C94" s="314">
        <v>2</v>
      </c>
      <c r="D94" s="336"/>
      <c r="E94" s="300"/>
      <c r="F94" s="301"/>
      <c r="G94" s="302"/>
      <c r="H94" s="301"/>
      <c r="I94" s="303"/>
      <c r="J94" s="290"/>
      <c r="K94" s="292"/>
      <c r="L94" s="292"/>
      <c r="M94" s="292"/>
      <c r="N94" s="292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84"/>
      <c r="AB94" s="284"/>
      <c r="AC94" s="284"/>
      <c r="AD94" s="263"/>
      <c r="AE94" s="261"/>
      <c r="AF94" s="365"/>
      <c r="AG94" s="366"/>
      <c r="AH94" s="366"/>
      <c r="AI94" s="366"/>
      <c r="AJ94" s="375"/>
      <c r="AK94" s="366"/>
      <c r="AL94" s="368"/>
      <c r="AM94" s="366"/>
      <c r="AN94" s="366"/>
      <c r="AO94" s="369"/>
      <c r="AP94" s="366"/>
      <c r="AQ94" s="366"/>
      <c r="AR94" s="369"/>
      <c r="AS94" s="369"/>
      <c r="AT94" s="366"/>
      <c r="AU94" s="366"/>
      <c r="AV94" s="369"/>
      <c r="AW94" s="366"/>
      <c r="AX94" s="366"/>
      <c r="AY94" s="366"/>
      <c r="AZ94" s="366"/>
      <c r="BA94" s="366"/>
    </row>
    <row r="95" spans="1:53" s="371" customFormat="1" ht="20.25" customHeight="1" x14ac:dyDescent="0.25">
      <c r="A95" s="1013"/>
      <c r="B95" s="315" t="s">
        <v>1181</v>
      </c>
      <c r="C95" s="277">
        <f>C90*C93+C91*C94</f>
        <v>139.99464802281219</v>
      </c>
      <c r="D95" s="336"/>
      <c r="E95" s="300"/>
      <c r="F95" s="376"/>
      <c r="G95" s="302"/>
      <c r="H95" s="301"/>
      <c r="I95" s="303"/>
      <c r="J95" s="290"/>
      <c r="K95" s="374"/>
      <c r="L95" s="311"/>
      <c r="M95" s="304"/>
      <c r="N95" s="292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84"/>
      <c r="AB95" s="284"/>
      <c r="AC95" s="284"/>
      <c r="AD95" s="263"/>
      <c r="AE95" s="261"/>
      <c r="AF95" s="365"/>
      <c r="AG95" s="366"/>
      <c r="AH95" s="366"/>
      <c r="AI95" s="366"/>
      <c r="AJ95" s="367"/>
      <c r="AK95" s="366"/>
      <c r="AL95" s="368"/>
      <c r="AM95" s="366"/>
      <c r="AN95" s="366"/>
      <c r="AO95" s="369"/>
      <c r="AP95" s="366"/>
      <c r="AQ95" s="366"/>
      <c r="AR95" s="369"/>
      <c r="AS95" s="369"/>
      <c r="AT95" s="366"/>
      <c r="AU95" s="366"/>
      <c r="AV95" s="369"/>
      <c r="AW95" s="366"/>
      <c r="AX95" s="366"/>
      <c r="AY95" s="366"/>
      <c r="AZ95" s="366"/>
      <c r="BA95" s="366"/>
    </row>
    <row r="96" spans="1:53" s="371" customFormat="1" ht="13.5" customHeight="1" x14ac:dyDescent="0.25">
      <c r="A96" s="1014"/>
      <c r="B96" s="318"/>
      <c r="C96" s="314"/>
      <c r="D96" s="337"/>
      <c r="E96" s="300"/>
      <c r="F96" s="376"/>
      <c r="G96" s="302"/>
      <c r="H96" s="301"/>
      <c r="I96" s="303"/>
      <c r="J96" s="290"/>
      <c r="K96" s="374"/>
      <c r="L96" s="292"/>
      <c r="M96" s="292"/>
      <c r="N96" s="292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84"/>
      <c r="AB96" s="284"/>
      <c r="AC96" s="284"/>
      <c r="AD96" s="263"/>
      <c r="AE96" s="261"/>
      <c r="AF96" s="365"/>
      <c r="AG96" s="366"/>
      <c r="AH96" s="366"/>
      <c r="AI96" s="366"/>
      <c r="AJ96" s="375"/>
      <c r="AK96" s="366"/>
      <c r="AL96" s="368"/>
      <c r="AM96" s="366"/>
      <c r="AN96" s="366"/>
      <c r="AO96" s="369"/>
      <c r="AP96" s="366"/>
      <c r="AQ96" s="366"/>
      <c r="AR96" s="369"/>
      <c r="AS96" s="369"/>
      <c r="AT96" s="366"/>
      <c r="AU96" s="366"/>
      <c r="AV96" s="369"/>
      <c r="AW96" s="366"/>
      <c r="AX96" s="366"/>
      <c r="AY96" s="366"/>
      <c r="AZ96" s="366"/>
      <c r="BA96" s="366"/>
    </row>
    <row r="97" spans="1:53" s="261" customFormat="1" ht="56.25" customHeight="1" x14ac:dyDescent="0.25">
      <c r="A97" s="1012" t="s">
        <v>1500</v>
      </c>
      <c r="B97" s="438" t="s">
        <v>1499</v>
      </c>
      <c r="C97" s="277"/>
      <c r="D97" s="335"/>
      <c r="E97" s="278" t="s">
        <v>488</v>
      </c>
      <c r="F97" s="279" t="s">
        <v>837</v>
      </c>
      <c r="G97" s="277" t="s">
        <v>489</v>
      </c>
      <c r="H97" s="278" t="s">
        <v>1170</v>
      </c>
      <c r="I97" s="279" t="s">
        <v>838</v>
      </c>
      <c r="J97" s="280" t="s">
        <v>1171</v>
      </c>
      <c r="K97" s="280" t="s">
        <v>490</v>
      </c>
      <c r="L97" s="281" t="s">
        <v>489</v>
      </c>
      <c r="M97" s="280" t="s">
        <v>1172</v>
      </c>
      <c r="N97" s="354" t="s">
        <v>838</v>
      </c>
      <c r="O97" s="280" t="s">
        <v>1171</v>
      </c>
      <c r="P97" s="280" t="s">
        <v>826</v>
      </c>
      <c r="Q97" s="280" t="s">
        <v>1173</v>
      </c>
      <c r="R97" s="280" t="s">
        <v>1174</v>
      </c>
      <c r="S97" s="280" t="s">
        <v>839</v>
      </c>
      <c r="T97" s="280" t="s">
        <v>1171</v>
      </c>
      <c r="U97" s="280" t="s">
        <v>1392</v>
      </c>
      <c r="V97" s="280" t="s">
        <v>841</v>
      </c>
      <c r="W97" s="282" t="s">
        <v>1173</v>
      </c>
      <c r="X97" s="280" t="s">
        <v>1394</v>
      </c>
      <c r="Y97" s="280" t="s">
        <v>839</v>
      </c>
      <c r="Z97" s="283"/>
      <c r="AA97" s="284"/>
      <c r="AB97" s="284"/>
      <c r="AC97" s="284"/>
      <c r="AD97" s="263"/>
      <c r="AF97" s="262"/>
      <c r="AG97" s="263"/>
      <c r="AH97" s="263"/>
      <c r="AI97" s="263"/>
      <c r="AJ97" s="263"/>
      <c r="AK97" s="263"/>
      <c r="AL97" s="264"/>
      <c r="AM97" s="263"/>
      <c r="AN97" s="263"/>
      <c r="AO97" s="265"/>
      <c r="AP97" s="263"/>
      <c r="AQ97" s="355"/>
      <c r="AR97" s="355"/>
      <c r="AS97" s="355"/>
      <c r="AT97" s="263"/>
      <c r="AU97" s="263"/>
      <c r="AV97" s="265"/>
      <c r="AW97" s="263"/>
      <c r="AX97" s="263"/>
      <c r="AY97" s="263"/>
      <c r="AZ97" s="263"/>
      <c r="BA97" s="263"/>
    </row>
    <row r="98" spans="1:53" s="270" customFormat="1" ht="12" customHeight="1" x14ac:dyDescent="0.25">
      <c r="A98" s="1013"/>
      <c r="B98" s="285" t="s">
        <v>1175</v>
      </c>
      <c r="C98" s="277">
        <f>C105</f>
        <v>33.667709452234185</v>
      </c>
      <c r="D98" s="335">
        <f>C98*$D$5</f>
        <v>6.8008773093513053</v>
      </c>
      <c r="E98" s="286" t="s">
        <v>1176</v>
      </c>
      <c r="F98" s="356"/>
      <c r="G98" s="288"/>
      <c r="H98" s="288"/>
      <c r="I98" s="289">
        <f>SUM(I99:I106)</f>
        <v>31.524999999999999</v>
      </c>
      <c r="J98" s="290" t="s">
        <v>1176</v>
      </c>
      <c r="K98" s="357"/>
      <c r="L98" s="291"/>
      <c r="M98" s="291"/>
      <c r="N98" s="433">
        <f>SUM(N99:N106)</f>
        <v>8.2000430473983976E-2</v>
      </c>
      <c r="O98" s="291"/>
      <c r="P98" s="291"/>
      <c r="Q98" s="291"/>
      <c r="R98" s="291"/>
      <c r="S98" s="295">
        <f>S99+S100</f>
        <v>0.20857139377847089</v>
      </c>
      <c r="T98" s="292"/>
      <c r="U98" s="292"/>
      <c r="V98" s="292"/>
      <c r="W98" s="292"/>
      <c r="X98" s="292"/>
      <c r="Y98" s="433">
        <f>SUM(Y99:Y106)</f>
        <v>8.6978382876862383</v>
      </c>
      <c r="Z98" s="296">
        <f>(C98+D98+I98+N98+S98+Y98)*$Z$5</f>
        <v>105.29179567290153</v>
      </c>
      <c r="AA98" s="297">
        <f>C98+D98+I98+N98+S98+Y98+Z98</f>
        <v>186.27379254642571</v>
      </c>
      <c r="AB98" s="298">
        <v>0.25</v>
      </c>
      <c r="AC98" s="358">
        <f>AA98*(1+AB98)</f>
        <v>232.84224068303214</v>
      </c>
      <c r="AD98" s="265"/>
      <c r="AE98" s="261"/>
      <c r="AF98" s="262"/>
      <c r="AG98" s="263"/>
      <c r="AH98" s="263"/>
      <c r="AI98" s="355"/>
      <c r="AJ98" s="359"/>
      <c r="AK98" s="360"/>
      <c r="AL98" s="264"/>
      <c r="AM98" s="361"/>
      <c r="AN98" s="143"/>
      <c r="AO98" s="362"/>
      <c r="AP98" s="363"/>
      <c r="AQ98" s="363"/>
      <c r="AR98" s="363"/>
      <c r="AS98" s="363"/>
      <c r="AT98" s="363"/>
      <c r="AU98" s="362"/>
      <c r="AV98" s="362"/>
      <c r="AW98" s="364"/>
      <c r="AX98" s="272"/>
      <c r="AY98" s="272"/>
      <c r="AZ98" s="272"/>
      <c r="BA98" s="272"/>
    </row>
    <row r="99" spans="1:53" s="371" customFormat="1" ht="12.75" customHeight="1" x14ac:dyDescent="0.25">
      <c r="A99" s="1013"/>
      <c r="B99" s="299" t="s">
        <v>830</v>
      </c>
      <c r="C99" s="277"/>
      <c r="D99" s="336"/>
      <c r="E99" s="300" t="s">
        <v>2186</v>
      </c>
      <c r="F99" s="301" t="s">
        <v>1441</v>
      </c>
      <c r="G99" s="302">
        <v>5.36</v>
      </c>
      <c r="H99" s="301">
        <v>2</v>
      </c>
      <c r="I99" s="303">
        <f>G99*H99</f>
        <v>10.72</v>
      </c>
      <c r="J99" s="290" t="s">
        <v>1291</v>
      </c>
      <c r="K99" s="304">
        <v>2</v>
      </c>
      <c r="L99" s="305">
        <v>750</v>
      </c>
      <c r="M99" s="304">
        <v>2</v>
      </c>
      <c r="N99" s="433">
        <f>L99/'Исп. коэффициенты'!E52*(C103+C104)</f>
        <v>7.0690026270675846E-2</v>
      </c>
      <c r="O99" s="291" t="s">
        <v>1667</v>
      </c>
      <c r="P99" s="291">
        <v>4500</v>
      </c>
      <c r="Q99" s="291">
        <v>19.670000000000002</v>
      </c>
      <c r="R99" s="291">
        <v>885.15</v>
      </c>
      <c r="S99" s="295">
        <f>R99/'Исп. коэффициенты'!E52*C103</f>
        <v>8.3428369004651629E-2</v>
      </c>
      <c r="T99" s="306" t="s">
        <v>1435</v>
      </c>
      <c r="U99" s="307">
        <v>6785401.3499999996</v>
      </c>
      <c r="V99" s="746">
        <f>'Исп. коэффициенты'!E124</f>
        <v>2978.5</v>
      </c>
      <c r="W99" s="308">
        <v>1.3599999999999999E-2</v>
      </c>
      <c r="X99" s="292">
        <f>U99*W99</f>
        <v>92281.45835999999</v>
      </c>
      <c r="Y99" s="295">
        <f>X99/'Исп. коэффициенты'!E52*C103</f>
        <v>8.6978382876862383</v>
      </c>
      <c r="Z99" s="291"/>
      <c r="AA99" s="284"/>
      <c r="AB99" s="284"/>
      <c r="AC99" s="284"/>
      <c r="AD99" s="263"/>
      <c r="AE99" s="261"/>
      <c r="AF99" s="365"/>
      <c r="AG99" s="366"/>
      <c r="AH99" s="366"/>
      <c r="AI99" s="366"/>
      <c r="AJ99" s="367"/>
      <c r="AK99" s="366"/>
      <c r="AL99" s="368"/>
      <c r="AM99" s="366"/>
      <c r="AN99" s="366"/>
      <c r="AO99" s="369"/>
      <c r="AP99" s="366"/>
      <c r="AQ99" s="366"/>
      <c r="AR99" s="369"/>
      <c r="AS99" s="369"/>
      <c r="AT99" s="366"/>
      <c r="AU99" s="366"/>
      <c r="AV99" s="369"/>
      <c r="AW99" s="366"/>
      <c r="AX99" s="366"/>
      <c r="AY99" s="366"/>
      <c r="AZ99" s="366"/>
      <c r="BA99" s="366"/>
    </row>
    <row r="100" spans="1:53" s="371" customFormat="1" x14ac:dyDescent="0.25">
      <c r="A100" s="1013"/>
      <c r="B100" s="309" t="s">
        <v>1178</v>
      </c>
      <c r="C100" s="310">
        <f>C90</f>
        <v>33.667709452234185</v>
      </c>
      <c r="D100" s="336"/>
      <c r="E100" s="300" t="s">
        <v>2187</v>
      </c>
      <c r="F100" s="301" t="s">
        <v>1</v>
      </c>
      <c r="G100" s="302">
        <v>6.3E-2</v>
      </c>
      <c r="H100" s="301">
        <v>5</v>
      </c>
      <c r="I100" s="303">
        <f>G100*H100</f>
        <v>0.315</v>
      </c>
      <c r="J100" s="290" t="s">
        <v>1445</v>
      </c>
      <c r="K100" s="292">
        <v>2</v>
      </c>
      <c r="L100" s="311">
        <v>95</v>
      </c>
      <c r="M100" s="304">
        <v>2</v>
      </c>
      <c r="N100" s="433">
        <f>L100/'Исп. коэффициенты'!E52*(C103+C104)</f>
        <v>8.9540699942856072E-3</v>
      </c>
      <c r="O100" s="291" t="s">
        <v>1668</v>
      </c>
      <c r="P100" s="291">
        <v>6750</v>
      </c>
      <c r="Q100" s="291">
        <v>19.670000000000002</v>
      </c>
      <c r="R100" s="291">
        <v>1327.73</v>
      </c>
      <c r="S100" s="295">
        <f>R100/'Исп. коэффициенты'!E52*C103</f>
        <v>0.12514302477381925</v>
      </c>
      <c r="T100" s="291"/>
      <c r="U100" s="291"/>
      <c r="V100" s="291"/>
      <c r="W100" s="291"/>
      <c r="X100" s="291"/>
      <c r="Y100" s="295"/>
      <c r="Z100" s="291"/>
      <c r="AA100" s="284"/>
      <c r="AB100" s="284"/>
      <c r="AC100" s="284"/>
      <c r="AD100" s="263"/>
      <c r="AE100" s="261"/>
      <c r="AF100" s="365"/>
      <c r="AG100" s="366"/>
      <c r="AH100" s="366"/>
      <c r="AI100" s="366"/>
      <c r="AJ100" s="367"/>
      <c r="AK100" s="366"/>
      <c r="AL100" s="368"/>
      <c r="AM100" s="373"/>
      <c r="AN100" s="366"/>
      <c r="AO100" s="369"/>
      <c r="AP100" s="366"/>
      <c r="AQ100" s="366"/>
      <c r="AR100" s="369"/>
      <c r="AS100" s="369"/>
      <c r="AT100" s="366"/>
      <c r="AU100" s="366"/>
      <c r="AV100" s="369"/>
      <c r="AW100" s="366"/>
      <c r="AX100" s="366"/>
      <c r="AY100" s="366"/>
      <c r="AZ100" s="366"/>
      <c r="BA100" s="366"/>
    </row>
    <row r="101" spans="1:53" s="371" customFormat="1" ht="12.75" customHeight="1" x14ac:dyDescent="0.25">
      <c r="A101" s="1013"/>
      <c r="B101" s="286" t="s">
        <v>1179</v>
      </c>
      <c r="C101" s="277">
        <f>C91</f>
        <v>19.495759833054819</v>
      </c>
      <c r="D101" s="336"/>
      <c r="E101" s="300" t="s">
        <v>2112</v>
      </c>
      <c r="F101" s="301" t="s">
        <v>1</v>
      </c>
      <c r="G101" s="302">
        <v>0.47</v>
      </c>
      <c r="H101" s="302">
        <v>10</v>
      </c>
      <c r="I101" s="303">
        <f>G101*H101</f>
        <v>4.6999999999999993</v>
      </c>
      <c r="J101" s="290" t="s">
        <v>1513</v>
      </c>
      <c r="K101" s="292">
        <v>2</v>
      </c>
      <c r="L101" s="292">
        <v>25</v>
      </c>
      <c r="M101" s="304">
        <v>0.5</v>
      </c>
      <c r="N101" s="433">
        <f>L101/'Исп. коэффициенты'!E52*(C103+C104)</f>
        <v>2.3563342090225283E-3</v>
      </c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84"/>
      <c r="AB101" s="284"/>
      <c r="AC101" s="284"/>
      <c r="AD101" s="263"/>
      <c r="AE101" s="261"/>
      <c r="AF101" s="365"/>
      <c r="AG101" s="366"/>
      <c r="AH101" s="366"/>
      <c r="AI101" s="366"/>
      <c r="AJ101" s="367"/>
      <c r="AK101" s="366"/>
      <c r="AL101" s="368"/>
      <c r="AM101" s="366"/>
      <c r="AN101" s="366"/>
      <c r="AO101" s="369"/>
      <c r="AP101" s="366"/>
      <c r="AQ101" s="366"/>
      <c r="AR101" s="369"/>
      <c r="AS101" s="369"/>
      <c r="AT101" s="366"/>
      <c r="AU101" s="366"/>
      <c r="AV101" s="369"/>
      <c r="AW101" s="366"/>
      <c r="AX101" s="366"/>
      <c r="AY101" s="366"/>
      <c r="AZ101" s="366"/>
      <c r="BA101" s="366"/>
    </row>
    <row r="102" spans="1:53" s="371" customFormat="1" ht="24.75" customHeight="1" x14ac:dyDescent="0.25">
      <c r="A102" s="1013"/>
      <c r="B102" s="286" t="s">
        <v>831</v>
      </c>
      <c r="C102" s="313"/>
      <c r="D102" s="336"/>
      <c r="E102" s="747" t="s">
        <v>2190</v>
      </c>
      <c r="F102" s="301" t="s">
        <v>1441</v>
      </c>
      <c r="G102" s="302">
        <v>1.19</v>
      </c>
      <c r="H102" s="301">
        <v>2</v>
      </c>
      <c r="I102" s="303">
        <f t="shared" ref="I102:I104" si="6">G102*H102</f>
        <v>2.38</v>
      </c>
      <c r="J102" s="290"/>
      <c r="K102" s="292"/>
      <c r="L102" s="292"/>
      <c r="M102" s="292"/>
      <c r="N102" s="292"/>
      <c r="O102" s="290"/>
      <c r="P102" s="292"/>
      <c r="Q102" s="292"/>
      <c r="R102" s="292"/>
      <c r="S102" s="292"/>
      <c r="T102" s="291"/>
      <c r="U102" s="291"/>
      <c r="V102" s="291"/>
      <c r="W102" s="291"/>
      <c r="X102" s="291"/>
      <c r="Y102" s="291"/>
      <c r="Z102" s="291"/>
      <c r="AA102" s="284"/>
      <c r="AB102" s="284"/>
      <c r="AC102" s="284"/>
      <c r="AD102" s="263"/>
      <c r="AE102" s="261"/>
      <c r="AF102" s="365"/>
      <c r="AG102" s="366"/>
      <c r="AH102" s="366"/>
      <c r="AI102" s="366"/>
      <c r="AJ102" s="367"/>
      <c r="AK102" s="366"/>
      <c r="AL102" s="368"/>
      <c r="AM102" s="366"/>
      <c r="AN102" s="366"/>
      <c r="AO102" s="369"/>
      <c r="AP102" s="366"/>
      <c r="AQ102" s="366"/>
      <c r="AR102" s="369"/>
      <c r="AS102" s="369"/>
      <c r="AT102" s="366"/>
      <c r="AU102" s="366"/>
      <c r="AV102" s="369"/>
      <c r="AW102" s="366"/>
      <c r="AX102" s="366"/>
      <c r="AY102" s="366"/>
      <c r="AZ102" s="366"/>
      <c r="BA102" s="366"/>
    </row>
    <row r="103" spans="1:53" s="371" customFormat="1" ht="12.75" customHeight="1" x14ac:dyDescent="0.25">
      <c r="A103" s="1013"/>
      <c r="B103" s="309" t="s">
        <v>1178</v>
      </c>
      <c r="C103" s="314">
        <v>1</v>
      </c>
      <c r="D103" s="336"/>
      <c r="E103" s="300" t="s">
        <v>1703</v>
      </c>
      <c r="F103" s="301" t="s">
        <v>1</v>
      </c>
      <c r="G103" s="302">
        <v>7.4300000000000005E-2</v>
      </c>
      <c r="H103" s="301">
        <v>100</v>
      </c>
      <c r="I103" s="303">
        <f t="shared" si="6"/>
        <v>7.4300000000000006</v>
      </c>
      <c r="J103" s="290"/>
      <c r="K103" s="292"/>
      <c r="L103" s="292"/>
      <c r="M103" s="292"/>
      <c r="N103" s="292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84"/>
      <c r="AB103" s="284"/>
      <c r="AC103" s="284"/>
      <c r="AD103" s="263"/>
      <c r="AE103" s="261"/>
      <c r="AF103" s="365"/>
      <c r="AG103" s="366"/>
      <c r="AH103" s="366"/>
      <c r="AI103" s="366"/>
      <c r="AJ103" s="375"/>
      <c r="AK103" s="366"/>
      <c r="AL103" s="368"/>
      <c r="AM103" s="366"/>
      <c r="AN103" s="366"/>
      <c r="AO103" s="369"/>
      <c r="AP103" s="366"/>
      <c r="AQ103" s="366"/>
      <c r="AR103" s="369"/>
      <c r="AS103" s="369"/>
      <c r="AT103" s="366"/>
      <c r="AU103" s="366"/>
      <c r="AV103" s="369"/>
      <c r="AW103" s="366"/>
      <c r="AX103" s="366"/>
      <c r="AY103" s="366"/>
      <c r="AZ103" s="366"/>
      <c r="BA103" s="366"/>
    </row>
    <row r="104" spans="1:53" s="371" customFormat="1" ht="15.75" customHeight="1" x14ac:dyDescent="0.25">
      <c r="A104" s="1013"/>
      <c r="B104" s="286" t="s">
        <v>1179</v>
      </c>
      <c r="C104" s="314"/>
      <c r="D104" s="336"/>
      <c r="E104" s="300" t="s">
        <v>2189</v>
      </c>
      <c r="F104" s="301" t="s">
        <v>1441</v>
      </c>
      <c r="G104" s="302">
        <v>2.99</v>
      </c>
      <c r="H104" s="301">
        <v>2</v>
      </c>
      <c r="I104" s="303">
        <f t="shared" si="6"/>
        <v>5.98</v>
      </c>
      <c r="J104" s="290"/>
      <c r="K104" s="292"/>
      <c r="L104" s="292"/>
      <c r="M104" s="292"/>
      <c r="N104" s="292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84"/>
      <c r="AB104" s="284"/>
      <c r="AC104" s="284"/>
      <c r="AD104" s="263"/>
      <c r="AE104" s="261"/>
      <c r="AF104" s="365"/>
      <c r="AG104" s="366"/>
      <c r="AH104" s="366"/>
      <c r="AI104" s="366"/>
      <c r="AJ104" s="375"/>
      <c r="AK104" s="366"/>
      <c r="AL104" s="368"/>
      <c r="AM104" s="366"/>
      <c r="AN104" s="366"/>
      <c r="AO104" s="369"/>
      <c r="AP104" s="366"/>
      <c r="AQ104" s="366"/>
      <c r="AR104" s="369"/>
      <c r="AS104" s="369"/>
      <c r="AT104" s="366"/>
      <c r="AU104" s="366"/>
      <c r="AV104" s="369"/>
      <c r="AW104" s="366"/>
      <c r="AX104" s="366"/>
      <c r="AY104" s="366"/>
      <c r="AZ104" s="366"/>
      <c r="BA104" s="366"/>
    </row>
    <row r="105" spans="1:53" s="371" customFormat="1" ht="20.25" customHeight="1" x14ac:dyDescent="0.25">
      <c r="A105" s="1013"/>
      <c r="B105" s="315" t="s">
        <v>1181</v>
      </c>
      <c r="C105" s="277">
        <f>C100*C103+C101*C104</f>
        <v>33.667709452234185</v>
      </c>
      <c r="D105" s="336"/>
      <c r="E105" s="300"/>
      <c r="F105" s="376"/>
      <c r="G105" s="302"/>
      <c r="H105" s="301"/>
      <c r="I105" s="303"/>
      <c r="J105" s="290"/>
      <c r="K105" s="374"/>
      <c r="L105" s="311"/>
      <c r="M105" s="304"/>
      <c r="N105" s="292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84"/>
      <c r="AB105" s="284"/>
      <c r="AC105" s="284"/>
      <c r="AD105" s="263"/>
      <c r="AE105" s="261"/>
      <c r="AF105" s="365"/>
      <c r="AG105" s="366"/>
      <c r="AH105" s="366"/>
      <c r="AI105" s="366"/>
      <c r="AJ105" s="367"/>
      <c r="AK105" s="366"/>
      <c r="AL105" s="368"/>
      <c r="AM105" s="366"/>
      <c r="AN105" s="366"/>
      <c r="AO105" s="369"/>
      <c r="AP105" s="366"/>
      <c r="AQ105" s="366"/>
      <c r="AR105" s="369"/>
      <c r="AS105" s="369"/>
      <c r="AT105" s="366"/>
      <c r="AU105" s="366"/>
      <c r="AV105" s="369"/>
      <c r="AW105" s="366"/>
      <c r="AX105" s="366"/>
      <c r="AY105" s="366"/>
      <c r="AZ105" s="366"/>
      <c r="BA105" s="366"/>
    </row>
    <row r="106" spans="1:53" s="371" customFormat="1" ht="13.5" customHeight="1" x14ac:dyDescent="0.25">
      <c r="A106" s="1014"/>
      <c r="B106" s="318"/>
      <c r="C106" s="314"/>
      <c r="D106" s="337"/>
      <c r="E106" s="300"/>
      <c r="F106" s="376"/>
      <c r="G106" s="302"/>
      <c r="H106" s="301"/>
      <c r="I106" s="303"/>
      <c r="J106" s="290"/>
      <c r="K106" s="374"/>
      <c r="L106" s="292"/>
      <c r="M106" s="292"/>
      <c r="N106" s="292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84"/>
      <c r="AB106" s="284"/>
      <c r="AC106" s="284"/>
      <c r="AD106" s="263"/>
      <c r="AE106" s="261"/>
      <c r="AF106" s="365"/>
      <c r="AG106" s="366"/>
      <c r="AH106" s="366"/>
      <c r="AI106" s="366"/>
      <c r="AJ106" s="375"/>
      <c r="AK106" s="366"/>
      <c r="AL106" s="368"/>
      <c r="AM106" s="366"/>
      <c r="AN106" s="366"/>
      <c r="AO106" s="369"/>
      <c r="AP106" s="366"/>
      <c r="AQ106" s="366"/>
      <c r="AR106" s="369"/>
      <c r="AS106" s="369"/>
      <c r="AT106" s="366"/>
      <c r="AU106" s="366"/>
      <c r="AV106" s="369"/>
      <c r="AW106" s="366"/>
      <c r="AX106" s="366"/>
      <c r="AY106" s="366"/>
      <c r="AZ106" s="366"/>
      <c r="BA106" s="366"/>
    </row>
  </sheetData>
  <mergeCells count="20">
    <mergeCell ref="AC4:AC5"/>
    <mergeCell ref="A6:AC6"/>
    <mergeCell ref="O4:S5"/>
    <mergeCell ref="A27:A36"/>
    <mergeCell ref="AB4:AB5"/>
    <mergeCell ref="A7:A16"/>
    <mergeCell ref="A17:A26"/>
    <mergeCell ref="T4:Y5"/>
    <mergeCell ref="A97:A106"/>
    <mergeCell ref="AA4:AA5"/>
    <mergeCell ref="A1:M1"/>
    <mergeCell ref="B4:C4"/>
    <mergeCell ref="E4:I5"/>
    <mergeCell ref="J4:N5"/>
    <mergeCell ref="A87:A96"/>
    <mergeCell ref="A57:A66"/>
    <mergeCell ref="A37:A46"/>
    <mergeCell ref="A47:A56"/>
    <mergeCell ref="A67:A76"/>
    <mergeCell ref="A77:A86"/>
  </mergeCells>
  <phoneticPr fontId="2" type="noConversion"/>
  <pageMargins left="0.75" right="0.75" top="1" bottom="1" header="0.5" footer="0.5"/>
  <pageSetup paperSize="9" scale="47"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A634"/>
  <sheetViews>
    <sheetView topLeftCell="A614" workbookViewId="0">
      <selection activeCell="P491" sqref="P491"/>
    </sheetView>
  </sheetViews>
  <sheetFormatPr defaultColWidth="9.109375" defaultRowHeight="13.2" x14ac:dyDescent="0.25"/>
  <cols>
    <col min="1" max="1" width="13" style="34" customWidth="1"/>
    <col min="2" max="2" width="13.109375" style="36" customWidth="1"/>
    <col min="3" max="3" width="8.109375" style="35" customWidth="1"/>
    <col min="4" max="4" width="5.88671875" style="3" customWidth="1"/>
    <col min="5" max="5" width="14.5546875" style="36" customWidth="1"/>
    <col min="6" max="6" width="4.88671875" style="164" customWidth="1"/>
    <col min="7" max="7" width="6.6640625" style="37" customWidth="1"/>
    <col min="8" max="8" width="5.88671875" style="37" customWidth="1"/>
    <col min="9" max="9" width="6.33203125" style="3" customWidth="1"/>
    <col min="10" max="10" width="10.6640625" style="40" customWidth="1"/>
    <col min="11" max="11" width="4.109375" style="168" customWidth="1"/>
    <col min="12" max="12" width="5.5546875" style="38" customWidth="1"/>
    <col min="13" max="13" width="5" style="38" customWidth="1"/>
    <col min="14" max="14" width="8.6640625" style="38" customWidth="1"/>
    <col min="15" max="15" width="17.44140625" style="38" customWidth="1"/>
    <col min="16" max="16" width="6.88671875" style="38" customWidth="1"/>
    <col min="17" max="17" width="6" style="38" customWidth="1"/>
    <col min="18" max="18" width="7.109375" style="38" customWidth="1"/>
    <col min="19" max="19" width="7" style="38" customWidth="1"/>
    <col min="20" max="20" width="14.44140625" style="38" customWidth="1"/>
    <col min="21" max="21" width="7.5546875" style="38" customWidth="1"/>
    <col min="22" max="22" width="10.109375" style="38" customWidth="1"/>
    <col min="23" max="23" width="6.33203125" style="38" customWidth="1"/>
    <col min="24" max="24" width="7.109375" style="38" customWidth="1"/>
    <col min="25" max="25" width="6.33203125" style="38" customWidth="1"/>
    <col min="26" max="26" width="9.33203125" style="38" customWidth="1"/>
    <col min="27" max="27" width="10.109375" style="3" hidden="1" customWidth="1"/>
    <col min="28" max="28" width="9.5546875" style="3" hidden="1" customWidth="1"/>
    <col min="29" max="29" width="10.109375" style="3" hidden="1" customWidth="1"/>
    <col min="30" max="30" width="9.109375" style="3"/>
    <col min="31" max="31" width="10.6640625" style="3" customWidth="1"/>
    <col min="32" max="32" width="10.109375" style="81" customWidth="1"/>
    <col min="33" max="33" width="9.109375" style="56"/>
    <col min="34" max="34" width="10.6640625" style="125" customWidth="1"/>
    <col min="35" max="35" width="14.33203125" style="125" customWidth="1"/>
    <col min="36" max="36" width="7.88671875" style="125" customWidth="1"/>
    <col min="37" max="37" width="8.6640625" style="125" customWidth="1"/>
    <col min="38" max="38" width="11.33203125" style="127" customWidth="1"/>
    <col min="39" max="39" width="8" style="125" customWidth="1"/>
    <col min="40" max="40" width="11.109375" style="125" customWidth="1"/>
    <col min="41" max="41" width="8.109375" style="128" customWidth="1"/>
    <col min="42" max="42" width="14" style="125" customWidth="1"/>
    <col min="43" max="43" width="13.88671875" style="125" customWidth="1"/>
    <col min="44" max="44" width="14" style="128" customWidth="1"/>
    <col min="45" max="45" width="15.44140625" style="128" hidden="1" customWidth="1"/>
    <col min="46" max="46" width="11.33203125" style="125" hidden="1" customWidth="1"/>
    <col min="47" max="47" width="12.6640625" style="125" customWidth="1"/>
    <col min="48" max="48" width="13.6640625" style="128" customWidth="1"/>
    <col min="49" max="49" width="6.44140625" style="56" hidden="1" customWidth="1"/>
    <col min="50" max="50" width="9.5546875" style="56" customWidth="1"/>
    <col min="51" max="53" width="9.109375" style="56"/>
    <col min="54" max="16384" width="9.109375" style="3"/>
  </cols>
  <sheetData>
    <row r="1" spans="1:53" ht="22.5" customHeight="1" x14ac:dyDescent="0.3">
      <c r="A1" s="1072" t="s">
        <v>846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AI1" s="126"/>
    </row>
    <row r="2" spans="1:53" ht="12.75" customHeight="1" x14ac:dyDescent="0.25">
      <c r="A2" s="39"/>
    </row>
    <row r="3" spans="1:53" ht="12.75" customHeight="1" x14ac:dyDescent="0.25"/>
    <row r="4" spans="1:53" s="44" customFormat="1" ht="59.25" customHeight="1" x14ac:dyDescent="0.25">
      <c r="A4" s="41"/>
      <c r="B4" s="1073" t="s">
        <v>487</v>
      </c>
      <c r="C4" s="1073"/>
      <c r="D4" s="42" t="s">
        <v>491</v>
      </c>
      <c r="E4" s="1074" t="s">
        <v>1164</v>
      </c>
      <c r="F4" s="1075"/>
      <c r="G4" s="1075"/>
      <c r="H4" s="1075"/>
      <c r="I4" s="1064"/>
      <c r="J4" s="1066" t="s">
        <v>1165</v>
      </c>
      <c r="K4" s="1067"/>
      <c r="L4" s="1067"/>
      <c r="M4" s="1067"/>
      <c r="N4" s="1070"/>
      <c r="O4" s="1066" t="s">
        <v>492</v>
      </c>
      <c r="P4" s="1067"/>
      <c r="Q4" s="1067"/>
      <c r="R4" s="1067"/>
      <c r="S4" s="1067"/>
      <c r="T4" s="1066" t="s">
        <v>840</v>
      </c>
      <c r="U4" s="1067"/>
      <c r="V4" s="1067"/>
      <c r="W4" s="1067"/>
      <c r="X4" s="1067"/>
      <c r="Y4" s="1070"/>
      <c r="Z4" s="156" t="s">
        <v>1166</v>
      </c>
      <c r="AA4" s="1064" t="s">
        <v>827</v>
      </c>
      <c r="AB4" s="1062" t="s">
        <v>1167</v>
      </c>
      <c r="AC4" s="1062" t="s">
        <v>1168</v>
      </c>
      <c r="AD4" s="43"/>
      <c r="AF4" s="149"/>
      <c r="AG4" s="152"/>
      <c r="AH4" s="152"/>
      <c r="AI4" s="129"/>
      <c r="AJ4" s="130"/>
      <c r="AK4" s="129"/>
      <c r="AL4" s="131"/>
      <c r="AM4" s="129"/>
      <c r="AN4" s="129"/>
      <c r="AO4" s="132"/>
      <c r="AP4" s="132"/>
      <c r="AQ4" s="132"/>
      <c r="AR4" s="132"/>
      <c r="AS4" s="132"/>
      <c r="AT4" s="132"/>
      <c r="AU4" s="129"/>
      <c r="AV4" s="129"/>
      <c r="AW4" s="133"/>
      <c r="AX4" s="133"/>
      <c r="AY4" s="133"/>
      <c r="AZ4" s="133"/>
      <c r="BA4" s="133"/>
    </row>
    <row r="5" spans="1:53" s="35" customFormat="1" ht="13.5" customHeight="1" x14ac:dyDescent="0.25">
      <c r="A5" s="45"/>
      <c r="B5" s="46" t="s">
        <v>488</v>
      </c>
      <c r="C5" s="46" t="s">
        <v>1169</v>
      </c>
      <c r="D5" s="230">
        <v>0.20200000000000001</v>
      </c>
      <c r="E5" s="1076"/>
      <c r="F5" s="1077"/>
      <c r="G5" s="1077"/>
      <c r="H5" s="1077"/>
      <c r="I5" s="1065"/>
      <c r="J5" s="1068"/>
      <c r="K5" s="1069"/>
      <c r="L5" s="1069"/>
      <c r="M5" s="1069"/>
      <c r="N5" s="1071"/>
      <c r="O5" s="1068"/>
      <c r="P5" s="1069"/>
      <c r="Q5" s="1069"/>
      <c r="R5" s="1069"/>
      <c r="S5" s="1069"/>
      <c r="T5" s="1068"/>
      <c r="U5" s="1069"/>
      <c r="V5" s="1069"/>
      <c r="W5" s="1069"/>
      <c r="X5" s="1069"/>
      <c r="Y5" s="1071"/>
      <c r="Z5" s="157">
        <f>'Исп. коэффициенты'!C91</f>
        <v>1.3001876927947804</v>
      </c>
      <c r="AA5" s="1065"/>
      <c r="AB5" s="1063"/>
      <c r="AC5" s="1063"/>
      <c r="AD5" s="48"/>
      <c r="AE5" s="49"/>
      <c r="AF5" s="150"/>
      <c r="AG5" s="81"/>
      <c r="AH5" s="134"/>
      <c r="AI5" s="135"/>
      <c r="AJ5" s="136"/>
      <c r="AK5" s="134"/>
      <c r="AL5" s="137"/>
      <c r="AM5" s="129"/>
      <c r="AN5" s="129"/>
      <c r="AO5" s="132"/>
      <c r="AP5" s="132"/>
      <c r="AQ5" s="138"/>
      <c r="AR5" s="138"/>
      <c r="AS5" s="138"/>
      <c r="AT5" s="132"/>
      <c r="AU5" s="129"/>
      <c r="AV5" s="130"/>
      <c r="AW5" s="81"/>
      <c r="AX5" s="81"/>
      <c r="AY5" s="81"/>
      <c r="AZ5" s="81"/>
      <c r="BA5" s="81"/>
    </row>
    <row r="6" spans="1:53" s="35" customFormat="1" ht="17.25" customHeight="1" x14ac:dyDescent="0.25">
      <c r="A6" s="1118" t="s">
        <v>1688</v>
      </c>
      <c r="B6" s="1119"/>
      <c r="C6" s="1119"/>
      <c r="D6" s="1119"/>
      <c r="E6" s="1119"/>
      <c r="F6" s="1119"/>
      <c r="G6" s="1119"/>
      <c r="H6" s="1119"/>
      <c r="I6" s="1119"/>
      <c r="J6" s="1119"/>
      <c r="K6" s="1119"/>
      <c r="L6" s="1119"/>
      <c r="M6" s="1119"/>
      <c r="N6" s="1119"/>
      <c r="O6" s="1119"/>
      <c r="P6" s="1119"/>
      <c r="Q6" s="1119"/>
      <c r="R6" s="1119"/>
      <c r="S6" s="1119"/>
      <c r="T6" s="1119"/>
      <c r="U6" s="1119"/>
      <c r="V6" s="1119"/>
      <c r="W6" s="1119"/>
      <c r="X6" s="1119"/>
      <c r="Y6" s="1119"/>
      <c r="Z6" s="1119"/>
      <c r="AA6" s="1119"/>
      <c r="AB6" s="1119"/>
      <c r="AC6" s="1121"/>
      <c r="AD6" s="48"/>
      <c r="AE6" s="49"/>
      <c r="AF6" s="150"/>
      <c r="AG6" s="81"/>
      <c r="AH6" s="134"/>
      <c r="AI6" s="135"/>
      <c r="AJ6" s="136"/>
      <c r="AK6" s="134"/>
      <c r="AL6" s="137"/>
      <c r="AM6" s="129"/>
      <c r="AN6" s="129"/>
      <c r="AO6" s="132"/>
      <c r="AP6" s="132"/>
      <c r="AQ6" s="138"/>
      <c r="AR6" s="138"/>
      <c r="AS6" s="138"/>
      <c r="AT6" s="132"/>
      <c r="AU6" s="129"/>
      <c r="AV6" s="130"/>
      <c r="AW6" s="81"/>
      <c r="AX6" s="81"/>
      <c r="AY6" s="81"/>
      <c r="AZ6" s="81"/>
      <c r="BA6" s="81"/>
    </row>
    <row r="7" spans="1:53" s="803" customFormat="1" ht="56.25" customHeight="1" x14ac:dyDescent="0.25">
      <c r="A7" s="1114" t="s">
        <v>1689</v>
      </c>
      <c r="B7" s="778"/>
      <c r="C7" s="778"/>
      <c r="D7" s="800"/>
      <c r="E7" s="791" t="s">
        <v>488</v>
      </c>
      <c r="F7" s="792" t="s">
        <v>837</v>
      </c>
      <c r="G7" s="778" t="s">
        <v>489</v>
      </c>
      <c r="H7" s="791" t="s">
        <v>1170</v>
      </c>
      <c r="I7" s="792" t="s">
        <v>838</v>
      </c>
      <c r="J7" s="793" t="s">
        <v>1171</v>
      </c>
      <c r="K7" s="793" t="s">
        <v>490</v>
      </c>
      <c r="L7" s="794" t="s">
        <v>489</v>
      </c>
      <c r="M7" s="793" t="s">
        <v>1172</v>
      </c>
      <c r="N7" s="792" t="s">
        <v>838</v>
      </c>
      <c r="O7" s="793" t="s">
        <v>1171</v>
      </c>
      <c r="P7" s="793" t="s">
        <v>826</v>
      </c>
      <c r="Q7" s="793" t="s">
        <v>1173</v>
      </c>
      <c r="R7" s="793" t="s">
        <v>1174</v>
      </c>
      <c r="S7" s="793" t="s">
        <v>839</v>
      </c>
      <c r="T7" s="793" t="s">
        <v>1171</v>
      </c>
      <c r="U7" s="793" t="s">
        <v>1392</v>
      </c>
      <c r="V7" s="793" t="s">
        <v>841</v>
      </c>
      <c r="W7" s="795" t="s">
        <v>1173</v>
      </c>
      <c r="X7" s="793" t="s">
        <v>1394</v>
      </c>
      <c r="Y7" s="793" t="s">
        <v>839</v>
      </c>
      <c r="Z7" s="796"/>
      <c r="AA7" s="755"/>
      <c r="AB7" s="755"/>
      <c r="AC7" s="755"/>
      <c r="AD7" s="802"/>
      <c r="AF7" s="804"/>
      <c r="AG7" s="802"/>
      <c r="AH7" s="805"/>
      <c r="AI7" s="805"/>
      <c r="AJ7" s="805"/>
      <c r="AK7" s="805"/>
      <c r="AL7" s="806"/>
      <c r="AM7" s="805"/>
      <c r="AN7" s="805"/>
      <c r="AO7" s="807"/>
      <c r="AP7" s="805"/>
      <c r="AQ7" s="808"/>
      <c r="AR7" s="808"/>
      <c r="AS7" s="808"/>
      <c r="AT7" s="805"/>
      <c r="AU7" s="805"/>
      <c r="AV7" s="807"/>
      <c r="AW7" s="802"/>
      <c r="AX7" s="802"/>
      <c r="AY7" s="802"/>
      <c r="AZ7" s="802"/>
      <c r="BA7" s="802"/>
    </row>
    <row r="8" spans="1:53" s="803" customFormat="1" ht="12" customHeight="1" x14ac:dyDescent="0.25">
      <c r="A8" s="1115"/>
      <c r="B8" s="752" t="s">
        <v>1175</v>
      </c>
      <c r="C8" s="778">
        <f>C15</f>
        <v>35.092367699498666</v>
      </c>
      <c r="D8" s="800">
        <f>C8*$D$5</f>
        <v>7.088658275298731</v>
      </c>
      <c r="E8" s="754" t="s">
        <v>1176</v>
      </c>
      <c r="F8" s="810"/>
      <c r="G8" s="756"/>
      <c r="H8" s="756"/>
      <c r="I8" s="757">
        <f>SUM(I9:I16)</f>
        <v>2.1736</v>
      </c>
      <c r="J8" s="758" t="s">
        <v>1176</v>
      </c>
      <c r="K8" s="811"/>
      <c r="L8" s="759"/>
      <c r="M8" s="759"/>
      <c r="N8" s="790">
        <f>SUM(N9:N16)</f>
        <v>0.12012645587741469</v>
      </c>
      <c r="O8" s="759" t="s">
        <v>1176</v>
      </c>
      <c r="P8" s="759"/>
      <c r="Q8" s="812"/>
      <c r="R8" s="813"/>
      <c r="S8" s="760">
        <f>SUM(S9:S16)</f>
        <v>1.9669000525794882</v>
      </c>
      <c r="T8" s="760"/>
      <c r="U8" s="760"/>
      <c r="V8" s="760"/>
      <c r="W8" s="760"/>
      <c r="X8" s="760"/>
      <c r="Y8" s="760">
        <f>SUM(Y9:Y16)</f>
        <v>4.2472967570827658</v>
      </c>
      <c r="Z8" s="762">
        <f>(C8+D8+I8+N8+S8+Y8)*$Z$5</f>
        <v>65.905147962985595</v>
      </c>
      <c r="AA8" s="763">
        <f>C8+D8+I8+N8+S8+Y8+Z8</f>
        <v>116.59409720332266</v>
      </c>
      <c r="AB8" s="764">
        <v>0.25</v>
      </c>
      <c r="AC8" s="765">
        <f>AA8*(1+AB8)</f>
        <v>145.74262150415333</v>
      </c>
      <c r="AD8" s="814"/>
      <c r="AF8" s="804"/>
      <c r="AG8" s="802"/>
      <c r="AH8" s="805"/>
      <c r="AI8" s="808"/>
      <c r="AJ8" s="815"/>
      <c r="AK8" s="816"/>
      <c r="AL8" s="806"/>
      <c r="AM8" s="817"/>
      <c r="AN8" s="818"/>
      <c r="AO8" s="817"/>
      <c r="AP8" s="808"/>
      <c r="AQ8" s="808"/>
      <c r="AR8" s="808"/>
      <c r="AS8" s="808"/>
      <c r="AT8" s="808"/>
      <c r="AU8" s="817"/>
      <c r="AV8" s="817"/>
      <c r="AW8" s="819"/>
      <c r="AX8" s="802"/>
      <c r="AY8" s="802"/>
      <c r="AZ8" s="802"/>
      <c r="BA8" s="802"/>
    </row>
    <row r="9" spans="1:53" s="803" customFormat="1" ht="12.75" customHeight="1" x14ac:dyDescent="0.25">
      <c r="A9" s="1115"/>
      <c r="B9" s="766" t="s">
        <v>830</v>
      </c>
      <c r="C9" s="778"/>
      <c r="D9" s="820"/>
      <c r="E9" s="767" t="s">
        <v>1437</v>
      </c>
      <c r="F9" s="768" t="s">
        <v>1438</v>
      </c>
      <c r="G9" s="769">
        <v>0.74</v>
      </c>
      <c r="H9" s="768">
        <v>0.01</v>
      </c>
      <c r="I9" s="770">
        <f>G9*H9</f>
        <v>7.4000000000000003E-3</v>
      </c>
      <c r="J9" s="758" t="s">
        <v>1291</v>
      </c>
      <c r="K9" s="771">
        <v>2</v>
      </c>
      <c r="L9" s="772">
        <v>750</v>
      </c>
      <c r="M9" s="771">
        <v>2</v>
      </c>
      <c r="N9" s="790">
        <f>L9/'Исп. коэффициенты'!E46*C14</f>
        <v>0.10355728954949542</v>
      </c>
      <c r="O9" s="759" t="s">
        <v>120</v>
      </c>
      <c r="P9" s="759">
        <v>6035</v>
      </c>
      <c r="Q9" s="759">
        <v>19.670000000000002</v>
      </c>
      <c r="R9" s="759">
        <f>P9*Q9%</f>
        <v>1187.0845000000002</v>
      </c>
      <c r="S9" s="759">
        <f>R9/'Исп. коэффициенты'!F46*C14</f>
        <v>1.9669000525794882</v>
      </c>
      <c r="T9" s="755" t="s">
        <v>1435</v>
      </c>
      <c r="U9" s="756">
        <v>6785401.3499999996</v>
      </c>
      <c r="V9" s="785">
        <f>'Исп. коэффициенты'!E124</f>
        <v>2978.5</v>
      </c>
      <c r="W9" s="761">
        <f>'Исп. коэффициенты'!D124</f>
        <v>1.3599999999999999E-2</v>
      </c>
      <c r="X9" s="760">
        <f>U9*W9</f>
        <v>92281.45835999999</v>
      </c>
      <c r="Y9" s="759">
        <f>X9/'Исп. коэффициенты'!E46/2</f>
        <v>4.2472967570827658</v>
      </c>
      <c r="Z9" s="759"/>
      <c r="AA9" s="755"/>
      <c r="AB9" s="755"/>
      <c r="AC9" s="773"/>
      <c r="AD9" s="802"/>
      <c r="AF9" s="821"/>
      <c r="AG9" s="802"/>
      <c r="AH9" s="805"/>
      <c r="AI9" s="805"/>
      <c r="AJ9" s="822"/>
      <c r="AK9" s="805"/>
      <c r="AL9" s="806"/>
      <c r="AM9" s="805"/>
      <c r="AN9" s="805"/>
      <c r="AO9" s="807"/>
      <c r="AP9" s="805"/>
      <c r="AQ9" s="805"/>
      <c r="AR9" s="807"/>
      <c r="AS9" s="807"/>
      <c r="AT9" s="805"/>
      <c r="AU9" s="805"/>
      <c r="AV9" s="807"/>
      <c r="AW9" s="802"/>
      <c r="AX9" s="802"/>
      <c r="AY9" s="802"/>
      <c r="AZ9" s="802"/>
      <c r="BA9" s="802"/>
    </row>
    <row r="10" spans="1:53" s="803" customFormat="1" x14ac:dyDescent="0.25">
      <c r="A10" s="1115"/>
      <c r="B10" s="774" t="s">
        <v>1178</v>
      </c>
      <c r="C10" s="753"/>
      <c r="D10" s="820"/>
      <c r="E10" s="767" t="s">
        <v>1439</v>
      </c>
      <c r="F10" s="768" t="s">
        <v>1438</v>
      </c>
      <c r="G10" s="769">
        <v>0.27</v>
      </c>
      <c r="H10" s="768">
        <v>0.01</v>
      </c>
      <c r="I10" s="775">
        <f>G10*H10</f>
        <v>2.7000000000000001E-3</v>
      </c>
      <c r="J10" s="758" t="s">
        <v>1445</v>
      </c>
      <c r="K10" s="760">
        <v>2</v>
      </c>
      <c r="L10" s="776">
        <v>95</v>
      </c>
      <c r="M10" s="771">
        <v>2</v>
      </c>
      <c r="N10" s="790">
        <f>L10/'Исп. коэффициенты'!E46*C14</f>
        <v>1.311725667626942E-2</v>
      </c>
      <c r="O10" s="759"/>
      <c r="P10" s="759"/>
      <c r="Q10" s="759"/>
      <c r="R10" s="759"/>
      <c r="S10" s="759"/>
      <c r="T10" s="759"/>
      <c r="U10" s="759"/>
      <c r="V10" s="759"/>
      <c r="W10" s="759"/>
      <c r="X10" s="759"/>
      <c r="Y10" s="759"/>
      <c r="Z10" s="759"/>
      <c r="AA10" s="755"/>
      <c r="AB10" s="755"/>
      <c r="AC10" s="773"/>
      <c r="AD10" s="802"/>
      <c r="AF10" s="821"/>
      <c r="AG10" s="802"/>
      <c r="AH10" s="805"/>
      <c r="AI10" s="805"/>
      <c r="AJ10" s="822"/>
      <c r="AK10" s="805"/>
      <c r="AL10" s="806"/>
      <c r="AM10" s="824"/>
      <c r="AN10" s="805"/>
      <c r="AO10" s="807"/>
      <c r="AP10" s="805"/>
      <c r="AQ10" s="805"/>
      <c r="AR10" s="807"/>
      <c r="AS10" s="807"/>
      <c r="AT10" s="805"/>
      <c r="AU10" s="805"/>
      <c r="AV10" s="807"/>
      <c r="AW10" s="802"/>
      <c r="AX10" s="802"/>
      <c r="AY10" s="802"/>
      <c r="AZ10" s="802"/>
      <c r="BA10" s="802"/>
    </row>
    <row r="11" spans="1:53" s="803" customFormat="1" ht="12.75" customHeight="1" x14ac:dyDescent="0.25">
      <c r="A11" s="1115"/>
      <c r="B11" s="754" t="s">
        <v>1179</v>
      </c>
      <c r="C11" s="778">
        <f>'Заработная плата'!M94</f>
        <v>23.394911799665778</v>
      </c>
      <c r="D11" s="820"/>
      <c r="E11" s="767"/>
      <c r="F11" s="768"/>
      <c r="G11" s="769"/>
      <c r="H11" s="769"/>
      <c r="I11" s="770"/>
      <c r="J11" s="758" t="s">
        <v>1513</v>
      </c>
      <c r="K11" s="760">
        <v>2</v>
      </c>
      <c r="L11" s="760">
        <v>25</v>
      </c>
      <c r="M11" s="771">
        <v>0.5</v>
      </c>
      <c r="N11" s="790">
        <f>L11/'Исп. коэффициенты'!E46*C14</f>
        <v>3.4519096516498473E-3</v>
      </c>
      <c r="O11" s="759"/>
      <c r="P11" s="759"/>
      <c r="Q11" s="759"/>
      <c r="R11" s="759"/>
      <c r="S11" s="759"/>
      <c r="T11" s="759"/>
      <c r="U11" s="759"/>
      <c r="V11" s="759"/>
      <c r="W11" s="759"/>
      <c r="X11" s="759"/>
      <c r="Y11" s="759"/>
      <c r="Z11" s="759"/>
      <c r="AA11" s="755"/>
      <c r="AB11" s="755"/>
      <c r="AC11" s="773"/>
      <c r="AD11" s="802"/>
      <c r="AF11" s="821"/>
      <c r="AG11" s="802"/>
      <c r="AH11" s="805"/>
      <c r="AI11" s="805"/>
      <c r="AJ11" s="822"/>
      <c r="AK11" s="805"/>
      <c r="AL11" s="806"/>
      <c r="AM11" s="805"/>
      <c r="AN11" s="805"/>
      <c r="AO11" s="807"/>
      <c r="AP11" s="805"/>
      <c r="AQ11" s="805"/>
      <c r="AR11" s="807"/>
      <c r="AS11" s="807"/>
      <c r="AT11" s="805"/>
      <c r="AU11" s="805"/>
      <c r="AV11" s="807"/>
      <c r="AW11" s="802"/>
      <c r="AX11" s="802"/>
      <c r="AY11" s="802"/>
      <c r="AZ11" s="802"/>
      <c r="BA11" s="802"/>
    </row>
    <row r="12" spans="1:53" s="803" customFormat="1" ht="12.75" customHeight="1" x14ac:dyDescent="0.25">
      <c r="A12" s="1115"/>
      <c r="B12" s="754" t="s">
        <v>831</v>
      </c>
      <c r="C12" s="789"/>
      <c r="D12" s="820"/>
      <c r="E12" s="767"/>
      <c r="F12" s="768"/>
      <c r="G12" s="769"/>
      <c r="H12" s="768"/>
      <c r="I12" s="770"/>
      <c r="J12" s="758"/>
      <c r="K12" s="760"/>
      <c r="L12" s="760"/>
      <c r="M12" s="760"/>
      <c r="N12" s="760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5"/>
      <c r="AB12" s="755"/>
      <c r="AC12" s="773"/>
      <c r="AD12" s="802"/>
      <c r="AF12" s="821"/>
      <c r="AG12" s="802"/>
      <c r="AH12" s="805"/>
      <c r="AI12" s="805"/>
      <c r="AJ12" s="822"/>
      <c r="AK12" s="805"/>
      <c r="AL12" s="806"/>
      <c r="AM12" s="805"/>
      <c r="AN12" s="805"/>
      <c r="AO12" s="807"/>
      <c r="AP12" s="805"/>
      <c r="AQ12" s="805"/>
      <c r="AR12" s="807"/>
      <c r="AS12" s="807"/>
      <c r="AT12" s="805"/>
      <c r="AU12" s="805"/>
      <c r="AV12" s="807"/>
      <c r="AW12" s="802"/>
      <c r="AX12" s="802"/>
      <c r="AY12" s="802"/>
      <c r="AZ12" s="802"/>
      <c r="BA12" s="802"/>
    </row>
    <row r="13" spans="1:53" s="803" customFormat="1" ht="12.75" customHeight="1" x14ac:dyDescent="0.25">
      <c r="A13" s="1115"/>
      <c r="B13" s="774" t="s">
        <v>1178</v>
      </c>
      <c r="C13" s="784"/>
      <c r="D13" s="820"/>
      <c r="E13" s="767" t="s">
        <v>1442</v>
      </c>
      <c r="F13" s="768" t="s">
        <v>1443</v>
      </c>
      <c r="G13" s="769">
        <v>419.5</v>
      </c>
      <c r="H13" s="768">
        <v>1E-3</v>
      </c>
      <c r="I13" s="770">
        <f>G13*H13</f>
        <v>0.41949999999999998</v>
      </c>
      <c r="J13" s="758"/>
      <c r="K13" s="760"/>
      <c r="L13" s="760"/>
      <c r="M13" s="760"/>
      <c r="N13" s="760"/>
      <c r="O13" s="759"/>
      <c r="P13" s="759"/>
      <c r="Q13" s="759"/>
      <c r="R13" s="759"/>
      <c r="S13" s="759"/>
      <c r="T13" s="759"/>
      <c r="U13" s="759"/>
      <c r="V13" s="759"/>
      <c r="W13" s="759"/>
      <c r="X13" s="759"/>
      <c r="Y13" s="759"/>
      <c r="Z13" s="759"/>
      <c r="AA13" s="755"/>
      <c r="AB13" s="755"/>
      <c r="AC13" s="773"/>
      <c r="AD13" s="802"/>
      <c r="AF13" s="821"/>
      <c r="AG13" s="802"/>
      <c r="AH13" s="805"/>
      <c r="AI13" s="805"/>
      <c r="AJ13" s="827"/>
      <c r="AK13" s="805"/>
      <c r="AL13" s="806"/>
      <c r="AM13" s="805"/>
      <c r="AN13" s="805"/>
      <c r="AO13" s="807"/>
      <c r="AP13" s="805"/>
      <c r="AQ13" s="805"/>
      <c r="AR13" s="807"/>
      <c r="AS13" s="807"/>
      <c r="AT13" s="805"/>
      <c r="AU13" s="805"/>
      <c r="AV13" s="807"/>
      <c r="AW13" s="802"/>
      <c r="AX13" s="802"/>
      <c r="AY13" s="802"/>
      <c r="AZ13" s="802"/>
      <c r="BA13" s="802"/>
    </row>
    <row r="14" spans="1:53" s="803" customFormat="1" ht="12.75" customHeight="1" x14ac:dyDescent="0.25">
      <c r="A14" s="1115"/>
      <c r="B14" s="754" t="s">
        <v>1179</v>
      </c>
      <c r="C14" s="784">
        <v>1.5</v>
      </c>
      <c r="D14" s="820"/>
      <c r="E14" s="767" t="s">
        <v>1444</v>
      </c>
      <c r="F14" s="768" t="s">
        <v>1443</v>
      </c>
      <c r="G14" s="769">
        <v>872</v>
      </c>
      <c r="H14" s="768">
        <v>2E-3</v>
      </c>
      <c r="I14" s="770">
        <f>G14*H14</f>
        <v>1.744</v>
      </c>
      <c r="J14" s="758"/>
      <c r="K14" s="760"/>
      <c r="L14" s="760"/>
      <c r="M14" s="760"/>
      <c r="N14" s="760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5"/>
      <c r="AB14" s="755"/>
      <c r="AC14" s="773"/>
      <c r="AD14" s="802"/>
      <c r="AF14" s="821"/>
      <c r="AG14" s="802"/>
      <c r="AH14" s="805"/>
      <c r="AI14" s="805"/>
      <c r="AJ14" s="827"/>
      <c r="AK14" s="805"/>
      <c r="AL14" s="806"/>
      <c r="AM14" s="805"/>
      <c r="AN14" s="805"/>
      <c r="AO14" s="807"/>
      <c r="AP14" s="805"/>
      <c r="AQ14" s="805"/>
      <c r="AR14" s="807"/>
      <c r="AS14" s="807"/>
      <c r="AT14" s="805"/>
      <c r="AU14" s="805"/>
      <c r="AV14" s="807"/>
      <c r="AW14" s="802"/>
      <c r="AX14" s="802"/>
      <c r="AY14" s="802"/>
      <c r="AZ14" s="802"/>
      <c r="BA14" s="802"/>
    </row>
    <row r="15" spans="1:53" s="803" customFormat="1" ht="12.75" customHeight="1" x14ac:dyDescent="0.25">
      <c r="A15" s="1115"/>
      <c r="B15" s="782" t="s">
        <v>1181</v>
      </c>
      <c r="C15" s="778">
        <f>C10*C13+C11*C14</f>
        <v>35.092367699498666</v>
      </c>
      <c r="D15" s="820"/>
      <c r="E15" s="767"/>
      <c r="F15" s="781"/>
      <c r="G15" s="769"/>
      <c r="H15" s="768"/>
      <c r="I15" s="770"/>
      <c r="J15" s="758"/>
      <c r="K15" s="828"/>
      <c r="L15" s="776"/>
      <c r="M15" s="771"/>
      <c r="N15" s="760"/>
      <c r="O15" s="759"/>
      <c r="P15" s="759"/>
      <c r="Q15" s="759"/>
      <c r="R15" s="759"/>
      <c r="S15" s="759"/>
      <c r="T15" s="759"/>
      <c r="U15" s="759"/>
      <c r="V15" s="759"/>
      <c r="W15" s="759"/>
      <c r="X15" s="759"/>
      <c r="Y15" s="759"/>
      <c r="Z15" s="759"/>
      <c r="AA15" s="755"/>
      <c r="AB15" s="755"/>
      <c r="AC15" s="773"/>
      <c r="AD15" s="802"/>
      <c r="AF15" s="821"/>
      <c r="AG15" s="802"/>
      <c r="AH15" s="805"/>
      <c r="AI15" s="805"/>
      <c r="AJ15" s="822"/>
      <c r="AK15" s="805"/>
      <c r="AL15" s="806"/>
      <c r="AM15" s="805"/>
      <c r="AN15" s="805"/>
      <c r="AO15" s="807"/>
      <c r="AP15" s="805"/>
      <c r="AQ15" s="805"/>
      <c r="AR15" s="807"/>
      <c r="AS15" s="807"/>
      <c r="AT15" s="805"/>
      <c r="AU15" s="805"/>
      <c r="AV15" s="807"/>
      <c r="AW15" s="802"/>
      <c r="AX15" s="802"/>
      <c r="AY15" s="802"/>
      <c r="AZ15" s="802"/>
      <c r="BA15" s="802"/>
    </row>
    <row r="16" spans="1:53" s="803" customFormat="1" ht="13.5" customHeight="1" x14ac:dyDescent="0.25">
      <c r="A16" s="1116"/>
      <c r="B16" s="783"/>
      <c r="C16" s="784"/>
      <c r="D16" s="829"/>
      <c r="E16" s="767"/>
      <c r="F16" s="781"/>
      <c r="G16" s="769"/>
      <c r="H16" s="768"/>
      <c r="I16" s="770"/>
      <c r="J16" s="758"/>
      <c r="K16" s="828"/>
      <c r="L16" s="760"/>
      <c r="M16" s="771"/>
      <c r="N16" s="760"/>
      <c r="O16" s="759"/>
      <c r="P16" s="759"/>
      <c r="Q16" s="759"/>
      <c r="R16" s="759"/>
      <c r="S16" s="759"/>
      <c r="T16" s="759"/>
      <c r="U16" s="759"/>
      <c r="V16" s="759"/>
      <c r="W16" s="759"/>
      <c r="X16" s="759"/>
      <c r="Y16" s="759"/>
      <c r="Z16" s="759"/>
      <c r="AA16" s="755"/>
      <c r="AB16" s="755"/>
      <c r="AC16" s="773"/>
      <c r="AD16" s="802"/>
      <c r="AF16" s="821"/>
      <c r="AG16" s="802"/>
      <c r="AH16" s="805"/>
      <c r="AI16" s="805"/>
      <c r="AJ16" s="827"/>
      <c r="AK16" s="805"/>
      <c r="AL16" s="806"/>
      <c r="AM16" s="805"/>
      <c r="AN16" s="805"/>
      <c r="AO16" s="807"/>
      <c r="AP16" s="805"/>
      <c r="AQ16" s="805"/>
      <c r="AR16" s="807"/>
      <c r="AS16" s="807"/>
      <c r="AT16" s="805"/>
      <c r="AU16" s="805"/>
      <c r="AV16" s="807"/>
      <c r="AW16" s="802"/>
      <c r="AX16" s="802"/>
      <c r="AY16" s="802"/>
      <c r="AZ16" s="802"/>
      <c r="BA16" s="802"/>
    </row>
    <row r="17" spans="1:53" s="803" customFormat="1" ht="56.25" customHeight="1" x14ac:dyDescent="0.25">
      <c r="A17" s="1114" t="s">
        <v>2</v>
      </c>
      <c r="B17" s="788"/>
      <c r="C17" s="788"/>
      <c r="D17" s="800"/>
      <c r="E17" s="791" t="s">
        <v>488</v>
      </c>
      <c r="F17" s="792" t="s">
        <v>837</v>
      </c>
      <c r="G17" s="788" t="s">
        <v>489</v>
      </c>
      <c r="H17" s="791" t="s">
        <v>1170</v>
      </c>
      <c r="I17" s="792" t="s">
        <v>838</v>
      </c>
      <c r="J17" s="793" t="s">
        <v>1171</v>
      </c>
      <c r="K17" s="793" t="s">
        <v>490</v>
      </c>
      <c r="L17" s="794" t="s">
        <v>489</v>
      </c>
      <c r="M17" s="793" t="s">
        <v>1172</v>
      </c>
      <c r="N17" s="792" t="s">
        <v>838</v>
      </c>
      <c r="O17" s="793" t="s">
        <v>1171</v>
      </c>
      <c r="P17" s="793" t="s">
        <v>826</v>
      </c>
      <c r="Q17" s="793" t="s">
        <v>1173</v>
      </c>
      <c r="R17" s="793" t="s">
        <v>1174</v>
      </c>
      <c r="S17" s="793" t="s">
        <v>839</v>
      </c>
      <c r="T17" s="793" t="s">
        <v>1171</v>
      </c>
      <c r="U17" s="793" t="s">
        <v>1392</v>
      </c>
      <c r="V17" s="793" t="s">
        <v>841</v>
      </c>
      <c r="W17" s="795" t="s">
        <v>1173</v>
      </c>
      <c r="X17" s="793" t="s">
        <v>1394</v>
      </c>
      <c r="Y17" s="793" t="s">
        <v>839</v>
      </c>
      <c r="Z17" s="796"/>
      <c r="AA17" s="755"/>
      <c r="AB17" s="755"/>
      <c r="AC17" s="773"/>
      <c r="AD17" s="802"/>
      <c r="AF17" s="804"/>
      <c r="AG17" s="802"/>
      <c r="AH17" s="805"/>
      <c r="AI17" s="805"/>
      <c r="AJ17" s="805"/>
      <c r="AK17" s="805"/>
      <c r="AL17" s="806"/>
      <c r="AM17" s="805"/>
      <c r="AN17" s="805"/>
      <c r="AO17" s="807"/>
      <c r="AP17" s="805"/>
      <c r="AQ17" s="808"/>
      <c r="AR17" s="808"/>
      <c r="AS17" s="808"/>
      <c r="AT17" s="805"/>
      <c r="AU17" s="805"/>
      <c r="AV17" s="807"/>
      <c r="AW17" s="802"/>
      <c r="AX17" s="802"/>
      <c r="AY17" s="802"/>
      <c r="AZ17" s="802"/>
      <c r="BA17" s="802"/>
    </row>
    <row r="18" spans="1:53" s="803" customFormat="1" ht="12" customHeight="1" x14ac:dyDescent="0.25">
      <c r="A18" s="1115"/>
      <c r="B18" s="752" t="s">
        <v>1175</v>
      </c>
      <c r="C18" s="788">
        <f>C25</f>
        <v>46.789823599331555</v>
      </c>
      <c r="D18" s="800">
        <f>C18*$D$5</f>
        <v>9.4515443670649741</v>
      </c>
      <c r="E18" s="754" t="s">
        <v>1176</v>
      </c>
      <c r="F18" s="810"/>
      <c r="G18" s="756"/>
      <c r="H18" s="756"/>
      <c r="I18" s="757">
        <f>SUM(I19:I26)</f>
        <v>11.701599999999999</v>
      </c>
      <c r="J18" s="758" t="s">
        <v>1176</v>
      </c>
      <c r="K18" s="811"/>
      <c r="L18" s="759"/>
      <c r="M18" s="759"/>
      <c r="N18" s="760">
        <f>SUM(N19:N26)</f>
        <v>0.16016860783655293</v>
      </c>
      <c r="O18" s="759" t="s">
        <v>1176</v>
      </c>
      <c r="P18" s="759"/>
      <c r="Q18" s="812"/>
      <c r="R18" s="813"/>
      <c r="S18" s="760">
        <f>SUM(S19:S26)</f>
        <v>2.6225334034393177</v>
      </c>
      <c r="T18" s="760"/>
      <c r="U18" s="760"/>
      <c r="V18" s="760"/>
      <c r="W18" s="760"/>
      <c r="X18" s="760"/>
      <c r="Y18" s="760">
        <f>SUM(Y19:Y26)</f>
        <v>4.2472967570827658</v>
      </c>
      <c r="Z18" s="762">
        <f>(C18+D18+I18+N18+S18+Y18)*$Z$5</f>
        <v>97.478928640841147</v>
      </c>
      <c r="AA18" s="763">
        <f>C18+D18+I18+N18+S18+Y18+Z18</f>
        <v>172.45189537559634</v>
      </c>
      <c r="AB18" s="764">
        <v>0.25</v>
      </c>
      <c r="AC18" s="765">
        <f>AA18*(1+AB18)</f>
        <v>215.56486921949542</v>
      </c>
      <c r="AD18" s="814"/>
      <c r="AF18" s="804"/>
      <c r="AG18" s="802"/>
      <c r="AH18" s="805"/>
      <c r="AI18" s="808"/>
      <c r="AJ18" s="815"/>
      <c r="AK18" s="816"/>
      <c r="AL18" s="806"/>
      <c r="AM18" s="817"/>
      <c r="AN18" s="818"/>
      <c r="AO18" s="817"/>
      <c r="AP18" s="808"/>
      <c r="AQ18" s="808"/>
      <c r="AR18" s="808"/>
      <c r="AS18" s="808"/>
      <c r="AT18" s="808"/>
      <c r="AU18" s="817"/>
      <c r="AV18" s="817"/>
      <c r="AW18" s="819"/>
      <c r="AX18" s="802"/>
      <c r="AY18" s="802"/>
      <c r="AZ18" s="802"/>
      <c r="BA18" s="802"/>
    </row>
    <row r="19" spans="1:53" s="803" customFormat="1" ht="12.75" customHeight="1" x14ac:dyDescent="0.25">
      <c r="A19" s="1115"/>
      <c r="B19" s="766" t="s">
        <v>830</v>
      </c>
      <c r="C19" s="788"/>
      <c r="D19" s="820"/>
      <c r="E19" s="767" t="s">
        <v>1437</v>
      </c>
      <c r="F19" s="768" t="s">
        <v>1438</v>
      </c>
      <c r="G19" s="769">
        <v>0.74</v>
      </c>
      <c r="H19" s="768">
        <v>0.01</v>
      </c>
      <c r="I19" s="770">
        <f t="shared" ref="I19:I24" si="0">G19*H19</f>
        <v>7.4000000000000003E-3</v>
      </c>
      <c r="J19" s="758" t="s">
        <v>1291</v>
      </c>
      <c r="K19" s="771">
        <v>2</v>
      </c>
      <c r="L19" s="772">
        <v>750</v>
      </c>
      <c r="M19" s="771">
        <v>2</v>
      </c>
      <c r="N19" s="790">
        <f>L19/'Исп. коэффициенты'!E46*C24</f>
        <v>0.1380763860659939</v>
      </c>
      <c r="O19" s="759" t="s">
        <v>120</v>
      </c>
      <c r="P19" s="759">
        <v>6035</v>
      </c>
      <c r="Q19" s="759">
        <v>19.670000000000002</v>
      </c>
      <c r="R19" s="759">
        <f>P19*Q19%</f>
        <v>1187.0845000000002</v>
      </c>
      <c r="S19" s="759">
        <f>R19/'Исп. коэффициенты'!F46*C24</f>
        <v>2.6225334034393177</v>
      </c>
      <c r="T19" s="755" t="s">
        <v>1435</v>
      </c>
      <c r="U19" s="756">
        <v>6785401.3499999996</v>
      </c>
      <c r="V19" s="785">
        <f>'Исп. коэффициенты'!E124</f>
        <v>2978.5</v>
      </c>
      <c r="W19" s="761">
        <f>'Исп. коэффициенты'!D124</f>
        <v>1.3599999999999999E-2</v>
      </c>
      <c r="X19" s="760">
        <f>U19*W19</f>
        <v>92281.45835999999</v>
      </c>
      <c r="Y19" s="759">
        <f>X19/'Исп. коэффициенты'!E46/2</f>
        <v>4.2472967570827658</v>
      </c>
      <c r="Z19" s="759"/>
      <c r="AA19" s="755"/>
      <c r="AB19" s="755"/>
      <c r="AC19" s="773"/>
      <c r="AD19" s="802"/>
      <c r="AF19" s="821"/>
      <c r="AG19" s="802"/>
      <c r="AH19" s="805"/>
      <c r="AI19" s="805"/>
      <c r="AJ19" s="822"/>
      <c r="AK19" s="805"/>
      <c r="AL19" s="806"/>
      <c r="AM19" s="805"/>
      <c r="AN19" s="805"/>
      <c r="AO19" s="807"/>
      <c r="AP19" s="805"/>
      <c r="AQ19" s="805"/>
      <c r="AR19" s="807"/>
      <c r="AS19" s="807"/>
      <c r="AT19" s="805"/>
      <c r="AU19" s="805"/>
      <c r="AV19" s="807"/>
      <c r="AW19" s="802"/>
      <c r="AX19" s="802"/>
      <c r="AY19" s="802"/>
      <c r="AZ19" s="802"/>
      <c r="BA19" s="802"/>
    </row>
    <row r="20" spans="1:53" s="803" customFormat="1" x14ac:dyDescent="0.25">
      <c r="A20" s="1115"/>
      <c r="B20" s="774" t="s">
        <v>1178</v>
      </c>
      <c r="C20" s="753"/>
      <c r="D20" s="820"/>
      <c r="E20" s="767" t="s">
        <v>1439</v>
      </c>
      <c r="F20" s="768" t="s">
        <v>1438</v>
      </c>
      <c r="G20" s="769">
        <v>0.27</v>
      </c>
      <c r="H20" s="768">
        <v>0.01</v>
      </c>
      <c r="I20" s="775">
        <f t="shared" si="0"/>
        <v>2.7000000000000001E-3</v>
      </c>
      <c r="J20" s="758" t="s">
        <v>1445</v>
      </c>
      <c r="K20" s="760">
        <v>2</v>
      </c>
      <c r="L20" s="776">
        <v>95</v>
      </c>
      <c r="M20" s="771">
        <v>2</v>
      </c>
      <c r="N20" s="790">
        <f>L20/'Исп. коэффициенты'!E46*C24</f>
        <v>1.7489675568359227E-2</v>
      </c>
      <c r="O20" s="759"/>
      <c r="P20" s="759"/>
      <c r="Q20" s="759"/>
      <c r="R20" s="759"/>
      <c r="S20" s="759"/>
      <c r="T20" s="759"/>
      <c r="U20" s="759"/>
      <c r="V20" s="759"/>
      <c r="W20" s="759"/>
      <c r="X20" s="759"/>
      <c r="Y20" s="759"/>
      <c r="Z20" s="759"/>
      <c r="AA20" s="755"/>
      <c r="AB20" s="755"/>
      <c r="AC20" s="773"/>
      <c r="AD20" s="802"/>
      <c r="AF20" s="821"/>
      <c r="AG20" s="802"/>
      <c r="AH20" s="805"/>
      <c r="AI20" s="805"/>
      <c r="AJ20" s="822"/>
      <c r="AK20" s="805"/>
      <c r="AL20" s="806"/>
      <c r="AM20" s="824"/>
      <c r="AN20" s="805"/>
      <c r="AO20" s="807"/>
      <c r="AP20" s="805"/>
      <c r="AQ20" s="805"/>
      <c r="AR20" s="807"/>
      <c r="AS20" s="807"/>
      <c r="AT20" s="805"/>
      <c r="AU20" s="805"/>
      <c r="AV20" s="807"/>
      <c r="AW20" s="802"/>
      <c r="AX20" s="802"/>
      <c r="AY20" s="802"/>
      <c r="AZ20" s="802"/>
      <c r="BA20" s="802"/>
    </row>
    <row r="21" spans="1:53" s="803" customFormat="1" ht="12.75" customHeight="1" x14ac:dyDescent="0.25">
      <c r="A21" s="1115"/>
      <c r="B21" s="754" t="s">
        <v>1179</v>
      </c>
      <c r="C21" s="788">
        <f>C11</f>
        <v>23.394911799665778</v>
      </c>
      <c r="D21" s="820"/>
      <c r="E21" s="767"/>
      <c r="F21" s="768"/>
      <c r="G21" s="769"/>
      <c r="H21" s="769"/>
      <c r="I21" s="770"/>
      <c r="J21" s="758" t="s">
        <v>1513</v>
      </c>
      <c r="K21" s="760">
        <v>2</v>
      </c>
      <c r="L21" s="760">
        <v>25</v>
      </c>
      <c r="M21" s="771">
        <v>0.5</v>
      </c>
      <c r="N21" s="790">
        <f>L21/'Исп. коэффициенты'!E46*C24</f>
        <v>4.6025462021997967E-3</v>
      </c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5"/>
      <c r="AB21" s="755"/>
      <c r="AC21" s="773"/>
      <c r="AD21" s="802"/>
      <c r="AF21" s="821"/>
      <c r="AG21" s="802"/>
      <c r="AH21" s="805"/>
      <c r="AI21" s="805"/>
      <c r="AJ21" s="822"/>
      <c r="AK21" s="805"/>
      <c r="AL21" s="806"/>
      <c r="AM21" s="805"/>
      <c r="AN21" s="805"/>
      <c r="AO21" s="807"/>
      <c r="AP21" s="805"/>
      <c r="AQ21" s="805"/>
      <c r="AR21" s="807"/>
      <c r="AS21" s="807"/>
      <c r="AT21" s="805"/>
      <c r="AU21" s="805"/>
      <c r="AV21" s="807"/>
      <c r="AW21" s="802"/>
      <c r="AX21" s="802"/>
      <c r="AY21" s="802"/>
      <c r="AZ21" s="802"/>
      <c r="BA21" s="802"/>
    </row>
    <row r="22" spans="1:53" s="803" customFormat="1" ht="12.75" customHeight="1" x14ac:dyDescent="0.25">
      <c r="A22" s="1115"/>
      <c r="B22" s="754" t="s">
        <v>831</v>
      </c>
      <c r="C22" s="789"/>
      <c r="D22" s="820"/>
      <c r="E22" s="767" t="s">
        <v>3</v>
      </c>
      <c r="F22" s="768" t="s">
        <v>1</v>
      </c>
      <c r="G22" s="769">
        <v>95.28</v>
      </c>
      <c r="H22" s="768">
        <v>0.1</v>
      </c>
      <c r="I22" s="770">
        <f t="shared" si="0"/>
        <v>9.5280000000000005</v>
      </c>
      <c r="J22" s="758"/>
      <c r="K22" s="760"/>
      <c r="L22" s="760"/>
      <c r="M22" s="760"/>
      <c r="N22" s="760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5"/>
      <c r="AB22" s="755"/>
      <c r="AC22" s="773"/>
      <c r="AD22" s="802"/>
      <c r="AF22" s="821"/>
      <c r="AG22" s="802"/>
      <c r="AH22" s="805"/>
      <c r="AI22" s="805"/>
      <c r="AJ22" s="822"/>
      <c r="AK22" s="805"/>
      <c r="AL22" s="806"/>
      <c r="AM22" s="805"/>
      <c r="AN22" s="805"/>
      <c r="AO22" s="807"/>
      <c r="AP22" s="805"/>
      <c r="AQ22" s="805"/>
      <c r="AR22" s="807"/>
      <c r="AS22" s="807"/>
      <c r="AT22" s="805"/>
      <c r="AU22" s="805"/>
      <c r="AV22" s="807"/>
      <c r="AW22" s="802"/>
      <c r="AX22" s="802"/>
      <c r="AY22" s="802"/>
      <c r="AZ22" s="802"/>
      <c r="BA22" s="802"/>
    </row>
    <row r="23" spans="1:53" s="803" customFormat="1" ht="12.75" customHeight="1" x14ac:dyDescent="0.25">
      <c r="A23" s="1115"/>
      <c r="B23" s="774" t="s">
        <v>1178</v>
      </c>
      <c r="C23" s="784"/>
      <c r="D23" s="820"/>
      <c r="E23" s="767" t="s">
        <v>1442</v>
      </c>
      <c r="F23" s="768" t="s">
        <v>1443</v>
      </c>
      <c r="G23" s="769">
        <v>419.5</v>
      </c>
      <c r="H23" s="768">
        <v>1E-3</v>
      </c>
      <c r="I23" s="770">
        <f t="shared" si="0"/>
        <v>0.41949999999999998</v>
      </c>
      <c r="J23" s="758"/>
      <c r="K23" s="760"/>
      <c r="L23" s="760"/>
      <c r="M23" s="760"/>
      <c r="N23" s="760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5"/>
      <c r="AB23" s="755"/>
      <c r="AC23" s="773"/>
      <c r="AD23" s="802"/>
      <c r="AF23" s="821"/>
      <c r="AG23" s="802"/>
      <c r="AH23" s="805"/>
      <c r="AI23" s="805"/>
      <c r="AJ23" s="827"/>
      <c r="AK23" s="805"/>
      <c r="AL23" s="806"/>
      <c r="AM23" s="805"/>
      <c r="AN23" s="805"/>
      <c r="AO23" s="807"/>
      <c r="AP23" s="805"/>
      <c r="AQ23" s="805"/>
      <c r="AR23" s="807"/>
      <c r="AS23" s="807"/>
      <c r="AT23" s="805"/>
      <c r="AU23" s="805"/>
      <c r="AV23" s="807"/>
      <c r="AW23" s="802"/>
      <c r="AX23" s="802"/>
      <c r="AY23" s="802"/>
      <c r="AZ23" s="802"/>
      <c r="BA23" s="802"/>
    </row>
    <row r="24" spans="1:53" s="803" customFormat="1" ht="12.75" customHeight="1" x14ac:dyDescent="0.25">
      <c r="A24" s="1115"/>
      <c r="B24" s="754" t="s">
        <v>1179</v>
      </c>
      <c r="C24" s="784">
        <v>2</v>
      </c>
      <c r="D24" s="820"/>
      <c r="E24" s="767" t="s">
        <v>1444</v>
      </c>
      <c r="F24" s="768" t="s">
        <v>1443</v>
      </c>
      <c r="G24" s="769">
        <v>872</v>
      </c>
      <c r="H24" s="768">
        <v>2E-3</v>
      </c>
      <c r="I24" s="770">
        <f t="shared" si="0"/>
        <v>1.744</v>
      </c>
      <c r="J24" s="758"/>
      <c r="K24" s="760"/>
      <c r="L24" s="760"/>
      <c r="M24" s="760"/>
      <c r="N24" s="760"/>
      <c r="O24" s="759"/>
      <c r="P24" s="759"/>
      <c r="Q24" s="759"/>
      <c r="R24" s="759"/>
      <c r="S24" s="759"/>
      <c r="T24" s="759"/>
      <c r="U24" s="759"/>
      <c r="V24" s="759"/>
      <c r="W24" s="759"/>
      <c r="X24" s="759"/>
      <c r="Y24" s="759"/>
      <c r="Z24" s="759"/>
      <c r="AA24" s="755"/>
      <c r="AB24" s="755"/>
      <c r="AC24" s="773"/>
      <c r="AD24" s="802"/>
      <c r="AF24" s="821"/>
      <c r="AG24" s="802"/>
      <c r="AH24" s="805"/>
      <c r="AI24" s="805"/>
      <c r="AJ24" s="827"/>
      <c r="AK24" s="805"/>
      <c r="AL24" s="806"/>
      <c r="AM24" s="805"/>
      <c r="AN24" s="805"/>
      <c r="AO24" s="807"/>
      <c r="AP24" s="805"/>
      <c r="AQ24" s="805"/>
      <c r="AR24" s="807"/>
      <c r="AS24" s="807"/>
      <c r="AT24" s="805"/>
      <c r="AU24" s="805"/>
      <c r="AV24" s="807"/>
      <c r="AW24" s="802"/>
      <c r="AX24" s="802"/>
      <c r="AY24" s="802"/>
      <c r="AZ24" s="802"/>
      <c r="BA24" s="802"/>
    </row>
    <row r="25" spans="1:53" s="803" customFormat="1" ht="12.75" customHeight="1" x14ac:dyDescent="0.25">
      <c r="A25" s="1115"/>
      <c r="B25" s="782" t="s">
        <v>1181</v>
      </c>
      <c r="C25" s="788">
        <f>C20*C23+C21*C24</f>
        <v>46.789823599331555</v>
      </c>
      <c r="D25" s="820"/>
      <c r="E25" s="767"/>
      <c r="F25" s="781"/>
      <c r="G25" s="769"/>
      <c r="H25" s="768"/>
      <c r="I25" s="770"/>
      <c r="J25" s="758"/>
      <c r="K25" s="828"/>
      <c r="L25" s="776"/>
      <c r="M25" s="771"/>
      <c r="N25" s="760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5"/>
      <c r="AB25" s="755"/>
      <c r="AC25" s="773"/>
      <c r="AD25" s="802"/>
      <c r="AF25" s="821"/>
      <c r="AG25" s="802"/>
      <c r="AH25" s="805"/>
      <c r="AI25" s="805"/>
      <c r="AJ25" s="822"/>
      <c r="AK25" s="805"/>
      <c r="AL25" s="806"/>
      <c r="AM25" s="805"/>
      <c r="AN25" s="805"/>
      <c r="AO25" s="807"/>
      <c r="AP25" s="805"/>
      <c r="AQ25" s="805"/>
      <c r="AR25" s="807"/>
      <c r="AS25" s="807"/>
      <c r="AT25" s="805"/>
      <c r="AU25" s="805"/>
      <c r="AV25" s="807"/>
      <c r="AW25" s="802"/>
      <c r="AX25" s="802"/>
      <c r="AY25" s="802"/>
      <c r="AZ25" s="802"/>
      <c r="BA25" s="802"/>
    </row>
    <row r="26" spans="1:53" s="803" customFormat="1" ht="13.5" customHeight="1" x14ac:dyDescent="0.25">
      <c r="A26" s="1116"/>
      <c r="B26" s="783"/>
      <c r="C26" s="784"/>
      <c r="D26" s="829"/>
      <c r="E26" s="767"/>
      <c r="F26" s="781"/>
      <c r="G26" s="769"/>
      <c r="H26" s="768"/>
      <c r="I26" s="770"/>
      <c r="J26" s="758"/>
      <c r="K26" s="828"/>
      <c r="L26" s="760"/>
      <c r="M26" s="771"/>
      <c r="N26" s="760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5"/>
      <c r="AB26" s="755"/>
      <c r="AC26" s="773"/>
      <c r="AD26" s="802"/>
      <c r="AF26" s="821"/>
      <c r="AG26" s="802"/>
      <c r="AH26" s="805"/>
      <c r="AI26" s="805"/>
      <c r="AJ26" s="827"/>
      <c r="AK26" s="805"/>
      <c r="AL26" s="806"/>
      <c r="AM26" s="805"/>
      <c r="AN26" s="805"/>
      <c r="AO26" s="807"/>
      <c r="AP26" s="805"/>
      <c r="AQ26" s="805"/>
      <c r="AR26" s="807"/>
      <c r="AS26" s="807"/>
      <c r="AT26" s="805"/>
      <c r="AU26" s="805"/>
      <c r="AV26" s="807"/>
      <c r="AW26" s="802"/>
      <c r="AX26" s="802"/>
      <c r="AY26" s="802"/>
      <c r="AZ26" s="802"/>
      <c r="BA26" s="802"/>
    </row>
    <row r="27" spans="1:53" ht="56.25" customHeight="1" x14ac:dyDescent="0.25">
      <c r="A27" s="1012" t="s">
        <v>105</v>
      </c>
      <c r="B27" s="51"/>
      <c r="C27" s="51"/>
      <c r="D27" s="219"/>
      <c r="E27" s="52" t="s">
        <v>488</v>
      </c>
      <c r="F27" s="53" t="s">
        <v>837</v>
      </c>
      <c r="G27" s="51" t="s">
        <v>489</v>
      </c>
      <c r="H27" s="52" t="s">
        <v>1170</v>
      </c>
      <c r="I27" s="53" t="s">
        <v>838</v>
      </c>
      <c r="J27" s="47" t="s">
        <v>1171</v>
      </c>
      <c r="K27" s="47" t="s">
        <v>490</v>
      </c>
      <c r="L27" s="54" t="s">
        <v>489</v>
      </c>
      <c r="M27" s="47" t="s">
        <v>1172</v>
      </c>
      <c r="N27" s="53" t="s">
        <v>838</v>
      </c>
      <c r="O27" s="47" t="s">
        <v>1171</v>
      </c>
      <c r="P27" s="47" t="s">
        <v>826</v>
      </c>
      <c r="Q27" s="47" t="s">
        <v>1173</v>
      </c>
      <c r="R27" s="47" t="s">
        <v>1174</v>
      </c>
      <c r="S27" s="47" t="s">
        <v>839</v>
      </c>
      <c r="T27" s="47" t="s">
        <v>1171</v>
      </c>
      <c r="U27" s="47" t="s">
        <v>1392</v>
      </c>
      <c r="V27" s="47" t="s">
        <v>841</v>
      </c>
      <c r="W27" s="231" t="s">
        <v>1173</v>
      </c>
      <c r="X27" s="47" t="s">
        <v>1394</v>
      </c>
      <c r="Y27" s="47" t="s">
        <v>839</v>
      </c>
      <c r="Z27" s="55"/>
      <c r="AA27" s="1"/>
      <c r="AB27" s="1"/>
      <c r="AC27" s="245"/>
      <c r="AD27" s="56"/>
      <c r="AQ27" s="139"/>
      <c r="AR27" s="139"/>
      <c r="AS27" s="139"/>
    </row>
    <row r="28" spans="1:53" ht="12" customHeight="1" x14ac:dyDescent="0.25">
      <c r="A28" s="1013"/>
      <c r="B28" s="36" t="s">
        <v>1175</v>
      </c>
      <c r="C28" s="51">
        <f>C35</f>
        <v>46.789823599331555</v>
      </c>
      <c r="D28" s="219">
        <f>C28*$D$5</f>
        <v>9.4515443670649741</v>
      </c>
      <c r="E28" s="57" t="s">
        <v>1176</v>
      </c>
      <c r="F28" s="165"/>
      <c r="G28" s="58"/>
      <c r="H28" s="58"/>
      <c r="I28" s="2">
        <f>SUM(I29:I36)</f>
        <v>4.6735999999999995</v>
      </c>
      <c r="J28" s="59" t="s">
        <v>1176</v>
      </c>
      <c r="K28" s="169"/>
      <c r="L28" s="60"/>
      <c r="M28" s="60"/>
      <c r="N28" s="61">
        <f>SUM(N29:N36)</f>
        <v>8.4000000000000005E-2</v>
      </c>
      <c r="O28" s="60" t="s">
        <v>1176</v>
      </c>
      <c r="P28" s="60"/>
      <c r="Q28" s="62"/>
      <c r="R28" s="63"/>
      <c r="S28" s="61">
        <f>SUM(S29:S36)</f>
        <v>1.0943000000000001</v>
      </c>
      <c r="T28" s="61"/>
      <c r="U28" s="61"/>
      <c r="V28" s="61"/>
      <c r="W28" s="61"/>
      <c r="X28" s="61"/>
      <c r="Y28" s="61">
        <f>SUM(Y29:Y36)</f>
        <v>9.1999999999999998E-3</v>
      </c>
      <c r="Z28" s="64">
        <f>(C28+D28+I28+N28+S28+Y28)*$Z$5</f>
        <v>80.744864542090866</v>
      </c>
      <c r="AA28" s="65">
        <f>C28+D28+I28+N28+S28+Y28+Z28</f>
        <v>142.8473325084874</v>
      </c>
      <c r="AB28" s="66">
        <v>0.25</v>
      </c>
      <c r="AC28" s="244">
        <f>AA28*(1+AB28)</f>
        <v>178.55916563560925</v>
      </c>
      <c r="AD28" s="67"/>
      <c r="AI28" s="139"/>
      <c r="AJ28" s="140"/>
      <c r="AK28" s="141"/>
      <c r="AM28" s="142"/>
      <c r="AN28" s="143"/>
      <c r="AO28" s="142"/>
      <c r="AP28" s="139"/>
      <c r="AQ28" s="139"/>
      <c r="AR28" s="139"/>
      <c r="AS28" s="139"/>
      <c r="AT28" s="139"/>
      <c r="AU28" s="142"/>
      <c r="AV28" s="142"/>
      <c r="AW28" s="144"/>
    </row>
    <row r="29" spans="1:53" ht="12.75" customHeight="1" x14ac:dyDescent="0.25">
      <c r="A29" s="1013"/>
      <c r="B29" s="50" t="s">
        <v>830</v>
      </c>
      <c r="C29" s="51"/>
      <c r="D29" s="220"/>
      <c r="E29" s="68" t="s">
        <v>1437</v>
      </c>
      <c r="F29" s="69" t="s">
        <v>1438</v>
      </c>
      <c r="G29" s="70">
        <v>0.74</v>
      </c>
      <c r="H29" s="69">
        <v>0.01</v>
      </c>
      <c r="I29" s="71">
        <f t="shared" ref="I29:I34" si="1">G29*H29</f>
        <v>7.4000000000000003E-3</v>
      </c>
      <c r="J29" s="59" t="s">
        <v>1291</v>
      </c>
      <c r="K29" s="61">
        <v>2</v>
      </c>
      <c r="L29" s="61">
        <v>640</v>
      </c>
      <c r="M29" s="61">
        <v>2</v>
      </c>
      <c r="N29" s="61">
        <v>0.05</v>
      </c>
      <c r="O29" s="60" t="s">
        <v>120</v>
      </c>
      <c r="P29" s="60">
        <v>6035</v>
      </c>
      <c r="Q29" s="60">
        <v>19.670000000000002</v>
      </c>
      <c r="R29" s="60">
        <f>P29*Q29%</f>
        <v>1187.0845000000002</v>
      </c>
      <c r="S29" s="60">
        <v>1.0943000000000001</v>
      </c>
      <c r="T29" s="239" t="s">
        <v>1435</v>
      </c>
      <c r="U29" s="240">
        <v>6785401.3499999996</v>
      </c>
      <c r="V29" s="241">
        <v>1.32E-2</v>
      </c>
      <c r="W29" s="239">
        <v>1508.3</v>
      </c>
      <c r="X29" s="61">
        <v>59.38</v>
      </c>
      <c r="Y29" s="60">
        <v>9.1999999999999998E-3</v>
      </c>
      <c r="Z29" s="60"/>
      <c r="AA29" s="1"/>
      <c r="AB29" s="1"/>
      <c r="AC29" s="245"/>
      <c r="AD29" s="56"/>
      <c r="AF29" s="151"/>
      <c r="AJ29" s="136"/>
    </row>
    <row r="30" spans="1:53" x14ac:dyDescent="0.25">
      <c r="A30" s="1013"/>
      <c r="B30" s="74" t="s">
        <v>1178</v>
      </c>
      <c r="C30" s="75"/>
      <c r="D30" s="220"/>
      <c r="E30" s="68" t="s">
        <v>1439</v>
      </c>
      <c r="F30" s="69" t="s">
        <v>1438</v>
      </c>
      <c r="G30" s="70">
        <v>0.27</v>
      </c>
      <c r="H30" s="69">
        <v>0.01</v>
      </c>
      <c r="I30" s="242">
        <f t="shared" si="1"/>
        <v>2.7000000000000001E-3</v>
      </c>
      <c r="J30" s="59" t="s">
        <v>1445</v>
      </c>
      <c r="K30" s="61">
        <v>2</v>
      </c>
      <c r="L30" s="61">
        <v>84</v>
      </c>
      <c r="M30" s="61">
        <v>2</v>
      </c>
      <c r="N30" s="61">
        <v>8.9999999999999993E-3</v>
      </c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1"/>
      <c r="AB30" s="1"/>
      <c r="AC30" s="245"/>
      <c r="AD30" s="56"/>
      <c r="AF30" s="151"/>
      <c r="AJ30" s="136"/>
      <c r="AM30" s="145"/>
    </row>
    <row r="31" spans="1:53" ht="12.75" customHeight="1" x14ac:dyDescent="0.25">
      <c r="A31" s="1013"/>
      <c r="B31" s="57" t="s">
        <v>1179</v>
      </c>
      <c r="C31" s="51">
        <f>C21</f>
        <v>23.394911799665778</v>
      </c>
      <c r="D31" s="220"/>
      <c r="E31" s="68"/>
      <c r="F31" s="69"/>
      <c r="G31" s="70"/>
      <c r="H31" s="70"/>
      <c r="I31" s="71"/>
      <c r="J31" s="59" t="s">
        <v>1513</v>
      </c>
      <c r="K31" s="61">
        <v>2</v>
      </c>
      <c r="L31" s="61">
        <v>96</v>
      </c>
      <c r="M31" s="61">
        <v>0.5</v>
      </c>
      <c r="N31" s="61">
        <v>2.5000000000000001E-2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1"/>
      <c r="AB31" s="1"/>
      <c r="AC31" s="245"/>
      <c r="AD31" s="56"/>
      <c r="AF31" s="151"/>
      <c r="AJ31" s="136"/>
    </row>
    <row r="32" spans="1:53" ht="12.75" customHeight="1" x14ac:dyDescent="0.25">
      <c r="A32" s="1013"/>
      <c r="B32" s="57" t="s">
        <v>831</v>
      </c>
      <c r="C32" s="77"/>
      <c r="D32" s="220"/>
      <c r="E32" s="68" t="s">
        <v>4</v>
      </c>
      <c r="F32" s="69" t="s">
        <v>1</v>
      </c>
      <c r="G32" s="70">
        <v>2.5</v>
      </c>
      <c r="H32" s="69">
        <v>1</v>
      </c>
      <c r="I32" s="71">
        <f t="shared" si="1"/>
        <v>2.5</v>
      </c>
      <c r="J32" s="59"/>
      <c r="K32" s="61"/>
      <c r="L32" s="61"/>
      <c r="M32" s="61"/>
      <c r="N32" s="61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1"/>
      <c r="AB32" s="1"/>
      <c r="AC32" s="245"/>
      <c r="AD32" s="56"/>
      <c r="AF32" s="151"/>
      <c r="AJ32" s="136"/>
    </row>
    <row r="33" spans="1:53" ht="12.75" customHeight="1" x14ac:dyDescent="0.25">
      <c r="A33" s="1013"/>
      <c r="B33" s="74" t="s">
        <v>1178</v>
      </c>
      <c r="C33" s="78"/>
      <c r="D33" s="220"/>
      <c r="E33" s="68" t="s">
        <v>1442</v>
      </c>
      <c r="F33" s="69" t="s">
        <v>1443</v>
      </c>
      <c r="G33" s="70">
        <v>419.5</v>
      </c>
      <c r="H33" s="69">
        <v>1E-3</v>
      </c>
      <c r="I33" s="71">
        <f t="shared" si="1"/>
        <v>0.41949999999999998</v>
      </c>
      <c r="J33" s="59"/>
      <c r="K33" s="61"/>
      <c r="L33" s="61"/>
      <c r="M33" s="61"/>
      <c r="N33" s="61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1"/>
      <c r="AB33" s="1"/>
      <c r="AC33" s="245"/>
      <c r="AD33" s="56"/>
      <c r="AF33" s="151"/>
      <c r="AJ33" s="146"/>
    </row>
    <row r="34" spans="1:53" ht="12.75" customHeight="1" x14ac:dyDescent="0.25">
      <c r="A34" s="1013"/>
      <c r="B34" s="57" t="s">
        <v>1179</v>
      </c>
      <c r="C34" s="78">
        <v>2</v>
      </c>
      <c r="D34" s="220"/>
      <c r="E34" s="68" t="s">
        <v>1444</v>
      </c>
      <c r="F34" s="69" t="s">
        <v>1443</v>
      </c>
      <c r="G34" s="70">
        <v>872</v>
      </c>
      <c r="H34" s="69">
        <v>2E-3</v>
      </c>
      <c r="I34" s="71">
        <f t="shared" si="1"/>
        <v>1.744</v>
      </c>
      <c r="J34" s="59"/>
      <c r="K34" s="61"/>
      <c r="L34" s="61"/>
      <c r="M34" s="61"/>
      <c r="N34" s="61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1"/>
      <c r="AB34" s="1"/>
      <c r="AC34" s="245"/>
      <c r="AD34" s="56"/>
      <c r="AF34" s="151"/>
      <c r="AJ34" s="146"/>
    </row>
    <row r="35" spans="1:53" ht="12.75" customHeight="1" x14ac:dyDescent="0.25">
      <c r="A35" s="1013"/>
      <c r="B35" s="79" t="s">
        <v>1181</v>
      </c>
      <c r="C35" s="51">
        <f>C30*C33+C31*C34</f>
        <v>46.789823599331555</v>
      </c>
      <c r="D35" s="220"/>
      <c r="E35" s="68"/>
      <c r="F35" s="166"/>
      <c r="G35" s="70"/>
      <c r="H35" s="69"/>
      <c r="I35" s="71"/>
      <c r="J35" s="59"/>
      <c r="K35" s="170"/>
      <c r="L35" s="76"/>
      <c r="M35" s="72"/>
      <c r="N35" s="61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1"/>
      <c r="AB35" s="1"/>
      <c r="AC35" s="245"/>
      <c r="AD35" s="56"/>
      <c r="AF35" s="151"/>
      <c r="AJ35" s="136"/>
    </row>
    <row r="36" spans="1:53" ht="13.5" customHeight="1" x14ac:dyDescent="0.25">
      <c r="A36" s="1014"/>
      <c r="B36" s="123"/>
      <c r="C36" s="78"/>
      <c r="D36" s="221"/>
      <c r="E36" s="68"/>
      <c r="F36" s="166"/>
      <c r="G36" s="70"/>
      <c r="H36" s="69"/>
      <c r="I36" s="71"/>
      <c r="J36" s="59"/>
      <c r="K36" s="170"/>
      <c r="L36" s="61"/>
      <c r="M36" s="72"/>
      <c r="N36" s="61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1"/>
      <c r="AB36" s="1"/>
      <c r="AC36" s="245"/>
      <c r="AD36" s="56"/>
      <c r="AF36" s="151"/>
      <c r="AJ36" s="146"/>
    </row>
    <row r="37" spans="1:53" s="803" customFormat="1" ht="56.25" customHeight="1" x14ac:dyDescent="0.25">
      <c r="A37" s="1114" t="s">
        <v>106</v>
      </c>
      <c r="B37" s="788"/>
      <c r="C37" s="788"/>
      <c r="D37" s="800"/>
      <c r="E37" s="791" t="s">
        <v>488</v>
      </c>
      <c r="F37" s="792" t="s">
        <v>837</v>
      </c>
      <c r="G37" s="788" t="s">
        <v>489</v>
      </c>
      <c r="H37" s="791" t="s">
        <v>1170</v>
      </c>
      <c r="I37" s="792" t="s">
        <v>838</v>
      </c>
      <c r="J37" s="793" t="s">
        <v>1171</v>
      </c>
      <c r="K37" s="793" t="s">
        <v>490</v>
      </c>
      <c r="L37" s="794" t="s">
        <v>489</v>
      </c>
      <c r="M37" s="793" t="s">
        <v>1172</v>
      </c>
      <c r="N37" s="792" t="s">
        <v>838</v>
      </c>
      <c r="O37" s="793" t="s">
        <v>1171</v>
      </c>
      <c r="P37" s="793" t="s">
        <v>826</v>
      </c>
      <c r="Q37" s="793" t="s">
        <v>1173</v>
      </c>
      <c r="R37" s="793" t="s">
        <v>1174</v>
      </c>
      <c r="S37" s="793" t="s">
        <v>839</v>
      </c>
      <c r="T37" s="793" t="s">
        <v>1171</v>
      </c>
      <c r="U37" s="793" t="s">
        <v>1392</v>
      </c>
      <c r="V37" s="793" t="s">
        <v>841</v>
      </c>
      <c r="W37" s="795" t="s">
        <v>1173</v>
      </c>
      <c r="X37" s="793" t="s">
        <v>1394</v>
      </c>
      <c r="Y37" s="793" t="s">
        <v>839</v>
      </c>
      <c r="Z37" s="796"/>
      <c r="AA37" s="755"/>
      <c r="AB37" s="755"/>
      <c r="AC37" s="773"/>
      <c r="AD37" s="802"/>
      <c r="AF37" s="804"/>
      <c r="AG37" s="802"/>
      <c r="AH37" s="805"/>
      <c r="AI37" s="805"/>
      <c r="AJ37" s="805"/>
      <c r="AK37" s="805"/>
      <c r="AL37" s="806"/>
      <c r="AM37" s="805"/>
      <c r="AN37" s="805"/>
      <c r="AO37" s="807"/>
      <c r="AP37" s="805"/>
      <c r="AQ37" s="808"/>
      <c r="AR37" s="808"/>
      <c r="AS37" s="808"/>
      <c r="AT37" s="805"/>
      <c r="AU37" s="805"/>
      <c r="AV37" s="807"/>
      <c r="AW37" s="802"/>
      <c r="AX37" s="802"/>
      <c r="AY37" s="802"/>
      <c r="AZ37" s="802"/>
      <c r="BA37" s="802"/>
    </row>
    <row r="38" spans="1:53" s="803" customFormat="1" ht="12" customHeight="1" x14ac:dyDescent="0.25">
      <c r="A38" s="1115"/>
      <c r="B38" s="752" t="s">
        <v>1175</v>
      </c>
      <c r="C38" s="788">
        <f>C45</f>
        <v>70.184735398997333</v>
      </c>
      <c r="D38" s="800">
        <f>C38*$D$5</f>
        <v>14.177316550597462</v>
      </c>
      <c r="E38" s="754" t="s">
        <v>1176</v>
      </c>
      <c r="F38" s="810"/>
      <c r="G38" s="756"/>
      <c r="H38" s="756"/>
      <c r="I38" s="757">
        <f>SUM(I39:I46)</f>
        <v>2.1736</v>
      </c>
      <c r="J38" s="758" t="s">
        <v>1176</v>
      </c>
      <c r="K38" s="811"/>
      <c r="L38" s="759"/>
      <c r="M38" s="759"/>
      <c r="N38" s="760">
        <f>SUM(N39:N46)</f>
        <v>0.24025291175482938</v>
      </c>
      <c r="O38" s="759" t="s">
        <v>1176</v>
      </c>
      <c r="P38" s="759"/>
      <c r="Q38" s="812"/>
      <c r="R38" s="813"/>
      <c r="S38" s="760">
        <f>SUM(S39:S46)</f>
        <v>5.1947671811208718</v>
      </c>
      <c r="T38" s="760"/>
      <c r="U38" s="760"/>
      <c r="V38" s="760"/>
      <c r="W38" s="760"/>
      <c r="X38" s="760"/>
      <c r="Y38" s="760">
        <f>SUM(Y39:Y46)</f>
        <v>4.2472967570827658</v>
      </c>
      <c r="Z38" s="762">
        <f>(C38+D38+I38+N38+S38+Y38)*$Z$5</f>
        <v>125.10141885889131</v>
      </c>
      <c r="AA38" s="763">
        <f>C38+D38+I38+N38+S38+Y38+Z38</f>
        <v>221.31938765844455</v>
      </c>
      <c r="AB38" s="764">
        <v>0.25</v>
      </c>
      <c r="AC38" s="765">
        <f>AA38*(1+AB38)</f>
        <v>276.64923457305571</v>
      </c>
      <c r="AD38" s="814"/>
      <c r="AF38" s="804"/>
      <c r="AG38" s="802"/>
      <c r="AH38" s="805"/>
      <c r="AI38" s="808"/>
      <c r="AJ38" s="815"/>
      <c r="AK38" s="816"/>
      <c r="AL38" s="806"/>
      <c r="AM38" s="817"/>
      <c r="AN38" s="818"/>
      <c r="AO38" s="817"/>
      <c r="AP38" s="808"/>
      <c r="AQ38" s="808"/>
      <c r="AR38" s="808"/>
      <c r="AS38" s="808"/>
      <c r="AT38" s="808"/>
      <c r="AU38" s="817"/>
      <c r="AV38" s="817"/>
      <c r="AW38" s="819"/>
      <c r="AX38" s="802"/>
      <c r="AY38" s="802"/>
      <c r="AZ38" s="802"/>
      <c r="BA38" s="802"/>
    </row>
    <row r="39" spans="1:53" s="803" customFormat="1" ht="12.75" customHeight="1" x14ac:dyDescent="0.25">
      <c r="A39" s="1115"/>
      <c r="B39" s="766" t="s">
        <v>830</v>
      </c>
      <c r="C39" s="788"/>
      <c r="D39" s="820"/>
      <c r="E39" s="767" t="s">
        <v>1437</v>
      </c>
      <c r="F39" s="768" t="s">
        <v>1438</v>
      </c>
      <c r="G39" s="769">
        <v>0.74</v>
      </c>
      <c r="H39" s="768">
        <v>0.01</v>
      </c>
      <c r="I39" s="770">
        <f>G39*H39</f>
        <v>7.4000000000000003E-3</v>
      </c>
      <c r="J39" s="758" t="s">
        <v>1291</v>
      </c>
      <c r="K39" s="771">
        <v>2</v>
      </c>
      <c r="L39" s="772">
        <v>750</v>
      </c>
      <c r="M39" s="771">
        <v>2</v>
      </c>
      <c r="N39" s="790">
        <f>L39/'Исп. коэффициенты'!E46*C44</f>
        <v>0.20711457909899084</v>
      </c>
      <c r="O39" s="759" t="s">
        <v>121</v>
      </c>
      <c r="P39" s="759">
        <v>23908.5</v>
      </c>
      <c r="Q39" s="759">
        <v>19.670000000000002</v>
      </c>
      <c r="R39" s="759">
        <f>P39*Q39%</f>
        <v>4702.80195</v>
      </c>
      <c r="S39" s="759">
        <f>R39/'Исп. коэффициенты'!F46</f>
        <v>5.1947671811208718</v>
      </c>
      <c r="T39" s="755" t="s">
        <v>1435</v>
      </c>
      <c r="U39" s="756">
        <v>6785401.3499999996</v>
      </c>
      <c r="V39" s="785">
        <f>'Исп. коэффициенты'!E124</f>
        <v>2978.5</v>
      </c>
      <c r="W39" s="761">
        <f>'Исп. коэффициенты'!D124</f>
        <v>1.3599999999999999E-2</v>
      </c>
      <c r="X39" s="760">
        <f>U39*W39</f>
        <v>92281.45835999999</v>
      </c>
      <c r="Y39" s="759">
        <f>X39/'Исп. коэффициенты'!E46/2</f>
        <v>4.2472967570827658</v>
      </c>
      <c r="Z39" s="759"/>
      <c r="AA39" s="755"/>
      <c r="AB39" s="755"/>
      <c r="AC39" s="773"/>
      <c r="AD39" s="802"/>
      <c r="AF39" s="821"/>
      <c r="AG39" s="802"/>
      <c r="AH39" s="805"/>
      <c r="AI39" s="805"/>
      <c r="AJ39" s="822"/>
      <c r="AK39" s="805"/>
      <c r="AL39" s="806"/>
      <c r="AM39" s="805"/>
      <c r="AN39" s="805"/>
      <c r="AO39" s="807"/>
      <c r="AP39" s="805"/>
      <c r="AQ39" s="805"/>
      <c r="AR39" s="807"/>
      <c r="AS39" s="807"/>
      <c r="AT39" s="805"/>
      <c r="AU39" s="805"/>
      <c r="AV39" s="807"/>
      <c r="AW39" s="802"/>
      <c r="AX39" s="802"/>
      <c r="AY39" s="802"/>
      <c r="AZ39" s="802"/>
      <c r="BA39" s="802"/>
    </row>
    <row r="40" spans="1:53" s="803" customFormat="1" x14ac:dyDescent="0.25">
      <c r="A40" s="1115"/>
      <c r="B40" s="774" t="s">
        <v>1178</v>
      </c>
      <c r="C40" s="753"/>
      <c r="D40" s="820"/>
      <c r="E40" s="767" t="s">
        <v>1439</v>
      </c>
      <c r="F40" s="768" t="s">
        <v>1438</v>
      </c>
      <c r="G40" s="769">
        <v>0.27</v>
      </c>
      <c r="H40" s="768">
        <v>0.01</v>
      </c>
      <c r="I40" s="775">
        <f>G40*H40</f>
        <v>2.7000000000000001E-3</v>
      </c>
      <c r="J40" s="758" t="s">
        <v>1445</v>
      </c>
      <c r="K40" s="760">
        <v>2</v>
      </c>
      <c r="L40" s="776">
        <v>95</v>
      </c>
      <c r="M40" s="771">
        <v>2</v>
      </c>
      <c r="N40" s="790">
        <f>L40/'Исп. коэффициенты'!E46*C44</f>
        <v>2.6234513352538839E-2</v>
      </c>
      <c r="O40" s="759"/>
      <c r="P40" s="759"/>
      <c r="Q40" s="759"/>
      <c r="R40" s="759"/>
      <c r="S40" s="759"/>
      <c r="T40" s="759"/>
      <c r="U40" s="759"/>
      <c r="V40" s="759"/>
      <c r="W40" s="759"/>
      <c r="X40" s="759"/>
      <c r="Y40" s="759"/>
      <c r="Z40" s="759"/>
      <c r="AA40" s="755"/>
      <c r="AB40" s="755"/>
      <c r="AC40" s="773"/>
      <c r="AD40" s="802"/>
      <c r="AF40" s="821"/>
      <c r="AG40" s="802"/>
      <c r="AH40" s="805"/>
      <c r="AI40" s="805"/>
      <c r="AJ40" s="822"/>
      <c r="AK40" s="805"/>
      <c r="AL40" s="806"/>
      <c r="AM40" s="824"/>
      <c r="AN40" s="805"/>
      <c r="AO40" s="807"/>
      <c r="AP40" s="805"/>
      <c r="AQ40" s="805"/>
      <c r="AR40" s="807"/>
      <c r="AS40" s="807"/>
      <c r="AT40" s="805"/>
      <c r="AU40" s="805"/>
      <c r="AV40" s="807"/>
      <c r="AW40" s="802"/>
      <c r="AX40" s="802"/>
      <c r="AY40" s="802"/>
      <c r="AZ40" s="802"/>
      <c r="BA40" s="802"/>
    </row>
    <row r="41" spans="1:53" s="803" customFormat="1" ht="12.75" customHeight="1" x14ac:dyDescent="0.25">
      <c r="A41" s="1115"/>
      <c r="B41" s="754" t="s">
        <v>1179</v>
      </c>
      <c r="C41" s="788">
        <f>C31</f>
        <v>23.394911799665778</v>
      </c>
      <c r="D41" s="820"/>
      <c r="E41" s="767"/>
      <c r="F41" s="768"/>
      <c r="G41" s="769"/>
      <c r="H41" s="769"/>
      <c r="I41" s="770"/>
      <c r="J41" s="758" t="s">
        <v>1513</v>
      </c>
      <c r="K41" s="760">
        <v>2</v>
      </c>
      <c r="L41" s="760">
        <v>25</v>
      </c>
      <c r="M41" s="771">
        <v>0.5</v>
      </c>
      <c r="N41" s="790">
        <f>L41/'Исп. коэффициенты'!E46*C44</f>
        <v>6.9038193032996947E-3</v>
      </c>
      <c r="O41" s="759"/>
      <c r="P41" s="759"/>
      <c r="Q41" s="759"/>
      <c r="R41" s="759"/>
      <c r="S41" s="759"/>
      <c r="T41" s="759"/>
      <c r="U41" s="759"/>
      <c r="V41" s="759"/>
      <c r="W41" s="759"/>
      <c r="X41" s="759"/>
      <c r="Y41" s="759"/>
      <c r="Z41" s="759"/>
      <c r="AA41" s="755"/>
      <c r="AB41" s="755"/>
      <c r="AC41" s="773"/>
      <c r="AD41" s="802"/>
      <c r="AF41" s="821"/>
      <c r="AG41" s="802"/>
      <c r="AH41" s="805"/>
      <c r="AI41" s="805"/>
      <c r="AJ41" s="822"/>
      <c r="AK41" s="805"/>
      <c r="AL41" s="806"/>
      <c r="AM41" s="805"/>
      <c r="AN41" s="805"/>
      <c r="AO41" s="807"/>
      <c r="AP41" s="805"/>
      <c r="AQ41" s="805"/>
      <c r="AR41" s="807"/>
      <c r="AS41" s="807"/>
      <c r="AT41" s="805"/>
      <c r="AU41" s="805"/>
      <c r="AV41" s="807"/>
      <c r="AW41" s="802"/>
      <c r="AX41" s="802"/>
      <c r="AY41" s="802"/>
      <c r="AZ41" s="802"/>
      <c r="BA41" s="802"/>
    </row>
    <row r="42" spans="1:53" s="803" customFormat="1" ht="12.75" customHeight="1" x14ac:dyDescent="0.25">
      <c r="A42" s="1115"/>
      <c r="B42" s="754" t="s">
        <v>831</v>
      </c>
      <c r="C42" s="789"/>
      <c r="D42" s="820"/>
      <c r="E42" s="767"/>
      <c r="F42" s="768"/>
      <c r="G42" s="769"/>
      <c r="H42" s="768"/>
      <c r="I42" s="770"/>
      <c r="J42" s="758"/>
      <c r="K42" s="760"/>
      <c r="L42" s="760"/>
      <c r="M42" s="760"/>
      <c r="N42" s="760"/>
      <c r="O42" s="759"/>
      <c r="P42" s="759"/>
      <c r="Q42" s="759"/>
      <c r="R42" s="759"/>
      <c r="S42" s="759"/>
      <c r="T42" s="759"/>
      <c r="U42" s="759"/>
      <c r="V42" s="759"/>
      <c r="W42" s="759"/>
      <c r="X42" s="759"/>
      <c r="Y42" s="759"/>
      <c r="Z42" s="759"/>
      <c r="AA42" s="755"/>
      <c r="AB42" s="755"/>
      <c r="AC42" s="773"/>
      <c r="AD42" s="802"/>
      <c r="AF42" s="821"/>
      <c r="AG42" s="802"/>
      <c r="AH42" s="805"/>
      <c r="AI42" s="805"/>
      <c r="AJ42" s="822"/>
      <c r="AK42" s="805"/>
      <c r="AL42" s="806"/>
      <c r="AM42" s="805"/>
      <c r="AN42" s="805"/>
      <c r="AO42" s="807"/>
      <c r="AP42" s="805"/>
      <c r="AQ42" s="805"/>
      <c r="AR42" s="807"/>
      <c r="AS42" s="807"/>
      <c r="AT42" s="805"/>
      <c r="AU42" s="805"/>
      <c r="AV42" s="807"/>
      <c r="AW42" s="802"/>
      <c r="AX42" s="802"/>
      <c r="AY42" s="802"/>
      <c r="AZ42" s="802"/>
      <c r="BA42" s="802"/>
    </row>
    <row r="43" spans="1:53" s="803" customFormat="1" ht="12.75" customHeight="1" x14ac:dyDescent="0.25">
      <c r="A43" s="1115"/>
      <c r="B43" s="774" t="s">
        <v>1178</v>
      </c>
      <c r="C43" s="784"/>
      <c r="D43" s="820"/>
      <c r="E43" s="767" t="s">
        <v>1442</v>
      </c>
      <c r="F43" s="768" t="s">
        <v>1443</v>
      </c>
      <c r="G43" s="769">
        <v>419.5</v>
      </c>
      <c r="H43" s="768">
        <v>1E-3</v>
      </c>
      <c r="I43" s="770">
        <f>G43*H43</f>
        <v>0.41949999999999998</v>
      </c>
      <c r="J43" s="758"/>
      <c r="K43" s="760"/>
      <c r="L43" s="760"/>
      <c r="M43" s="760"/>
      <c r="N43" s="760"/>
      <c r="O43" s="759"/>
      <c r="P43" s="759"/>
      <c r="Q43" s="759"/>
      <c r="R43" s="759"/>
      <c r="S43" s="759"/>
      <c r="T43" s="759"/>
      <c r="U43" s="759"/>
      <c r="V43" s="759"/>
      <c r="W43" s="759"/>
      <c r="X43" s="759"/>
      <c r="Y43" s="759"/>
      <c r="Z43" s="759"/>
      <c r="AA43" s="755"/>
      <c r="AB43" s="755"/>
      <c r="AC43" s="773"/>
      <c r="AD43" s="802"/>
      <c r="AF43" s="821"/>
      <c r="AG43" s="802"/>
      <c r="AH43" s="805"/>
      <c r="AI43" s="805"/>
      <c r="AJ43" s="827"/>
      <c r="AK43" s="805"/>
      <c r="AL43" s="806"/>
      <c r="AM43" s="805"/>
      <c r="AN43" s="805"/>
      <c r="AO43" s="807"/>
      <c r="AP43" s="805"/>
      <c r="AQ43" s="805"/>
      <c r="AR43" s="807"/>
      <c r="AS43" s="807"/>
      <c r="AT43" s="805"/>
      <c r="AU43" s="805"/>
      <c r="AV43" s="807"/>
      <c r="AW43" s="802"/>
      <c r="AX43" s="802"/>
      <c r="AY43" s="802"/>
      <c r="AZ43" s="802"/>
      <c r="BA43" s="802"/>
    </row>
    <row r="44" spans="1:53" s="803" customFormat="1" ht="12.75" customHeight="1" x14ac:dyDescent="0.25">
      <c r="A44" s="1115"/>
      <c r="B44" s="754" t="s">
        <v>1179</v>
      </c>
      <c r="C44" s="784">
        <v>3</v>
      </c>
      <c r="D44" s="820"/>
      <c r="E44" s="767" t="s">
        <v>1444</v>
      </c>
      <c r="F44" s="768" t="s">
        <v>1443</v>
      </c>
      <c r="G44" s="769">
        <v>872</v>
      </c>
      <c r="H44" s="768">
        <v>2E-3</v>
      </c>
      <c r="I44" s="770">
        <f>G44*H44</f>
        <v>1.744</v>
      </c>
      <c r="J44" s="758"/>
      <c r="K44" s="760"/>
      <c r="L44" s="760"/>
      <c r="M44" s="760"/>
      <c r="N44" s="760"/>
      <c r="O44" s="759"/>
      <c r="P44" s="759"/>
      <c r="Q44" s="759"/>
      <c r="R44" s="759"/>
      <c r="S44" s="759"/>
      <c r="T44" s="759"/>
      <c r="U44" s="759"/>
      <c r="V44" s="759"/>
      <c r="W44" s="759"/>
      <c r="X44" s="759"/>
      <c r="Y44" s="759"/>
      <c r="Z44" s="759"/>
      <c r="AA44" s="755"/>
      <c r="AB44" s="755"/>
      <c r="AC44" s="773"/>
      <c r="AD44" s="802"/>
      <c r="AF44" s="821"/>
      <c r="AG44" s="802"/>
      <c r="AH44" s="805"/>
      <c r="AI44" s="805"/>
      <c r="AJ44" s="827"/>
      <c r="AK44" s="805"/>
      <c r="AL44" s="806"/>
      <c r="AM44" s="805"/>
      <c r="AN44" s="805"/>
      <c r="AO44" s="807"/>
      <c r="AP44" s="805"/>
      <c r="AQ44" s="805"/>
      <c r="AR44" s="807"/>
      <c r="AS44" s="807"/>
      <c r="AT44" s="805"/>
      <c r="AU44" s="805"/>
      <c r="AV44" s="807"/>
      <c r="AW44" s="802"/>
      <c r="AX44" s="802"/>
      <c r="AY44" s="802"/>
      <c r="AZ44" s="802"/>
      <c r="BA44" s="802"/>
    </row>
    <row r="45" spans="1:53" s="803" customFormat="1" ht="12.75" customHeight="1" x14ac:dyDescent="0.25">
      <c r="A45" s="1115"/>
      <c r="B45" s="782" t="s">
        <v>1181</v>
      </c>
      <c r="C45" s="788">
        <f>C40*C43+C41*C44</f>
        <v>70.184735398997333</v>
      </c>
      <c r="D45" s="820"/>
      <c r="E45" s="767"/>
      <c r="F45" s="781"/>
      <c r="G45" s="769"/>
      <c r="H45" s="768"/>
      <c r="I45" s="770"/>
      <c r="J45" s="758"/>
      <c r="K45" s="828"/>
      <c r="L45" s="776"/>
      <c r="M45" s="771"/>
      <c r="N45" s="760"/>
      <c r="O45" s="759"/>
      <c r="P45" s="759"/>
      <c r="Q45" s="759"/>
      <c r="R45" s="759"/>
      <c r="S45" s="759"/>
      <c r="T45" s="759"/>
      <c r="U45" s="759"/>
      <c r="V45" s="759"/>
      <c r="W45" s="759"/>
      <c r="X45" s="759"/>
      <c r="Y45" s="759"/>
      <c r="Z45" s="759"/>
      <c r="AA45" s="755"/>
      <c r="AB45" s="755"/>
      <c r="AC45" s="773"/>
      <c r="AD45" s="802"/>
      <c r="AF45" s="821"/>
      <c r="AG45" s="802"/>
      <c r="AH45" s="805"/>
      <c r="AI45" s="805"/>
      <c r="AJ45" s="822"/>
      <c r="AK45" s="805"/>
      <c r="AL45" s="806"/>
      <c r="AM45" s="805"/>
      <c r="AN45" s="805"/>
      <c r="AO45" s="807"/>
      <c r="AP45" s="805"/>
      <c r="AQ45" s="805"/>
      <c r="AR45" s="807"/>
      <c r="AS45" s="807"/>
      <c r="AT45" s="805"/>
      <c r="AU45" s="805"/>
      <c r="AV45" s="807"/>
      <c r="AW45" s="802"/>
      <c r="AX45" s="802"/>
      <c r="AY45" s="802"/>
      <c r="AZ45" s="802"/>
      <c r="BA45" s="802"/>
    </row>
    <row r="46" spans="1:53" s="803" customFormat="1" ht="13.5" customHeight="1" x14ac:dyDescent="0.25">
      <c r="A46" s="1116"/>
      <c r="B46" s="783"/>
      <c r="C46" s="784"/>
      <c r="D46" s="829"/>
      <c r="E46" s="767"/>
      <c r="F46" s="781"/>
      <c r="G46" s="769"/>
      <c r="H46" s="768"/>
      <c r="I46" s="770"/>
      <c r="J46" s="758"/>
      <c r="K46" s="828"/>
      <c r="L46" s="760"/>
      <c r="M46" s="771"/>
      <c r="N46" s="760"/>
      <c r="O46" s="759"/>
      <c r="P46" s="759"/>
      <c r="Q46" s="759"/>
      <c r="R46" s="759"/>
      <c r="S46" s="759"/>
      <c r="T46" s="759"/>
      <c r="U46" s="759"/>
      <c r="V46" s="759"/>
      <c r="W46" s="759"/>
      <c r="X46" s="759"/>
      <c r="Y46" s="759"/>
      <c r="Z46" s="759"/>
      <c r="AA46" s="755"/>
      <c r="AB46" s="755"/>
      <c r="AC46" s="773"/>
      <c r="AD46" s="802"/>
      <c r="AF46" s="821"/>
      <c r="AG46" s="802"/>
      <c r="AH46" s="805"/>
      <c r="AI46" s="805"/>
      <c r="AJ46" s="827"/>
      <c r="AK46" s="805"/>
      <c r="AL46" s="806"/>
      <c r="AM46" s="805"/>
      <c r="AN46" s="805"/>
      <c r="AO46" s="807"/>
      <c r="AP46" s="805"/>
      <c r="AQ46" s="805"/>
      <c r="AR46" s="807"/>
      <c r="AS46" s="807"/>
      <c r="AT46" s="805"/>
      <c r="AU46" s="805"/>
      <c r="AV46" s="807"/>
      <c r="AW46" s="802"/>
      <c r="AX46" s="802"/>
      <c r="AY46" s="802"/>
      <c r="AZ46" s="802"/>
      <c r="BA46" s="802"/>
    </row>
    <row r="47" spans="1:53" ht="56.25" customHeight="1" x14ac:dyDescent="0.25">
      <c r="A47" s="1012" t="s">
        <v>107</v>
      </c>
      <c r="B47" s="51"/>
      <c r="C47" s="51"/>
      <c r="D47" s="219"/>
      <c r="E47" s="52" t="s">
        <v>488</v>
      </c>
      <c r="F47" s="53" t="s">
        <v>837</v>
      </c>
      <c r="G47" s="51" t="s">
        <v>489</v>
      </c>
      <c r="H47" s="52" t="s">
        <v>1170</v>
      </c>
      <c r="I47" s="53" t="s">
        <v>838</v>
      </c>
      <c r="J47" s="47" t="s">
        <v>1171</v>
      </c>
      <c r="K47" s="47" t="s">
        <v>490</v>
      </c>
      <c r="L47" s="54" t="s">
        <v>489</v>
      </c>
      <c r="M47" s="47" t="s">
        <v>1172</v>
      </c>
      <c r="N47" s="53" t="s">
        <v>838</v>
      </c>
      <c r="O47" s="47" t="s">
        <v>1171</v>
      </c>
      <c r="P47" s="47" t="s">
        <v>826</v>
      </c>
      <c r="Q47" s="47" t="s">
        <v>1173</v>
      </c>
      <c r="R47" s="47" t="s">
        <v>1174</v>
      </c>
      <c r="S47" s="47" t="s">
        <v>839</v>
      </c>
      <c r="T47" s="47" t="s">
        <v>1171</v>
      </c>
      <c r="U47" s="47" t="s">
        <v>1392</v>
      </c>
      <c r="V47" s="47" t="s">
        <v>841</v>
      </c>
      <c r="W47" s="231" t="s">
        <v>1173</v>
      </c>
      <c r="X47" s="47" t="s">
        <v>1394</v>
      </c>
      <c r="Y47" s="47" t="s">
        <v>839</v>
      </c>
      <c r="Z47" s="55"/>
      <c r="AA47" s="1"/>
      <c r="AB47" s="1"/>
      <c r="AC47" s="245"/>
      <c r="AD47" s="56"/>
      <c r="AQ47" s="139"/>
      <c r="AR47" s="139"/>
      <c r="AS47" s="139"/>
    </row>
    <row r="48" spans="1:53" ht="12" customHeight="1" x14ac:dyDescent="0.25">
      <c r="A48" s="1013"/>
      <c r="B48" s="36" t="s">
        <v>1175</v>
      </c>
      <c r="C48" s="51">
        <f>C55</f>
        <v>58.487279499164444</v>
      </c>
      <c r="D48" s="219">
        <f>C48*$D$5</f>
        <v>11.814430458831218</v>
      </c>
      <c r="E48" s="57" t="s">
        <v>1176</v>
      </c>
      <c r="F48" s="165"/>
      <c r="G48" s="58"/>
      <c r="H48" s="58"/>
      <c r="I48" s="2">
        <f>SUM(I49:I56)</f>
        <v>2.1736</v>
      </c>
      <c r="J48" s="59" t="s">
        <v>1176</v>
      </c>
      <c r="K48" s="169"/>
      <c r="L48" s="60"/>
      <c r="M48" s="60"/>
      <c r="N48" s="61">
        <f>SUM(N49:N56)</f>
        <v>8.4000000000000005E-2</v>
      </c>
      <c r="O48" s="60" t="s">
        <v>1176</v>
      </c>
      <c r="P48" s="60"/>
      <c r="Q48" s="62"/>
      <c r="R48" s="63"/>
      <c r="S48" s="61">
        <f>SUM(S49:S56)</f>
        <v>0.32605890449090691</v>
      </c>
      <c r="T48" s="61"/>
      <c r="U48" s="61"/>
      <c r="V48" s="61"/>
      <c r="W48" s="61"/>
      <c r="X48" s="61"/>
      <c r="Y48" s="61">
        <f>SUM(Y49:Y56)</f>
        <v>9.1999999999999998E-3</v>
      </c>
      <c r="Z48" s="64">
        <f>(C48+D48+I48+N48+S48+Y48)*$Z$5</f>
        <v>94.776621306586648</v>
      </c>
      <c r="AA48" s="65">
        <f>C48+D48+I48+N48+S48+Y48+Z48</f>
        <v>167.67119016907321</v>
      </c>
      <c r="AB48" s="66">
        <v>0.25</v>
      </c>
      <c r="AC48" s="244">
        <f>AA48*(1+AB48)</f>
        <v>209.58898771134153</v>
      </c>
      <c r="AD48" s="67"/>
      <c r="AI48" s="139"/>
      <c r="AJ48" s="140"/>
      <c r="AK48" s="141"/>
      <c r="AM48" s="142"/>
      <c r="AN48" s="143"/>
      <c r="AO48" s="142"/>
      <c r="AP48" s="139"/>
      <c r="AQ48" s="139"/>
      <c r="AR48" s="139"/>
      <c r="AS48" s="139"/>
      <c r="AT48" s="139"/>
      <c r="AU48" s="142"/>
      <c r="AV48" s="142"/>
      <c r="AW48" s="144"/>
    </row>
    <row r="49" spans="1:53" ht="12.75" customHeight="1" x14ac:dyDescent="0.25">
      <c r="A49" s="1013"/>
      <c r="B49" s="50" t="s">
        <v>830</v>
      </c>
      <c r="C49" s="51"/>
      <c r="D49" s="220"/>
      <c r="E49" s="68" t="s">
        <v>1437</v>
      </c>
      <c r="F49" s="69" t="s">
        <v>1438</v>
      </c>
      <c r="G49" s="70">
        <v>0.74</v>
      </c>
      <c r="H49" s="69">
        <v>0.01</v>
      </c>
      <c r="I49" s="71">
        <f>G49*H49</f>
        <v>7.4000000000000003E-3</v>
      </c>
      <c r="J49" s="59" t="s">
        <v>1291</v>
      </c>
      <c r="K49" s="61">
        <v>2</v>
      </c>
      <c r="L49" s="61">
        <v>640</v>
      </c>
      <c r="M49" s="61">
        <v>2</v>
      </c>
      <c r="N49" s="61">
        <v>0.05</v>
      </c>
      <c r="O49" s="60" t="s">
        <v>122</v>
      </c>
      <c r="P49" s="60">
        <v>1500.66</v>
      </c>
      <c r="Q49" s="60">
        <v>19.670000000000002</v>
      </c>
      <c r="R49" s="60">
        <f>P49*Q49%</f>
        <v>295.17982200000006</v>
      </c>
      <c r="S49" s="60">
        <f>R49/'Исп. коэффициенты'!F46</f>
        <v>0.32605890449090691</v>
      </c>
      <c r="T49" s="239" t="s">
        <v>1435</v>
      </c>
      <c r="U49" s="240">
        <v>6785401.3499999996</v>
      </c>
      <c r="V49" s="241">
        <v>1.32E-2</v>
      </c>
      <c r="W49" s="239">
        <v>1508.3</v>
      </c>
      <c r="X49" s="61">
        <v>59.38</v>
      </c>
      <c r="Y49" s="60">
        <v>9.1999999999999998E-3</v>
      </c>
      <c r="Z49" s="60"/>
      <c r="AA49" s="1"/>
      <c r="AB49" s="1"/>
      <c r="AC49" s="245"/>
      <c r="AD49" s="56"/>
      <c r="AF49" s="151"/>
      <c r="AJ49" s="136"/>
    </row>
    <row r="50" spans="1:53" x14ac:dyDescent="0.25">
      <c r="A50" s="1013"/>
      <c r="B50" s="74" t="s">
        <v>1178</v>
      </c>
      <c r="C50" s="75"/>
      <c r="D50" s="220"/>
      <c r="E50" s="68" t="s">
        <v>1439</v>
      </c>
      <c r="F50" s="69" t="s">
        <v>1438</v>
      </c>
      <c r="G50" s="70">
        <v>0.27</v>
      </c>
      <c r="H50" s="69">
        <v>0.01</v>
      </c>
      <c r="I50" s="242">
        <f>G50*H50</f>
        <v>2.7000000000000001E-3</v>
      </c>
      <c r="J50" s="59" t="s">
        <v>1445</v>
      </c>
      <c r="K50" s="61">
        <v>2</v>
      </c>
      <c r="L50" s="61">
        <v>84</v>
      </c>
      <c r="M50" s="61">
        <v>2</v>
      </c>
      <c r="N50" s="61">
        <v>8.9999999999999993E-3</v>
      </c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1"/>
      <c r="AB50" s="1"/>
      <c r="AC50" s="245"/>
      <c r="AD50" s="56"/>
      <c r="AF50" s="151"/>
      <c r="AJ50" s="136"/>
      <c r="AM50" s="145"/>
    </row>
    <row r="51" spans="1:53" ht="12.75" customHeight="1" x14ac:dyDescent="0.25">
      <c r="A51" s="1013"/>
      <c r="B51" s="57" t="s">
        <v>1179</v>
      </c>
      <c r="C51" s="51">
        <f>C41</f>
        <v>23.394911799665778</v>
      </c>
      <c r="D51" s="220"/>
      <c r="E51" s="68"/>
      <c r="F51" s="69"/>
      <c r="G51" s="70"/>
      <c r="H51" s="70"/>
      <c r="I51" s="71"/>
      <c r="J51" s="59" t="s">
        <v>1513</v>
      </c>
      <c r="K51" s="61">
        <v>2</v>
      </c>
      <c r="L51" s="61">
        <v>96</v>
      </c>
      <c r="M51" s="61">
        <v>0.5</v>
      </c>
      <c r="N51" s="61">
        <v>2.5000000000000001E-2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1"/>
      <c r="AB51" s="1"/>
      <c r="AC51" s="245"/>
      <c r="AD51" s="56"/>
      <c r="AF51" s="151"/>
      <c r="AJ51" s="136"/>
    </row>
    <row r="52" spans="1:53" ht="12.75" customHeight="1" x14ac:dyDescent="0.25">
      <c r="A52" s="1013"/>
      <c r="B52" s="57" t="s">
        <v>831</v>
      </c>
      <c r="C52" s="77"/>
      <c r="D52" s="220"/>
      <c r="E52" s="68"/>
      <c r="F52" s="69"/>
      <c r="G52" s="70"/>
      <c r="H52" s="69"/>
      <c r="I52" s="71"/>
      <c r="J52" s="59"/>
      <c r="K52" s="61"/>
      <c r="L52" s="61"/>
      <c r="M52" s="61"/>
      <c r="N52" s="61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1"/>
      <c r="AB52" s="1"/>
      <c r="AC52" s="245"/>
      <c r="AD52" s="56"/>
      <c r="AF52" s="151"/>
      <c r="AJ52" s="136"/>
    </row>
    <row r="53" spans="1:53" ht="12.75" customHeight="1" x14ac:dyDescent="0.25">
      <c r="A53" s="1013"/>
      <c r="B53" s="74" t="s">
        <v>1178</v>
      </c>
      <c r="C53" s="78"/>
      <c r="D53" s="220"/>
      <c r="E53" s="68" t="s">
        <v>1442</v>
      </c>
      <c r="F53" s="69" t="s">
        <v>1443</v>
      </c>
      <c r="G53" s="70">
        <v>419.5</v>
      </c>
      <c r="H53" s="69">
        <v>1E-3</v>
      </c>
      <c r="I53" s="71">
        <f>G53*H53</f>
        <v>0.41949999999999998</v>
      </c>
      <c r="J53" s="59"/>
      <c r="K53" s="61"/>
      <c r="L53" s="61"/>
      <c r="M53" s="61"/>
      <c r="N53" s="61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1"/>
      <c r="AB53" s="1"/>
      <c r="AC53" s="245"/>
      <c r="AD53" s="56"/>
      <c r="AF53" s="151"/>
      <c r="AJ53" s="146"/>
    </row>
    <row r="54" spans="1:53" ht="12.75" customHeight="1" x14ac:dyDescent="0.25">
      <c r="A54" s="1013"/>
      <c r="B54" s="57" t="s">
        <v>1179</v>
      </c>
      <c r="C54" s="78">
        <v>2.5</v>
      </c>
      <c r="D54" s="220"/>
      <c r="E54" s="68" t="s">
        <v>1444</v>
      </c>
      <c r="F54" s="69" t="s">
        <v>1443</v>
      </c>
      <c r="G54" s="70">
        <v>872</v>
      </c>
      <c r="H54" s="69">
        <v>2E-3</v>
      </c>
      <c r="I54" s="71">
        <f>G54*H54</f>
        <v>1.744</v>
      </c>
      <c r="J54" s="59"/>
      <c r="K54" s="61"/>
      <c r="L54" s="61"/>
      <c r="M54" s="61"/>
      <c r="N54" s="61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1"/>
      <c r="AB54" s="1"/>
      <c r="AC54" s="245"/>
      <c r="AD54" s="56"/>
      <c r="AF54" s="151"/>
      <c r="AJ54" s="146"/>
    </row>
    <row r="55" spans="1:53" ht="12.75" customHeight="1" x14ac:dyDescent="0.25">
      <c r="A55" s="1013"/>
      <c r="B55" s="79" t="s">
        <v>1181</v>
      </c>
      <c r="C55" s="51">
        <f>C50*C53+C51*C54</f>
        <v>58.487279499164444</v>
      </c>
      <c r="D55" s="220"/>
      <c r="E55" s="68"/>
      <c r="F55" s="166"/>
      <c r="G55" s="70"/>
      <c r="H55" s="69"/>
      <c r="I55" s="71"/>
      <c r="J55" s="59"/>
      <c r="K55" s="170"/>
      <c r="L55" s="76"/>
      <c r="M55" s="72"/>
      <c r="N55" s="61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1"/>
      <c r="AB55" s="1"/>
      <c r="AC55" s="245"/>
      <c r="AD55" s="56"/>
      <c r="AF55" s="151"/>
      <c r="AJ55" s="136"/>
    </row>
    <row r="56" spans="1:53" ht="13.5" customHeight="1" x14ac:dyDescent="0.25">
      <c r="A56" s="1014"/>
      <c r="B56" s="123"/>
      <c r="C56" s="78"/>
      <c r="D56" s="221"/>
      <c r="E56" s="68"/>
      <c r="F56" s="166"/>
      <c r="G56" s="70"/>
      <c r="H56" s="69"/>
      <c r="I56" s="71"/>
      <c r="J56" s="59"/>
      <c r="K56" s="170"/>
      <c r="L56" s="61"/>
      <c r="M56" s="72"/>
      <c r="N56" s="61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1"/>
      <c r="AB56" s="1"/>
      <c r="AC56" s="245"/>
      <c r="AD56" s="56"/>
      <c r="AF56" s="151"/>
      <c r="AJ56" s="146"/>
    </row>
    <row r="57" spans="1:53" s="803" customFormat="1" ht="56.25" customHeight="1" x14ac:dyDescent="0.25">
      <c r="A57" s="1114" t="s">
        <v>108</v>
      </c>
      <c r="B57" s="778"/>
      <c r="C57" s="778"/>
      <c r="D57" s="800"/>
      <c r="E57" s="791" t="s">
        <v>488</v>
      </c>
      <c r="F57" s="792" t="s">
        <v>837</v>
      </c>
      <c r="G57" s="778" t="s">
        <v>489</v>
      </c>
      <c r="H57" s="791" t="s">
        <v>1170</v>
      </c>
      <c r="I57" s="792" t="s">
        <v>838</v>
      </c>
      <c r="J57" s="793" t="s">
        <v>1171</v>
      </c>
      <c r="K57" s="793" t="s">
        <v>490</v>
      </c>
      <c r="L57" s="794" t="s">
        <v>489</v>
      </c>
      <c r="M57" s="793" t="s">
        <v>1172</v>
      </c>
      <c r="N57" s="792" t="s">
        <v>838</v>
      </c>
      <c r="O57" s="793" t="s">
        <v>1171</v>
      </c>
      <c r="P57" s="793" t="s">
        <v>826</v>
      </c>
      <c r="Q57" s="793" t="s">
        <v>1173</v>
      </c>
      <c r="R57" s="793" t="s">
        <v>1174</v>
      </c>
      <c r="S57" s="793" t="s">
        <v>839</v>
      </c>
      <c r="T57" s="793" t="s">
        <v>1171</v>
      </c>
      <c r="U57" s="793" t="s">
        <v>1392</v>
      </c>
      <c r="V57" s="793" t="s">
        <v>841</v>
      </c>
      <c r="W57" s="795" t="s">
        <v>1173</v>
      </c>
      <c r="X57" s="793" t="s">
        <v>1394</v>
      </c>
      <c r="Y57" s="793" t="s">
        <v>839</v>
      </c>
      <c r="Z57" s="796"/>
      <c r="AA57" s="755"/>
      <c r="AB57" s="755"/>
      <c r="AC57" s="773"/>
      <c r="AD57" s="802"/>
      <c r="AF57" s="804"/>
      <c r="AG57" s="802"/>
      <c r="AH57" s="805"/>
      <c r="AI57" s="805"/>
      <c r="AJ57" s="805"/>
      <c r="AK57" s="805"/>
      <c r="AL57" s="806"/>
      <c r="AM57" s="805"/>
      <c r="AN57" s="805"/>
      <c r="AO57" s="807"/>
      <c r="AP57" s="805"/>
      <c r="AQ57" s="808"/>
      <c r="AR57" s="808"/>
      <c r="AS57" s="808"/>
      <c r="AT57" s="805"/>
      <c r="AU57" s="805"/>
      <c r="AV57" s="807"/>
      <c r="AW57" s="802"/>
      <c r="AX57" s="802"/>
      <c r="AY57" s="802"/>
      <c r="AZ57" s="802"/>
      <c r="BA57" s="802"/>
    </row>
    <row r="58" spans="1:53" s="803" customFormat="1" ht="12" customHeight="1" x14ac:dyDescent="0.25">
      <c r="A58" s="1115"/>
      <c r="B58" s="752" t="s">
        <v>1175</v>
      </c>
      <c r="C58" s="778">
        <f>C65</f>
        <v>35.092367699498666</v>
      </c>
      <c r="D58" s="800">
        <f>C58*$D$5</f>
        <v>7.088658275298731</v>
      </c>
      <c r="E58" s="754" t="s">
        <v>1176</v>
      </c>
      <c r="F58" s="810"/>
      <c r="G58" s="756"/>
      <c r="H58" s="756"/>
      <c r="I58" s="757">
        <f>SUM(I59:I66)</f>
        <v>2.1736</v>
      </c>
      <c r="J58" s="758" t="s">
        <v>1176</v>
      </c>
      <c r="K58" s="811"/>
      <c r="L58" s="759"/>
      <c r="M58" s="759"/>
      <c r="N58" s="786">
        <f>SUM(N59:N66)</f>
        <v>0.12012645587741469</v>
      </c>
      <c r="O58" s="759" t="s">
        <v>1176</v>
      </c>
      <c r="P58" s="759"/>
      <c r="Q58" s="812"/>
      <c r="R58" s="813"/>
      <c r="S58" s="760">
        <f>SUM(S59:S66)</f>
        <v>4.0757363061363364E-2</v>
      </c>
      <c r="T58" s="760"/>
      <c r="U58" s="760"/>
      <c r="V58" s="760"/>
      <c r="W58" s="760"/>
      <c r="X58" s="760"/>
      <c r="Y58" s="760">
        <f>SUM(Y59:Y66)</f>
        <v>4.2472967570827658</v>
      </c>
      <c r="Z58" s="762">
        <f>(C58+D58+I58+N58+S58+Y58)*$Z$5</f>
        <v>63.400800943507484</v>
      </c>
      <c r="AA58" s="763">
        <f>C58+D58+I58+N58+S58+Y58+Z58</f>
        <v>112.16360749432643</v>
      </c>
      <c r="AB58" s="764">
        <v>0.25</v>
      </c>
      <c r="AC58" s="765">
        <f>AA58*(1+AB58)</f>
        <v>140.20450936790803</v>
      </c>
      <c r="AD58" s="814"/>
      <c r="AF58" s="804"/>
      <c r="AG58" s="802"/>
      <c r="AH58" s="805"/>
      <c r="AI58" s="808"/>
      <c r="AJ58" s="815"/>
      <c r="AK58" s="816"/>
      <c r="AL58" s="806"/>
      <c r="AM58" s="817"/>
      <c r="AN58" s="818"/>
      <c r="AO58" s="817"/>
      <c r="AP58" s="808"/>
      <c r="AQ58" s="808"/>
      <c r="AR58" s="808"/>
      <c r="AS58" s="808"/>
      <c r="AT58" s="808"/>
      <c r="AU58" s="817"/>
      <c r="AV58" s="817"/>
      <c r="AW58" s="819"/>
      <c r="AX58" s="802"/>
      <c r="AY58" s="802"/>
      <c r="AZ58" s="802"/>
      <c r="BA58" s="802"/>
    </row>
    <row r="59" spans="1:53" s="803" customFormat="1" ht="12.75" customHeight="1" x14ac:dyDescent="0.25">
      <c r="A59" s="1115"/>
      <c r="B59" s="766" t="s">
        <v>830</v>
      </c>
      <c r="C59" s="778"/>
      <c r="D59" s="820"/>
      <c r="E59" s="767" t="s">
        <v>1437</v>
      </c>
      <c r="F59" s="768" t="s">
        <v>1438</v>
      </c>
      <c r="G59" s="769">
        <v>0.74</v>
      </c>
      <c r="H59" s="768">
        <v>0.01</v>
      </c>
      <c r="I59" s="770">
        <f>G59*H59</f>
        <v>7.4000000000000003E-3</v>
      </c>
      <c r="J59" s="758" t="s">
        <v>1291</v>
      </c>
      <c r="K59" s="771">
        <v>2</v>
      </c>
      <c r="L59" s="772">
        <v>750</v>
      </c>
      <c r="M59" s="771">
        <v>2</v>
      </c>
      <c r="N59" s="790">
        <f>L59/'Исп. коэффициенты'!E46*C64</f>
        <v>0.10355728954949542</v>
      </c>
      <c r="O59" s="759" t="s">
        <v>122</v>
      </c>
      <c r="P59" s="759">
        <v>1500.66</v>
      </c>
      <c r="Q59" s="759">
        <v>19.670000000000002</v>
      </c>
      <c r="R59" s="759">
        <f>P59*Q59%</f>
        <v>295.17982200000006</v>
      </c>
      <c r="S59" s="759">
        <f>R59/'Исп. коэффициенты'!E46*C64</f>
        <v>4.0757363061363364E-2</v>
      </c>
      <c r="T59" s="755" t="s">
        <v>1435</v>
      </c>
      <c r="U59" s="756">
        <v>6785401.3499999996</v>
      </c>
      <c r="V59" s="785">
        <f>'Исп. коэффициенты'!E124</f>
        <v>2978.5</v>
      </c>
      <c r="W59" s="761">
        <f>'Исп. коэффициенты'!D124</f>
        <v>1.3599999999999999E-2</v>
      </c>
      <c r="X59" s="760">
        <f>U59*W59</f>
        <v>92281.45835999999</v>
      </c>
      <c r="Y59" s="759">
        <f>X59/'Исп. коэффициенты'!E46/2</f>
        <v>4.2472967570827658</v>
      </c>
      <c r="Z59" s="759"/>
      <c r="AA59" s="755"/>
      <c r="AB59" s="755"/>
      <c r="AC59" s="773"/>
      <c r="AD59" s="802"/>
      <c r="AF59" s="821"/>
      <c r="AG59" s="802"/>
      <c r="AH59" s="805"/>
      <c r="AI59" s="805"/>
      <c r="AJ59" s="822"/>
      <c r="AK59" s="805"/>
      <c r="AL59" s="806"/>
      <c r="AM59" s="805"/>
      <c r="AN59" s="805"/>
      <c r="AO59" s="807"/>
      <c r="AP59" s="805"/>
      <c r="AQ59" s="805"/>
      <c r="AR59" s="807"/>
      <c r="AS59" s="807"/>
      <c r="AT59" s="805"/>
      <c r="AU59" s="805"/>
      <c r="AV59" s="807"/>
      <c r="AW59" s="802"/>
      <c r="AX59" s="802"/>
      <c r="AY59" s="802"/>
      <c r="AZ59" s="802"/>
      <c r="BA59" s="802"/>
    </row>
    <row r="60" spans="1:53" s="803" customFormat="1" x14ac:dyDescent="0.25">
      <c r="A60" s="1115"/>
      <c r="B60" s="774" t="s">
        <v>1178</v>
      </c>
      <c r="C60" s="753"/>
      <c r="D60" s="820"/>
      <c r="E60" s="767" t="s">
        <v>1439</v>
      </c>
      <c r="F60" s="768" t="s">
        <v>1438</v>
      </c>
      <c r="G60" s="769">
        <v>0.27</v>
      </c>
      <c r="H60" s="768">
        <v>0.01</v>
      </c>
      <c r="I60" s="775">
        <f>G60*H60</f>
        <v>2.7000000000000001E-3</v>
      </c>
      <c r="J60" s="758" t="s">
        <v>1445</v>
      </c>
      <c r="K60" s="760">
        <v>2</v>
      </c>
      <c r="L60" s="776">
        <v>95</v>
      </c>
      <c r="M60" s="771">
        <v>2</v>
      </c>
      <c r="N60" s="790">
        <f>L60/'Исп. коэффициенты'!E46*C64</f>
        <v>1.311725667626942E-2</v>
      </c>
      <c r="O60" s="759"/>
      <c r="P60" s="759"/>
      <c r="Q60" s="759"/>
      <c r="R60" s="759"/>
      <c r="S60" s="759"/>
      <c r="T60" s="759"/>
      <c r="U60" s="759"/>
      <c r="V60" s="759"/>
      <c r="W60" s="759"/>
      <c r="X60" s="759"/>
      <c r="Y60" s="759"/>
      <c r="Z60" s="759"/>
      <c r="AA60" s="755"/>
      <c r="AB60" s="755"/>
      <c r="AC60" s="773"/>
      <c r="AD60" s="802"/>
      <c r="AF60" s="821"/>
      <c r="AG60" s="802"/>
      <c r="AH60" s="805"/>
      <c r="AI60" s="805"/>
      <c r="AJ60" s="822"/>
      <c r="AK60" s="805"/>
      <c r="AL60" s="806"/>
      <c r="AM60" s="824"/>
      <c r="AN60" s="805"/>
      <c r="AO60" s="807"/>
      <c r="AP60" s="805"/>
      <c r="AQ60" s="805"/>
      <c r="AR60" s="807"/>
      <c r="AS60" s="807"/>
      <c r="AT60" s="805"/>
      <c r="AU60" s="805"/>
      <c r="AV60" s="807"/>
      <c r="AW60" s="802"/>
      <c r="AX60" s="802"/>
      <c r="AY60" s="802"/>
      <c r="AZ60" s="802"/>
      <c r="BA60" s="802"/>
    </row>
    <row r="61" spans="1:53" s="803" customFormat="1" ht="12.75" customHeight="1" x14ac:dyDescent="0.25">
      <c r="A61" s="1115"/>
      <c r="B61" s="754" t="s">
        <v>1179</v>
      </c>
      <c r="C61" s="778">
        <f>C51</f>
        <v>23.394911799665778</v>
      </c>
      <c r="D61" s="820"/>
      <c r="E61" s="767"/>
      <c r="F61" s="768"/>
      <c r="G61" s="769"/>
      <c r="H61" s="769"/>
      <c r="I61" s="770"/>
      <c r="J61" s="758" t="s">
        <v>1513</v>
      </c>
      <c r="K61" s="760">
        <v>2</v>
      </c>
      <c r="L61" s="760">
        <v>25</v>
      </c>
      <c r="M61" s="771">
        <v>0.5</v>
      </c>
      <c r="N61" s="790">
        <f>L61/'Исп. коэффициенты'!E46*C64</f>
        <v>3.4519096516498473E-3</v>
      </c>
      <c r="O61" s="759"/>
      <c r="P61" s="759"/>
      <c r="Q61" s="759"/>
      <c r="R61" s="759"/>
      <c r="S61" s="759"/>
      <c r="T61" s="759"/>
      <c r="U61" s="759"/>
      <c r="V61" s="759"/>
      <c r="W61" s="759"/>
      <c r="X61" s="759"/>
      <c r="Y61" s="759"/>
      <c r="Z61" s="759"/>
      <c r="AA61" s="755"/>
      <c r="AB61" s="755"/>
      <c r="AC61" s="773"/>
      <c r="AD61" s="802"/>
      <c r="AF61" s="821"/>
      <c r="AG61" s="802"/>
      <c r="AH61" s="805"/>
      <c r="AI61" s="805"/>
      <c r="AJ61" s="822"/>
      <c r="AK61" s="805"/>
      <c r="AL61" s="806"/>
      <c r="AM61" s="805"/>
      <c r="AN61" s="805"/>
      <c r="AO61" s="807"/>
      <c r="AP61" s="805"/>
      <c r="AQ61" s="805"/>
      <c r="AR61" s="807"/>
      <c r="AS61" s="807"/>
      <c r="AT61" s="805"/>
      <c r="AU61" s="805"/>
      <c r="AV61" s="807"/>
      <c r="AW61" s="802"/>
      <c r="AX61" s="802"/>
      <c r="AY61" s="802"/>
      <c r="AZ61" s="802"/>
      <c r="BA61" s="802"/>
    </row>
    <row r="62" spans="1:53" s="803" customFormat="1" ht="12.75" customHeight="1" x14ac:dyDescent="0.25">
      <c r="A62" s="1115"/>
      <c r="B62" s="754" t="s">
        <v>831</v>
      </c>
      <c r="C62" s="789"/>
      <c r="D62" s="820"/>
      <c r="E62" s="767"/>
      <c r="F62" s="768"/>
      <c r="G62" s="769"/>
      <c r="H62" s="768"/>
      <c r="I62" s="770"/>
      <c r="J62" s="758"/>
      <c r="K62" s="760"/>
      <c r="L62" s="760"/>
      <c r="M62" s="760"/>
      <c r="N62" s="760"/>
      <c r="O62" s="759"/>
      <c r="P62" s="759"/>
      <c r="Q62" s="759"/>
      <c r="R62" s="759"/>
      <c r="S62" s="759"/>
      <c r="T62" s="759"/>
      <c r="U62" s="759"/>
      <c r="V62" s="759"/>
      <c r="W62" s="759"/>
      <c r="X62" s="759"/>
      <c r="Y62" s="759"/>
      <c r="Z62" s="759"/>
      <c r="AA62" s="755"/>
      <c r="AB62" s="755"/>
      <c r="AC62" s="773"/>
      <c r="AD62" s="802"/>
      <c r="AF62" s="821"/>
      <c r="AG62" s="802"/>
      <c r="AH62" s="805"/>
      <c r="AI62" s="805"/>
      <c r="AJ62" s="822"/>
      <c r="AK62" s="805"/>
      <c r="AL62" s="806"/>
      <c r="AM62" s="805"/>
      <c r="AN62" s="805"/>
      <c r="AO62" s="807"/>
      <c r="AP62" s="805"/>
      <c r="AQ62" s="805"/>
      <c r="AR62" s="807"/>
      <c r="AS62" s="807"/>
      <c r="AT62" s="805"/>
      <c r="AU62" s="805"/>
      <c r="AV62" s="807"/>
      <c r="AW62" s="802"/>
      <c r="AX62" s="802"/>
      <c r="AY62" s="802"/>
      <c r="AZ62" s="802"/>
      <c r="BA62" s="802"/>
    </row>
    <row r="63" spans="1:53" s="803" customFormat="1" ht="12.75" customHeight="1" x14ac:dyDescent="0.25">
      <c r="A63" s="1115"/>
      <c r="B63" s="774" t="s">
        <v>1178</v>
      </c>
      <c r="C63" s="784"/>
      <c r="D63" s="820"/>
      <c r="E63" s="767" t="s">
        <v>1442</v>
      </c>
      <c r="F63" s="768" t="s">
        <v>1443</v>
      </c>
      <c r="G63" s="769">
        <v>419.5</v>
      </c>
      <c r="H63" s="768">
        <v>1E-3</v>
      </c>
      <c r="I63" s="770">
        <f>G63*H63</f>
        <v>0.41949999999999998</v>
      </c>
      <c r="J63" s="758"/>
      <c r="K63" s="760"/>
      <c r="L63" s="760"/>
      <c r="M63" s="760"/>
      <c r="N63" s="760"/>
      <c r="O63" s="759"/>
      <c r="P63" s="759"/>
      <c r="Q63" s="759"/>
      <c r="R63" s="759"/>
      <c r="S63" s="759"/>
      <c r="T63" s="759"/>
      <c r="U63" s="759"/>
      <c r="V63" s="759"/>
      <c r="W63" s="759"/>
      <c r="X63" s="759"/>
      <c r="Y63" s="759"/>
      <c r="Z63" s="759"/>
      <c r="AA63" s="755"/>
      <c r="AB63" s="755"/>
      <c r="AC63" s="773"/>
      <c r="AD63" s="802"/>
      <c r="AF63" s="821"/>
      <c r="AG63" s="802"/>
      <c r="AH63" s="805"/>
      <c r="AI63" s="805"/>
      <c r="AJ63" s="827"/>
      <c r="AK63" s="805"/>
      <c r="AL63" s="806"/>
      <c r="AM63" s="805"/>
      <c r="AN63" s="805"/>
      <c r="AO63" s="807"/>
      <c r="AP63" s="805"/>
      <c r="AQ63" s="805"/>
      <c r="AR63" s="807"/>
      <c r="AS63" s="807"/>
      <c r="AT63" s="805"/>
      <c r="AU63" s="805"/>
      <c r="AV63" s="807"/>
      <c r="AW63" s="802"/>
      <c r="AX63" s="802"/>
      <c r="AY63" s="802"/>
      <c r="AZ63" s="802"/>
      <c r="BA63" s="802"/>
    </row>
    <row r="64" spans="1:53" s="803" customFormat="1" ht="12.75" customHeight="1" x14ac:dyDescent="0.25">
      <c r="A64" s="1115"/>
      <c r="B64" s="754" t="s">
        <v>1179</v>
      </c>
      <c r="C64" s="784">
        <v>1.5</v>
      </c>
      <c r="D64" s="820"/>
      <c r="E64" s="767" t="s">
        <v>1444</v>
      </c>
      <c r="F64" s="768" t="s">
        <v>1443</v>
      </c>
      <c r="G64" s="769">
        <v>872</v>
      </c>
      <c r="H64" s="768">
        <v>2E-3</v>
      </c>
      <c r="I64" s="770">
        <f>G64*H64</f>
        <v>1.744</v>
      </c>
      <c r="J64" s="758"/>
      <c r="K64" s="760"/>
      <c r="L64" s="760"/>
      <c r="M64" s="760"/>
      <c r="N64" s="760"/>
      <c r="O64" s="759"/>
      <c r="P64" s="759"/>
      <c r="Q64" s="759"/>
      <c r="R64" s="759"/>
      <c r="S64" s="759"/>
      <c r="T64" s="759"/>
      <c r="U64" s="759"/>
      <c r="V64" s="759"/>
      <c r="W64" s="759"/>
      <c r="X64" s="759"/>
      <c r="Y64" s="759"/>
      <c r="Z64" s="759"/>
      <c r="AA64" s="755"/>
      <c r="AB64" s="755"/>
      <c r="AC64" s="773"/>
      <c r="AD64" s="802"/>
      <c r="AF64" s="821"/>
      <c r="AG64" s="802"/>
      <c r="AH64" s="805"/>
      <c r="AI64" s="805"/>
      <c r="AJ64" s="827"/>
      <c r="AK64" s="805"/>
      <c r="AL64" s="806"/>
      <c r="AM64" s="805"/>
      <c r="AN64" s="805"/>
      <c r="AO64" s="807"/>
      <c r="AP64" s="805"/>
      <c r="AQ64" s="805"/>
      <c r="AR64" s="807"/>
      <c r="AS64" s="807"/>
      <c r="AT64" s="805"/>
      <c r="AU64" s="805"/>
      <c r="AV64" s="807"/>
      <c r="AW64" s="802"/>
      <c r="AX64" s="802"/>
      <c r="AY64" s="802"/>
      <c r="AZ64" s="802"/>
      <c r="BA64" s="802"/>
    </row>
    <row r="65" spans="1:53" s="803" customFormat="1" ht="12.75" customHeight="1" x14ac:dyDescent="0.25">
      <c r="A65" s="1115"/>
      <c r="B65" s="782" t="s">
        <v>1181</v>
      </c>
      <c r="C65" s="778">
        <f>C60*C63+C61*C64</f>
        <v>35.092367699498666</v>
      </c>
      <c r="D65" s="820"/>
      <c r="E65" s="767"/>
      <c r="F65" s="781"/>
      <c r="G65" s="769"/>
      <c r="H65" s="768"/>
      <c r="I65" s="770"/>
      <c r="J65" s="758"/>
      <c r="K65" s="828"/>
      <c r="L65" s="776"/>
      <c r="M65" s="771"/>
      <c r="N65" s="760"/>
      <c r="O65" s="759"/>
      <c r="P65" s="759"/>
      <c r="Q65" s="759"/>
      <c r="R65" s="759"/>
      <c r="S65" s="759"/>
      <c r="T65" s="759"/>
      <c r="U65" s="759"/>
      <c r="V65" s="759"/>
      <c r="W65" s="759"/>
      <c r="X65" s="759"/>
      <c r="Y65" s="759"/>
      <c r="Z65" s="759"/>
      <c r="AA65" s="755"/>
      <c r="AB65" s="755"/>
      <c r="AC65" s="773"/>
      <c r="AD65" s="802"/>
      <c r="AF65" s="821"/>
      <c r="AG65" s="802"/>
      <c r="AH65" s="805"/>
      <c r="AI65" s="805"/>
      <c r="AJ65" s="822"/>
      <c r="AK65" s="805"/>
      <c r="AL65" s="806"/>
      <c r="AM65" s="805"/>
      <c r="AN65" s="805"/>
      <c r="AO65" s="807"/>
      <c r="AP65" s="805"/>
      <c r="AQ65" s="805"/>
      <c r="AR65" s="807"/>
      <c r="AS65" s="807"/>
      <c r="AT65" s="805"/>
      <c r="AU65" s="805"/>
      <c r="AV65" s="807"/>
      <c r="AW65" s="802"/>
      <c r="AX65" s="802"/>
      <c r="AY65" s="802"/>
      <c r="AZ65" s="802"/>
      <c r="BA65" s="802"/>
    </row>
    <row r="66" spans="1:53" s="803" customFormat="1" ht="13.5" customHeight="1" x14ac:dyDescent="0.25">
      <c r="A66" s="1116"/>
      <c r="B66" s="783"/>
      <c r="C66" s="784"/>
      <c r="D66" s="829"/>
      <c r="E66" s="767"/>
      <c r="F66" s="781"/>
      <c r="G66" s="769"/>
      <c r="H66" s="768"/>
      <c r="I66" s="770"/>
      <c r="J66" s="758"/>
      <c r="K66" s="828"/>
      <c r="L66" s="760"/>
      <c r="M66" s="771"/>
      <c r="N66" s="760"/>
      <c r="O66" s="759"/>
      <c r="P66" s="759"/>
      <c r="Q66" s="759"/>
      <c r="R66" s="759"/>
      <c r="S66" s="759"/>
      <c r="T66" s="759"/>
      <c r="U66" s="759"/>
      <c r="V66" s="759"/>
      <c r="W66" s="759"/>
      <c r="X66" s="759"/>
      <c r="Y66" s="759"/>
      <c r="Z66" s="759"/>
      <c r="AA66" s="755"/>
      <c r="AB66" s="755"/>
      <c r="AC66" s="773"/>
      <c r="AD66" s="802"/>
      <c r="AF66" s="821"/>
      <c r="AG66" s="802"/>
      <c r="AH66" s="805"/>
      <c r="AI66" s="805"/>
      <c r="AJ66" s="827"/>
      <c r="AK66" s="805"/>
      <c r="AL66" s="806"/>
      <c r="AM66" s="805"/>
      <c r="AN66" s="805"/>
      <c r="AO66" s="807"/>
      <c r="AP66" s="805"/>
      <c r="AQ66" s="805"/>
      <c r="AR66" s="807"/>
      <c r="AS66" s="807"/>
      <c r="AT66" s="805"/>
      <c r="AU66" s="805"/>
      <c r="AV66" s="807"/>
      <c r="AW66" s="802"/>
      <c r="AX66" s="802"/>
      <c r="AY66" s="802"/>
      <c r="AZ66" s="802"/>
      <c r="BA66" s="802"/>
    </row>
    <row r="67" spans="1:53" s="803" customFormat="1" ht="56.25" customHeight="1" x14ac:dyDescent="0.25">
      <c r="A67" s="1114" t="s">
        <v>109</v>
      </c>
      <c r="B67" s="788"/>
      <c r="C67" s="788"/>
      <c r="D67" s="800"/>
      <c r="E67" s="791" t="s">
        <v>488</v>
      </c>
      <c r="F67" s="792" t="s">
        <v>837</v>
      </c>
      <c r="G67" s="788" t="s">
        <v>489</v>
      </c>
      <c r="H67" s="791" t="s">
        <v>1170</v>
      </c>
      <c r="I67" s="792" t="s">
        <v>838</v>
      </c>
      <c r="J67" s="793" t="s">
        <v>1171</v>
      </c>
      <c r="K67" s="793" t="s">
        <v>490</v>
      </c>
      <c r="L67" s="794" t="s">
        <v>489</v>
      </c>
      <c r="M67" s="793" t="s">
        <v>1172</v>
      </c>
      <c r="N67" s="792" t="s">
        <v>838</v>
      </c>
      <c r="O67" s="793" t="s">
        <v>1171</v>
      </c>
      <c r="P67" s="793" t="s">
        <v>826</v>
      </c>
      <c r="Q67" s="793" t="s">
        <v>1173</v>
      </c>
      <c r="R67" s="793" t="s">
        <v>1174</v>
      </c>
      <c r="S67" s="793" t="s">
        <v>839</v>
      </c>
      <c r="T67" s="793" t="s">
        <v>1171</v>
      </c>
      <c r="U67" s="793" t="s">
        <v>1392</v>
      </c>
      <c r="V67" s="793" t="s">
        <v>841</v>
      </c>
      <c r="W67" s="795" t="s">
        <v>1173</v>
      </c>
      <c r="X67" s="793" t="s">
        <v>1394</v>
      </c>
      <c r="Y67" s="793" t="s">
        <v>839</v>
      </c>
      <c r="Z67" s="796"/>
      <c r="AA67" s="755"/>
      <c r="AB67" s="755"/>
      <c r="AC67" s="773"/>
      <c r="AD67" s="802"/>
      <c r="AF67" s="804"/>
      <c r="AG67" s="802"/>
      <c r="AH67" s="805"/>
      <c r="AI67" s="805"/>
      <c r="AJ67" s="805"/>
      <c r="AK67" s="805"/>
      <c r="AL67" s="806"/>
      <c r="AM67" s="805"/>
      <c r="AN67" s="805"/>
      <c r="AO67" s="807"/>
      <c r="AP67" s="805"/>
      <c r="AQ67" s="808"/>
      <c r="AR67" s="808"/>
      <c r="AS67" s="808"/>
      <c r="AT67" s="805"/>
      <c r="AU67" s="805"/>
      <c r="AV67" s="807"/>
      <c r="AW67" s="802"/>
      <c r="AX67" s="802"/>
      <c r="AY67" s="802"/>
      <c r="AZ67" s="802"/>
      <c r="BA67" s="802"/>
    </row>
    <row r="68" spans="1:53" s="803" customFormat="1" ht="12" customHeight="1" x14ac:dyDescent="0.25">
      <c r="A68" s="1115"/>
      <c r="B68" s="752" t="s">
        <v>1175</v>
      </c>
      <c r="C68" s="788">
        <f>C75</f>
        <v>35.092367699498666</v>
      </c>
      <c r="D68" s="800">
        <f>C68*$D$5</f>
        <v>7.088658275298731</v>
      </c>
      <c r="E68" s="754" t="s">
        <v>1176</v>
      </c>
      <c r="F68" s="810"/>
      <c r="G68" s="756"/>
      <c r="H68" s="756"/>
      <c r="I68" s="757">
        <f>SUM(I69:I76)</f>
        <v>6.3561000000000005</v>
      </c>
      <c r="J68" s="758" t="s">
        <v>1176</v>
      </c>
      <c r="K68" s="811"/>
      <c r="L68" s="759"/>
      <c r="M68" s="759"/>
      <c r="N68" s="760">
        <f>SUM(N69:N76)</f>
        <v>0.12012645587741469</v>
      </c>
      <c r="O68" s="759" t="s">
        <v>1176</v>
      </c>
      <c r="P68" s="759"/>
      <c r="Q68" s="812"/>
      <c r="R68" s="813"/>
      <c r="S68" s="760">
        <f>SUM(S69:S76)</f>
        <v>4.9886256263144872</v>
      </c>
      <c r="T68" s="760"/>
      <c r="U68" s="760"/>
      <c r="V68" s="760"/>
      <c r="W68" s="760"/>
      <c r="X68" s="760"/>
      <c r="Y68" s="760">
        <f>SUM(Y69:Y76)</f>
        <v>4.2472967570827658</v>
      </c>
      <c r="Z68" s="762">
        <f>(C68+D68+I68+N68+S68+Y68)*$Z$5</f>
        <v>75.271993390073249</v>
      </c>
      <c r="AA68" s="763">
        <f>C68+D68+I68+N68+S68+Y68+Z68</f>
        <v>133.16516820414532</v>
      </c>
      <c r="AB68" s="764">
        <v>0.25</v>
      </c>
      <c r="AC68" s="765">
        <f>AA68*(1+AB68)</f>
        <v>166.45646025518164</v>
      </c>
      <c r="AD68" s="814"/>
      <c r="AF68" s="804"/>
      <c r="AG68" s="802"/>
      <c r="AH68" s="805"/>
      <c r="AI68" s="808"/>
      <c r="AJ68" s="815"/>
      <c r="AK68" s="816"/>
      <c r="AL68" s="806"/>
      <c r="AM68" s="817"/>
      <c r="AN68" s="818"/>
      <c r="AO68" s="817"/>
      <c r="AP68" s="808"/>
      <c r="AQ68" s="808"/>
      <c r="AR68" s="808"/>
      <c r="AS68" s="808"/>
      <c r="AT68" s="808"/>
      <c r="AU68" s="817"/>
      <c r="AV68" s="817"/>
      <c r="AW68" s="819"/>
      <c r="AX68" s="802"/>
      <c r="AY68" s="802"/>
      <c r="AZ68" s="802"/>
      <c r="BA68" s="802"/>
    </row>
    <row r="69" spans="1:53" s="803" customFormat="1" ht="12.75" customHeight="1" x14ac:dyDescent="0.25">
      <c r="A69" s="1115"/>
      <c r="B69" s="766" t="s">
        <v>830</v>
      </c>
      <c r="C69" s="788"/>
      <c r="D69" s="820"/>
      <c r="E69" s="767" t="s">
        <v>1437</v>
      </c>
      <c r="F69" s="768" t="s">
        <v>1438</v>
      </c>
      <c r="G69" s="769">
        <v>0.74</v>
      </c>
      <c r="H69" s="768">
        <v>0.01</v>
      </c>
      <c r="I69" s="770">
        <f t="shared" ref="I69:I74" si="2">G69*H69</f>
        <v>7.4000000000000003E-3</v>
      </c>
      <c r="J69" s="758" t="s">
        <v>1291</v>
      </c>
      <c r="K69" s="771">
        <v>2</v>
      </c>
      <c r="L69" s="772">
        <v>750</v>
      </c>
      <c r="M69" s="771">
        <v>2</v>
      </c>
      <c r="N69" s="790">
        <f>L69/'Исп. коэффициенты'!E46*C74</f>
        <v>0.10355728954949542</v>
      </c>
      <c r="O69" s="759" t="s">
        <v>123</v>
      </c>
      <c r="P69" s="759">
        <v>22959.75</v>
      </c>
      <c r="Q69" s="759">
        <v>19.670000000000002</v>
      </c>
      <c r="R69" s="759">
        <f>P69*Q69%</f>
        <v>4516.1828249999999</v>
      </c>
      <c r="S69" s="759">
        <f>R69/'Исп. коэффициенты'!F46</f>
        <v>4.9886256263144872</v>
      </c>
      <c r="T69" s="755" t="s">
        <v>1435</v>
      </c>
      <c r="U69" s="756">
        <v>6785401.3499999996</v>
      </c>
      <c r="V69" s="785">
        <f>'Исп. коэффициенты'!E124</f>
        <v>2978.5</v>
      </c>
      <c r="W69" s="761">
        <f>'Исп. коэффициенты'!D124</f>
        <v>1.3599999999999999E-2</v>
      </c>
      <c r="X69" s="760">
        <f>U69*W69</f>
        <v>92281.45835999999</v>
      </c>
      <c r="Y69" s="759">
        <f>X69/'Исп. коэффициенты'!E46/2</f>
        <v>4.2472967570827658</v>
      </c>
      <c r="Z69" s="759"/>
      <c r="AA69" s="755"/>
      <c r="AB69" s="755"/>
      <c r="AC69" s="773"/>
      <c r="AD69" s="802"/>
      <c r="AF69" s="821"/>
      <c r="AG69" s="802"/>
      <c r="AH69" s="805"/>
      <c r="AI69" s="805"/>
      <c r="AJ69" s="822"/>
      <c r="AK69" s="805"/>
      <c r="AL69" s="806"/>
      <c r="AM69" s="805"/>
      <c r="AN69" s="805"/>
      <c r="AO69" s="807"/>
      <c r="AP69" s="805"/>
      <c r="AQ69" s="805"/>
      <c r="AR69" s="807"/>
      <c r="AS69" s="807"/>
      <c r="AT69" s="805"/>
      <c r="AU69" s="805"/>
      <c r="AV69" s="807"/>
      <c r="AW69" s="802"/>
      <c r="AX69" s="802"/>
      <c r="AY69" s="802"/>
      <c r="AZ69" s="802"/>
      <c r="BA69" s="802"/>
    </row>
    <row r="70" spans="1:53" s="803" customFormat="1" x14ac:dyDescent="0.25">
      <c r="A70" s="1115"/>
      <c r="B70" s="774" t="s">
        <v>1178</v>
      </c>
      <c r="C70" s="753"/>
      <c r="D70" s="820"/>
      <c r="E70" s="767" t="s">
        <v>1439</v>
      </c>
      <c r="F70" s="768" t="s">
        <v>1438</v>
      </c>
      <c r="G70" s="769">
        <v>0.27</v>
      </c>
      <c r="H70" s="768">
        <v>0.01</v>
      </c>
      <c r="I70" s="775">
        <f t="shared" si="2"/>
        <v>2.7000000000000001E-3</v>
      </c>
      <c r="J70" s="758" t="s">
        <v>1445</v>
      </c>
      <c r="K70" s="760">
        <v>2</v>
      </c>
      <c r="L70" s="776">
        <v>95</v>
      </c>
      <c r="M70" s="771">
        <v>2</v>
      </c>
      <c r="N70" s="790">
        <f>L70/'Исп. коэффициенты'!E46*C74</f>
        <v>1.311725667626942E-2</v>
      </c>
      <c r="O70" s="759"/>
      <c r="P70" s="759"/>
      <c r="Q70" s="759"/>
      <c r="R70" s="759"/>
      <c r="S70" s="759"/>
      <c r="T70" s="759"/>
      <c r="U70" s="759"/>
      <c r="V70" s="759"/>
      <c r="W70" s="759"/>
      <c r="X70" s="759"/>
      <c r="Y70" s="759"/>
      <c r="Z70" s="759"/>
      <c r="AA70" s="755"/>
      <c r="AB70" s="755"/>
      <c r="AC70" s="773"/>
      <c r="AD70" s="802"/>
      <c r="AF70" s="821"/>
      <c r="AG70" s="802"/>
      <c r="AH70" s="805"/>
      <c r="AI70" s="805"/>
      <c r="AJ70" s="822"/>
      <c r="AK70" s="805"/>
      <c r="AL70" s="806"/>
      <c r="AM70" s="824"/>
      <c r="AN70" s="805"/>
      <c r="AO70" s="807"/>
      <c r="AP70" s="805"/>
      <c r="AQ70" s="805"/>
      <c r="AR70" s="807"/>
      <c r="AS70" s="807"/>
      <c r="AT70" s="805"/>
      <c r="AU70" s="805"/>
      <c r="AV70" s="807"/>
      <c r="AW70" s="802"/>
      <c r="AX70" s="802"/>
      <c r="AY70" s="802"/>
      <c r="AZ70" s="802"/>
      <c r="BA70" s="802"/>
    </row>
    <row r="71" spans="1:53" s="803" customFormat="1" ht="12.75" customHeight="1" x14ac:dyDescent="0.25">
      <c r="A71" s="1115"/>
      <c r="B71" s="754" t="s">
        <v>1179</v>
      </c>
      <c r="C71" s="788">
        <f>C61</f>
        <v>23.394911799665778</v>
      </c>
      <c r="D71" s="820"/>
      <c r="E71" s="767"/>
      <c r="F71" s="768"/>
      <c r="G71" s="769"/>
      <c r="H71" s="769"/>
      <c r="I71" s="770"/>
      <c r="J71" s="758" t="s">
        <v>1513</v>
      </c>
      <c r="K71" s="760">
        <v>2</v>
      </c>
      <c r="L71" s="760">
        <v>25</v>
      </c>
      <c r="M71" s="771">
        <v>0.5</v>
      </c>
      <c r="N71" s="790">
        <f>L71/'Исп. коэффициенты'!E46*C74</f>
        <v>3.4519096516498473E-3</v>
      </c>
      <c r="O71" s="759"/>
      <c r="P71" s="759"/>
      <c r="Q71" s="759"/>
      <c r="R71" s="759"/>
      <c r="S71" s="759"/>
      <c r="T71" s="759"/>
      <c r="U71" s="759"/>
      <c r="V71" s="759"/>
      <c r="W71" s="759"/>
      <c r="X71" s="759"/>
      <c r="Y71" s="759"/>
      <c r="Z71" s="759"/>
      <c r="AA71" s="755"/>
      <c r="AB71" s="755"/>
      <c r="AC71" s="773"/>
      <c r="AD71" s="802"/>
      <c r="AF71" s="821"/>
      <c r="AG71" s="802"/>
      <c r="AH71" s="805"/>
      <c r="AI71" s="805"/>
      <c r="AJ71" s="822"/>
      <c r="AK71" s="805"/>
      <c r="AL71" s="806"/>
      <c r="AM71" s="805"/>
      <c r="AN71" s="805"/>
      <c r="AO71" s="807"/>
      <c r="AP71" s="805"/>
      <c r="AQ71" s="805"/>
      <c r="AR71" s="807"/>
      <c r="AS71" s="807"/>
      <c r="AT71" s="805"/>
      <c r="AU71" s="805"/>
      <c r="AV71" s="807"/>
      <c r="AW71" s="802"/>
      <c r="AX71" s="802"/>
      <c r="AY71" s="802"/>
      <c r="AZ71" s="802"/>
      <c r="BA71" s="802"/>
    </row>
    <row r="72" spans="1:53" s="803" customFormat="1" ht="12.75" customHeight="1" x14ac:dyDescent="0.25">
      <c r="A72" s="1115"/>
      <c r="B72" s="754" t="s">
        <v>831</v>
      </c>
      <c r="C72" s="789"/>
      <c r="D72" s="820"/>
      <c r="E72" s="767" t="s">
        <v>5</v>
      </c>
      <c r="F72" s="768" t="s">
        <v>1441</v>
      </c>
      <c r="G72" s="769">
        <v>16.73</v>
      </c>
      <c r="H72" s="768">
        <v>0.25</v>
      </c>
      <c r="I72" s="770">
        <f t="shared" si="2"/>
        <v>4.1825000000000001</v>
      </c>
      <c r="J72" s="758"/>
      <c r="K72" s="760"/>
      <c r="L72" s="760"/>
      <c r="M72" s="760"/>
      <c r="N72" s="760"/>
      <c r="O72" s="759"/>
      <c r="P72" s="759"/>
      <c r="Q72" s="759"/>
      <c r="R72" s="759"/>
      <c r="S72" s="759"/>
      <c r="T72" s="759"/>
      <c r="U72" s="759"/>
      <c r="V72" s="759"/>
      <c r="W72" s="759"/>
      <c r="X72" s="759"/>
      <c r="Y72" s="759"/>
      <c r="Z72" s="759"/>
      <c r="AA72" s="755"/>
      <c r="AB72" s="755"/>
      <c r="AC72" s="773"/>
      <c r="AD72" s="802"/>
      <c r="AF72" s="821"/>
      <c r="AG72" s="802"/>
      <c r="AH72" s="805"/>
      <c r="AI72" s="805"/>
      <c r="AJ72" s="822"/>
      <c r="AK72" s="805"/>
      <c r="AL72" s="806"/>
      <c r="AM72" s="805"/>
      <c r="AN72" s="805"/>
      <c r="AO72" s="807"/>
      <c r="AP72" s="805"/>
      <c r="AQ72" s="805"/>
      <c r="AR72" s="807"/>
      <c r="AS72" s="807"/>
      <c r="AT72" s="805"/>
      <c r="AU72" s="805"/>
      <c r="AV72" s="807"/>
      <c r="AW72" s="802"/>
      <c r="AX72" s="802"/>
      <c r="AY72" s="802"/>
      <c r="AZ72" s="802"/>
      <c r="BA72" s="802"/>
    </row>
    <row r="73" spans="1:53" s="803" customFormat="1" ht="12.75" customHeight="1" x14ac:dyDescent="0.25">
      <c r="A73" s="1115"/>
      <c r="B73" s="774" t="s">
        <v>1178</v>
      </c>
      <c r="C73" s="784"/>
      <c r="D73" s="820"/>
      <c r="E73" s="767" t="s">
        <v>1442</v>
      </c>
      <c r="F73" s="768" t="s">
        <v>1443</v>
      </c>
      <c r="G73" s="769">
        <v>419.5</v>
      </c>
      <c r="H73" s="768">
        <v>1E-3</v>
      </c>
      <c r="I73" s="770">
        <f t="shared" si="2"/>
        <v>0.41949999999999998</v>
      </c>
      <c r="J73" s="758"/>
      <c r="K73" s="760"/>
      <c r="L73" s="760"/>
      <c r="M73" s="760"/>
      <c r="N73" s="760"/>
      <c r="O73" s="759"/>
      <c r="P73" s="759"/>
      <c r="Q73" s="759"/>
      <c r="R73" s="759"/>
      <c r="S73" s="759"/>
      <c r="T73" s="759"/>
      <c r="U73" s="759"/>
      <c r="V73" s="759"/>
      <c r="W73" s="759"/>
      <c r="X73" s="759"/>
      <c r="Y73" s="759"/>
      <c r="Z73" s="759"/>
      <c r="AA73" s="755"/>
      <c r="AB73" s="755"/>
      <c r="AC73" s="773"/>
      <c r="AD73" s="802"/>
      <c r="AF73" s="821"/>
      <c r="AG73" s="802"/>
      <c r="AH73" s="805"/>
      <c r="AI73" s="805"/>
      <c r="AJ73" s="827"/>
      <c r="AK73" s="805"/>
      <c r="AL73" s="806"/>
      <c r="AM73" s="805"/>
      <c r="AN73" s="805"/>
      <c r="AO73" s="807"/>
      <c r="AP73" s="805"/>
      <c r="AQ73" s="805"/>
      <c r="AR73" s="807"/>
      <c r="AS73" s="807"/>
      <c r="AT73" s="805"/>
      <c r="AU73" s="805"/>
      <c r="AV73" s="807"/>
      <c r="AW73" s="802"/>
      <c r="AX73" s="802"/>
      <c r="AY73" s="802"/>
      <c r="AZ73" s="802"/>
      <c r="BA73" s="802"/>
    </row>
    <row r="74" spans="1:53" s="803" customFormat="1" ht="12.75" customHeight="1" x14ac:dyDescent="0.25">
      <c r="A74" s="1115"/>
      <c r="B74" s="754" t="s">
        <v>1179</v>
      </c>
      <c r="C74" s="784">
        <v>1.5</v>
      </c>
      <c r="D74" s="820"/>
      <c r="E74" s="767" t="s">
        <v>1444</v>
      </c>
      <c r="F74" s="768" t="s">
        <v>1443</v>
      </c>
      <c r="G74" s="769">
        <v>872</v>
      </c>
      <c r="H74" s="768">
        <v>2E-3</v>
      </c>
      <c r="I74" s="770">
        <f t="shared" si="2"/>
        <v>1.744</v>
      </c>
      <c r="J74" s="758"/>
      <c r="K74" s="760"/>
      <c r="L74" s="760"/>
      <c r="M74" s="760"/>
      <c r="N74" s="760"/>
      <c r="O74" s="759"/>
      <c r="P74" s="759"/>
      <c r="Q74" s="759"/>
      <c r="R74" s="759"/>
      <c r="S74" s="759"/>
      <c r="T74" s="759"/>
      <c r="U74" s="759"/>
      <c r="V74" s="759"/>
      <c r="W74" s="759"/>
      <c r="X74" s="759"/>
      <c r="Y74" s="759"/>
      <c r="Z74" s="759"/>
      <c r="AA74" s="755"/>
      <c r="AB74" s="755"/>
      <c r="AC74" s="773"/>
      <c r="AD74" s="802"/>
      <c r="AF74" s="821"/>
      <c r="AG74" s="802"/>
      <c r="AH74" s="805"/>
      <c r="AI74" s="805"/>
      <c r="AJ74" s="827"/>
      <c r="AK74" s="805"/>
      <c r="AL74" s="806"/>
      <c r="AM74" s="805"/>
      <c r="AN74" s="805"/>
      <c r="AO74" s="807"/>
      <c r="AP74" s="805"/>
      <c r="AQ74" s="805"/>
      <c r="AR74" s="807"/>
      <c r="AS74" s="807"/>
      <c r="AT74" s="805"/>
      <c r="AU74" s="805"/>
      <c r="AV74" s="807"/>
      <c r="AW74" s="802"/>
      <c r="AX74" s="802"/>
      <c r="AY74" s="802"/>
      <c r="AZ74" s="802"/>
      <c r="BA74" s="802"/>
    </row>
    <row r="75" spans="1:53" s="803" customFormat="1" ht="12.75" customHeight="1" x14ac:dyDescent="0.25">
      <c r="A75" s="1115"/>
      <c r="B75" s="782" t="s">
        <v>1181</v>
      </c>
      <c r="C75" s="788">
        <f>C70*C73+C71*C74</f>
        <v>35.092367699498666</v>
      </c>
      <c r="D75" s="820"/>
      <c r="E75" s="767"/>
      <c r="F75" s="781"/>
      <c r="G75" s="769"/>
      <c r="H75" s="768"/>
      <c r="I75" s="770"/>
      <c r="J75" s="758"/>
      <c r="K75" s="828"/>
      <c r="L75" s="776"/>
      <c r="M75" s="771"/>
      <c r="N75" s="760"/>
      <c r="O75" s="759"/>
      <c r="P75" s="759"/>
      <c r="Q75" s="759"/>
      <c r="R75" s="759"/>
      <c r="S75" s="759"/>
      <c r="T75" s="759"/>
      <c r="U75" s="759"/>
      <c r="V75" s="759"/>
      <c r="W75" s="759"/>
      <c r="X75" s="759"/>
      <c r="Y75" s="759"/>
      <c r="Z75" s="759"/>
      <c r="AA75" s="755"/>
      <c r="AB75" s="755"/>
      <c r="AC75" s="773"/>
      <c r="AD75" s="802"/>
      <c r="AF75" s="821"/>
      <c r="AG75" s="802"/>
      <c r="AH75" s="805"/>
      <c r="AI75" s="805"/>
      <c r="AJ75" s="822"/>
      <c r="AK75" s="805"/>
      <c r="AL75" s="806"/>
      <c r="AM75" s="805"/>
      <c r="AN75" s="805"/>
      <c r="AO75" s="807"/>
      <c r="AP75" s="805"/>
      <c r="AQ75" s="805"/>
      <c r="AR75" s="807"/>
      <c r="AS75" s="807"/>
      <c r="AT75" s="805"/>
      <c r="AU75" s="805"/>
      <c r="AV75" s="807"/>
      <c r="AW75" s="802"/>
      <c r="AX75" s="802"/>
      <c r="AY75" s="802"/>
      <c r="AZ75" s="802"/>
      <c r="BA75" s="802"/>
    </row>
    <row r="76" spans="1:53" s="803" customFormat="1" ht="13.5" customHeight="1" x14ac:dyDescent="0.25">
      <c r="A76" s="1116"/>
      <c r="B76" s="783"/>
      <c r="C76" s="784"/>
      <c r="D76" s="829"/>
      <c r="E76" s="767"/>
      <c r="F76" s="781"/>
      <c r="G76" s="769"/>
      <c r="H76" s="768"/>
      <c r="I76" s="770"/>
      <c r="J76" s="758"/>
      <c r="K76" s="828"/>
      <c r="L76" s="760"/>
      <c r="M76" s="771"/>
      <c r="N76" s="760"/>
      <c r="O76" s="759"/>
      <c r="P76" s="759"/>
      <c r="Q76" s="759"/>
      <c r="R76" s="759"/>
      <c r="S76" s="759"/>
      <c r="T76" s="759"/>
      <c r="U76" s="759"/>
      <c r="V76" s="759"/>
      <c r="W76" s="759"/>
      <c r="X76" s="759"/>
      <c r="Y76" s="759"/>
      <c r="Z76" s="759"/>
      <c r="AA76" s="755"/>
      <c r="AB76" s="755"/>
      <c r="AC76" s="773"/>
      <c r="AD76" s="802"/>
      <c r="AF76" s="821"/>
      <c r="AG76" s="802"/>
      <c r="AH76" s="805"/>
      <c r="AI76" s="805"/>
      <c r="AJ76" s="827"/>
      <c r="AK76" s="805"/>
      <c r="AL76" s="806"/>
      <c r="AM76" s="805"/>
      <c r="AN76" s="805"/>
      <c r="AO76" s="807"/>
      <c r="AP76" s="805"/>
      <c r="AQ76" s="805"/>
      <c r="AR76" s="807"/>
      <c r="AS76" s="807"/>
      <c r="AT76" s="805"/>
      <c r="AU76" s="805"/>
      <c r="AV76" s="807"/>
      <c r="AW76" s="802"/>
      <c r="AX76" s="802"/>
      <c r="AY76" s="802"/>
      <c r="AZ76" s="802"/>
      <c r="BA76" s="802"/>
    </row>
    <row r="77" spans="1:53" s="803" customFormat="1" ht="56.25" customHeight="1" x14ac:dyDescent="0.25">
      <c r="A77" s="1122" t="s">
        <v>110</v>
      </c>
      <c r="B77" s="788"/>
      <c r="C77" s="788"/>
      <c r="D77" s="800"/>
      <c r="E77" s="791" t="s">
        <v>488</v>
      </c>
      <c r="F77" s="792" t="s">
        <v>837</v>
      </c>
      <c r="G77" s="788" t="s">
        <v>489</v>
      </c>
      <c r="H77" s="791" t="s">
        <v>1170</v>
      </c>
      <c r="I77" s="792" t="s">
        <v>838</v>
      </c>
      <c r="J77" s="793" t="s">
        <v>1171</v>
      </c>
      <c r="K77" s="793" t="s">
        <v>490</v>
      </c>
      <c r="L77" s="794" t="s">
        <v>489</v>
      </c>
      <c r="M77" s="793" t="s">
        <v>1172</v>
      </c>
      <c r="N77" s="792" t="s">
        <v>838</v>
      </c>
      <c r="O77" s="793" t="s">
        <v>1171</v>
      </c>
      <c r="P77" s="793" t="s">
        <v>826</v>
      </c>
      <c r="Q77" s="793" t="s">
        <v>1173</v>
      </c>
      <c r="R77" s="793" t="s">
        <v>1174</v>
      </c>
      <c r="S77" s="793" t="s">
        <v>839</v>
      </c>
      <c r="T77" s="793" t="s">
        <v>1171</v>
      </c>
      <c r="U77" s="793" t="s">
        <v>1392</v>
      </c>
      <c r="V77" s="793" t="s">
        <v>841</v>
      </c>
      <c r="W77" s="795" t="s">
        <v>1173</v>
      </c>
      <c r="X77" s="793" t="s">
        <v>1394</v>
      </c>
      <c r="Y77" s="793" t="s">
        <v>839</v>
      </c>
      <c r="Z77" s="796"/>
      <c r="AA77" s="755"/>
      <c r="AB77" s="755"/>
      <c r="AC77" s="773"/>
      <c r="AD77" s="802"/>
      <c r="AF77" s="804"/>
      <c r="AG77" s="802"/>
      <c r="AH77" s="805"/>
      <c r="AI77" s="805"/>
      <c r="AJ77" s="805"/>
      <c r="AK77" s="805"/>
      <c r="AL77" s="806"/>
      <c r="AM77" s="805"/>
      <c r="AN77" s="805"/>
      <c r="AO77" s="807"/>
      <c r="AP77" s="805"/>
      <c r="AQ77" s="808"/>
      <c r="AR77" s="808"/>
      <c r="AS77" s="808"/>
      <c r="AT77" s="805"/>
      <c r="AU77" s="805"/>
      <c r="AV77" s="807"/>
      <c r="AW77" s="802"/>
      <c r="AX77" s="802"/>
      <c r="AY77" s="802"/>
      <c r="AZ77" s="802"/>
      <c r="BA77" s="802"/>
    </row>
    <row r="78" spans="1:53" s="803" customFormat="1" ht="12" customHeight="1" x14ac:dyDescent="0.25">
      <c r="A78" s="1122"/>
      <c r="B78" s="752" t="s">
        <v>1175</v>
      </c>
      <c r="C78" s="788">
        <f>C85</f>
        <v>46.789823599331555</v>
      </c>
      <c r="D78" s="800">
        <f>C78*$D$5</f>
        <v>9.4515443670649741</v>
      </c>
      <c r="E78" s="754" t="s">
        <v>1176</v>
      </c>
      <c r="F78" s="810"/>
      <c r="G78" s="756"/>
      <c r="H78" s="756"/>
      <c r="I78" s="757">
        <f>SUM(I79:I86)</f>
        <v>2.1736</v>
      </c>
      <c r="J78" s="758" t="s">
        <v>1176</v>
      </c>
      <c r="K78" s="811"/>
      <c r="L78" s="759"/>
      <c r="M78" s="759"/>
      <c r="N78" s="760">
        <f>SUM(N79:N86)</f>
        <v>0.16016860783655293</v>
      </c>
      <c r="O78" s="759" t="s">
        <v>1176</v>
      </c>
      <c r="P78" s="759"/>
      <c r="Q78" s="812"/>
      <c r="R78" s="813"/>
      <c r="S78" s="760">
        <f>SUM(S79:S86)</f>
        <v>1.3760876737185039</v>
      </c>
      <c r="T78" s="760"/>
      <c r="U78" s="760"/>
      <c r="V78" s="760"/>
      <c r="W78" s="760"/>
      <c r="X78" s="760"/>
      <c r="Y78" s="760">
        <f>SUM(Y79:Y86)</f>
        <v>4.2472967570827658</v>
      </c>
      <c r="Z78" s="762">
        <f>(C78+D78+I78+N78+S78+Y78)*$Z$5</f>
        <v>83.470126906372855</v>
      </c>
      <c r="AA78" s="763">
        <f>C78+D78+I78+N78+S78+Y78+Z78</f>
        <v>147.66864791140722</v>
      </c>
      <c r="AB78" s="764">
        <v>0.25</v>
      </c>
      <c r="AC78" s="765">
        <f>AA78*(1+AB78)</f>
        <v>184.58580988925902</v>
      </c>
      <c r="AD78" s="814"/>
      <c r="AF78" s="804"/>
      <c r="AG78" s="802"/>
      <c r="AH78" s="805"/>
      <c r="AI78" s="808"/>
      <c r="AJ78" s="815"/>
      <c r="AK78" s="816"/>
      <c r="AL78" s="806"/>
      <c r="AM78" s="817"/>
      <c r="AN78" s="818"/>
      <c r="AO78" s="817"/>
      <c r="AP78" s="808"/>
      <c r="AQ78" s="808"/>
      <c r="AR78" s="808"/>
      <c r="AS78" s="808"/>
      <c r="AT78" s="808"/>
      <c r="AU78" s="817"/>
      <c r="AV78" s="817"/>
      <c r="AW78" s="819"/>
      <c r="AX78" s="802"/>
      <c r="AY78" s="802"/>
      <c r="AZ78" s="802"/>
      <c r="BA78" s="802"/>
    </row>
    <row r="79" spans="1:53" s="803" customFormat="1" ht="12.75" customHeight="1" x14ac:dyDescent="0.25">
      <c r="A79" s="1122"/>
      <c r="B79" s="766" t="s">
        <v>830</v>
      </c>
      <c r="C79" s="788"/>
      <c r="D79" s="820"/>
      <c r="E79" s="767" t="s">
        <v>1437</v>
      </c>
      <c r="F79" s="768" t="s">
        <v>1438</v>
      </c>
      <c r="G79" s="769">
        <v>0.74</v>
      </c>
      <c r="H79" s="768">
        <v>0.01</v>
      </c>
      <c r="I79" s="770">
        <f>G79*H79</f>
        <v>7.4000000000000003E-3</v>
      </c>
      <c r="J79" s="758" t="s">
        <v>1291</v>
      </c>
      <c r="K79" s="771">
        <v>2</v>
      </c>
      <c r="L79" s="772">
        <v>750</v>
      </c>
      <c r="M79" s="771">
        <v>2</v>
      </c>
      <c r="N79" s="790">
        <f>L79/'Исп. коэффициенты'!E46*C84</f>
        <v>0.1380763860659939</v>
      </c>
      <c r="O79" s="759" t="s">
        <v>2203</v>
      </c>
      <c r="P79" s="759">
        <v>38000</v>
      </c>
      <c r="Q79" s="759">
        <v>19.670000000000002</v>
      </c>
      <c r="R79" s="759">
        <f>P79*Q79%</f>
        <v>7474.6</v>
      </c>
      <c r="S79" s="759">
        <f>R79/'Исп. коэффициенты'!E46*C84</f>
        <v>1.3760876737185039</v>
      </c>
      <c r="T79" s="755" t="s">
        <v>1435</v>
      </c>
      <c r="U79" s="756">
        <v>6785401.3499999996</v>
      </c>
      <c r="V79" s="785">
        <f>'Исп. коэффициенты'!E124</f>
        <v>2978.5</v>
      </c>
      <c r="W79" s="761">
        <f>'Исп. коэффициенты'!D124</f>
        <v>1.3599999999999999E-2</v>
      </c>
      <c r="X79" s="760">
        <f>U79*W79</f>
        <v>92281.45835999999</v>
      </c>
      <c r="Y79" s="759">
        <f>X79/'Исп. коэффициенты'!E46/2</f>
        <v>4.2472967570827658</v>
      </c>
      <c r="Z79" s="759"/>
      <c r="AA79" s="755"/>
      <c r="AB79" s="755"/>
      <c r="AC79" s="773"/>
      <c r="AD79" s="802"/>
      <c r="AF79" s="821"/>
      <c r="AG79" s="802"/>
      <c r="AH79" s="805"/>
      <c r="AI79" s="805"/>
      <c r="AJ79" s="822"/>
      <c r="AK79" s="805"/>
      <c r="AL79" s="806"/>
      <c r="AM79" s="805"/>
      <c r="AN79" s="805"/>
      <c r="AO79" s="807"/>
      <c r="AP79" s="805"/>
      <c r="AQ79" s="805"/>
      <c r="AR79" s="807"/>
      <c r="AS79" s="807"/>
      <c r="AT79" s="808"/>
      <c r="AU79" s="805"/>
      <c r="AV79" s="807"/>
      <c r="AW79" s="802"/>
      <c r="AX79" s="802"/>
      <c r="AY79" s="802"/>
      <c r="AZ79" s="802"/>
      <c r="BA79" s="802"/>
    </row>
    <row r="80" spans="1:53" s="803" customFormat="1" x14ac:dyDescent="0.25">
      <c r="A80" s="1122"/>
      <c r="B80" s="774" t="s">
        <v>1178</v>
      </c>
      <c r="C80" s="753"/>
      <c r="D80" s="820"/>
      <c r="E80" s="767" t="s">
        <v>1439</v>
      </c>
      <c r="F80" s="768" t="s">
        <v>1438</v>
      </c>
      <c r="G80" s="769">
        <v>0.27</v>
      </c>
      <c r="H80" s="768">
        <v>0.01</v>
      </c>
      <c r="I80" s="775">
        <f>G80*H80</f>
        <v>2.7000000000000001E-3</v>
      </c>
      <c r="J80" s="758" t="s">
        <v>1445</v>
      </c>
      <c r="K80" s="760">
        <v>2</v>
      </c>
      <c r="L80" s="776">
        <v>95</v>
      </c>
      <c r="M80" s="771">
        <v>2</v>
      </c>
      <c r="N80" s="790">
        <f>L80/'Исп. коэффициенты'!E46*C84</f>
        <v>1.7489675568359227E-2</v>
      </c>
      <c r="O80" s="759"/>
      <c r="P80" s="759"/>
      <c r="Q80" s="759"/>
      <c r="R80" s="759"/>
      <c r="S80" s="759"/>
      <c r="T80" s="759"/>
      <c r="U80" s="759"/>
      <c r="V80" s="759"/>
      <c r="W80" s="759"/>
      <c r="X80" s="759"/>
      <c r="Y80" s="759"/>
      <c r="Z80" s="759"/>
      <c r="AA80" s="755"/>
      <c r="AB80" s="755"/>
      <c r="AC80" s="773"/>
      <c r="AD80" s="802"/>
      <c r="AF80" s="821"/>
      <c r="AG80" s="802"/>
      <c r="AH80" s="805"/>
      <c r="AI80" s="805"/>
      <c r="AJ80" s="822"/>
      <c r="AK80" s="805"/>
      <c r="AL80" s="806"/>
      <c r="AM80" s="824"/>
      <c r="AN80" s="805"/>
      <c r="AO80" s="807"/>
      <c r="AP80" s="805"/>
      <c r="AQ80" s="805"/>
      <c r="AR80" s="807"/>
      <c r="AS80" s="807"/>
      <c r="AT80" s="805"/>
      <c r="AU80" s="805"/>
      <c r="AV80" s="807"/>
      <c r="AW80" s="802"/>
      <c r="AX80" s="802"/>
      <c r="AY80" s="802"/>
      <c r="AZ80" s="802"/>
      <c r="BA80" s="802"/>
    </row>
    <row r="81" spans="1:53" s="803" customFormat="1" ht="12.75" customHeight="1" x14ac:dyDescent="0.25">
      <c r="A81" s="1122"/>
      <c r="B81" s="754" t="s">
        <v>1179</v>
      </c>
      <c r="C81" s="788">
        <f>C71</f>
        <v>23.394911799665778</v>
      </c>
      <c r="D81" s="820"/>
      <c r="E81" s="767"/>
      <c r="F81" s="768"/>
      <c r="G81" s="769"/>
      <c r="H81" s="769"/>
      <c r="I81" s="770"/>
      <c r="J81" s="758" t="s">
        <v>1513</v>
      </c>
      <c r="K81" s="760">
        <v>2</v>
      </c>
      <c r="L81" s="760">
        <v>25</v>
      </c>
      <c r="M81" s="771">
        <v>0.5</v>
      </c>
      <c r="N81" s="790">
        <f>L81/'Исп. коэффициенты'!E46*C84</f>
        <v>4.6025462021997967E-3</v>
      </c>
      <c r="O81" s="759"/>
      <c r="P81" s="759"/>
      <c r="Q81" s="759"/>
      <c r="R81" s="759"/>
      <c r="S81" s="759"/>
      <c r="T81" s="759"/>
      <c r="U81" s="759"/>
      <c r="V81" s="759"/>
      <c r="W81" s="759"/>
      <c r="X81" s="759"/>
      <c r="Y81" s="759"/>
      <c r="Z81" s="759"/>
      <c r="AA81" s="755"/>
      <c r="AB81" s="755"/>
      <c r="AC81" s="773"/>
      <c r="AD81" s="802"/>
      <c r="AF81" s="821"/>
      <c r="AG81" s="802"/>
      <c r="AH81" s="805"/>
      <c r="AI81" s="805"/>
      <c r="AJ81" s="822"/>
      <c r="AK81" s="805"/>
      <c r="AL81" s="806"/>
      <c r="AM81" s="805"/>
      <c r="AN81" s="805"/>
      <c r="AO81" s="807"/>
      <c r="AP81" s="805"/>
      <c r="AQ81" s="805"/>
      <c r="AR81" s="807"/>
      <c r="AS81" s="807"/>
      <c r="AT81" s="805"/>
      <c r="AU81" s="805"/>
      <c r="AV81" s="807"/>
      <c r="AW81" s="802"/>
      <c r="AX81" s="802"/>
      <c r="AY81" s="802"/>
      <c r="AZ81" s="802"/>
      <c r="BA81" s="802"/>
    </row>
    <row r="82" spans="1:53" s="803" customFormat="1" ht="12.75" customHeight="1" x14ac:dyDescent="0.25">
      <c r="A82" s="1122"/>
      <c r="B82" s="754" t="s">
        <v>831</v>
      </c>
      <c r="C82" s="789"/>
      <c r="D82" s="820"/>
      <c r="E82" s="767"/>
      <c r="F82" s="768"/>
      <c r="G82" s="769"/>
      <c r="H82" s="768"/>
      <c r="I82" s="770"/>
      <c r="J82" s="758"/>
      <c r="K82" s="760"/>
      <c r="L82" s="760"/>
      <c r="M82" s="760"/>
      <c r="N82" s="760"/>
      <c r="O82" s="759"/>
      <c r="P82" s="759"/>
      <c r="Q82" s="759"/>
      <c r="R82" s="759"/>
      <c r="S82" s="759"/>
      <c r="T82" s="759"/>
      <c r="U82" s="759"/>
      <c r="V82" s="759"/>
      <c r="W82" s="759"/>
      <c r="X82" s="759"/>
      <c r="Y82" s="759"/>
      <c r="Z82" s="759"/>
      <c r="AA82" s="755"/>
      <c r="AB82" s="755"/>
      <c r="AC82" s="773"/>
      <c r="AD82" s="802"/>
      <c r="AF82" s="821"/>
      <c r="AG82" s="802"/>
      <c r="AH82" s="805"/>
      <c r="AI82" s="805"/>
      <c r="AJ82" s="822"/>
      <c r="AK82" s="805"/>
      <c r="AL82" s="806"/>
      <c r="AM82" s="805"/>
      <c r="AN82" s="805"/>
      <c r="AO82" s="807"/>
      <c r="AP82" s="805"/>
      <c r="AQ82" s="805"/>
      <c r="AR82" s="807"/>
      <c r="AS82" s="807"/>
      <c r="AT82" s="805"/>
      <c r="AU82" s="805"/>
      <c r="AV82" s="807"/>
      <c r="AW82" s="802"/>
      <c r="AX82" s="802"/>
      <c r="AY82" s="802"/>
      <c r="AZ82" s="802"/>
      <c r="BA82" s="802"/>
    </row>
    <row r="83" spans="1:53" s="803" customFormat="1" ht="12.75" customHeight="1" x14ac:dyDescent="0.25">
      <c r="A83" s="1122"/>
      <c r="B83" s="774" t="s">
        <v>1178</v>
      </c>
      <c r="C83" s="784"/>
      <c r="D83" s="820"/>
      <c r="E83" s="767" t="s">
        <v>1442</v>
      </c>
      <c r="F83" s="768" t="s">
        <v>1443</v>
      </c>
      <c r="G83" s="769">
        <v>419.5</v>
      </c>
      <c r="H83" s="768">
        <v>1E-3</v>
      </c>
      <c r="I83" s="770">
        <f>G83*H83</f>
        <v>0.41949999999999998</v>
      </c>
      <c r="J83" s="758"/>
      <c r="K83" s="760"/>
      <c r="L83" s="760"/>
      <c r="M83" s="760"/>
      <c r="N83" s="760"/>
      <c r="O83" s="759"/>
      <c r="P83" s="759"/>
      <c r="Q83" s="759"/>
      <c r="R83" s="759"/>
      <c r="S83" s="759"/>
      <c r="T83" s="759"/>
      <c r="U83" s="759"/>
      <c r="V83" s="759"/>
      <c r="W83" s="759"/>
      <c r="X83" s="759"/>
      <c r="Y83" s="759"/>
      <c r="Z83" s="759"/>
      <c r="AA83" s="755"/>
      <c r="AB83" s="755"/>
      <c r="AC83" s="773"/>
      <c r="AD83" s="802"/>
      <c r="AF83" s="821"/>
      <c r="AG83" s="802"/>
      <c r="AH83" s="805"/>
      <c r="AI83" s="805"/>
      <c r="AJ83" s="827"/>
      <c r="AK83" s="805"/>
      <c r="AL83" s="806"/>
      <c r="AM83" s="805"/>
      <c r="AN83" s="805"/>
      <c r="AO83" s="807"/>
      <c r="AP83" s="805"/>
      <c r="AQ83" s="805"/>
      <c r="AR83" s="807"/>
      <c r="AS83" s="807"/>
      <c r="AT83" s="805"/>
      <c r="AU83" s="805"/>
      <c r="AV83" s="807"/>
      <c r="AW83" s="802"/>
      <c r="AX83" s="802"/>
      <c r="AY83" s="802"/>
      <c r="AZ83" s="802"/>
      <c r="BA83" s="802"/>
    </row>
    <row r="84" spans="1:53" s="803" customFormat="1" ht="12.75" customHeight="1" x14ac:dyDescent="0.25">
      <c r="A84" s="1122"/>
      <c r="B84" s="754" t="s">
        <v>1179</v>
      </c>
      <c r="C84" s="784">
        <v>2</v>
      </c>
      <c r="D84" s="820"/>
      <c r="E84" s="767" t="s">
        <v>1444</v>
      </c>
      <c r="F84" s="768" t="s">
        <v>1443</v>
      </c>
      <c r="G84" s="769">
        <v>872</v>
      </c>
      <c r="H84" s="768">
        <v>2E-3</v>
      </c>
      <c r="I84" s="770">
        <f>G84*H84</f>
        <v>1.744</v>
      </c>
      <c r="J84" s="758"/>
      <c r="K84" s="760"/>
      <c r="L84" s="760"/>
      <c r="M84" s="760"/>
      <c r="N84" s="760"/>
      <c r="O84" s="759"/>
      <c r="P84" s="759"/>
      <c r="Q84" s="759"/>
      <c r="R84" s="759"/>
      <c r="S84" s="759"/>
      <c r="T84" s="759"/>
      <c r="U84" s="759"/>
      <c r="V84" s="759"/>
      <c r="W84" s="759"/>
      <c r="X84" s="759"/>
      <c r="Y84" s="759"/>
      <c r="Z84" s="759"/>
      <c r="AA84" s="755"/>
      <c r="AB84" s="755"/>
      <c r="AC84" s="773"/>
      <c r="AD84" s="802"/>
      <c r="AF84" s="821"/>
      <c r="AG84" s="802"/>
      <c r="AH84" s="805"/>
      <c r="AI84" s="805"/>
      <c r="AJ84" s="827"/>
      <c r="AK84" s="805"/>
      <c r="AL84" s="806"/>
      <c r="AM84" s="805"/>
      <c r="AN84" s="805"/>
      <c r="AO84" s="807"/>
      <c r="AP84" s="805"/>
      <c r="AQ84" s="805"/>
      <c r="AR84" s="807"/>
      <c r="AS84" s="807"/>
      <c r="AT84" s="805"/>
      <c r="AU84" s="805"/>
      <c r="AV84" s="807"/>
      <c r="AW84" s="802"/>
      <c r="AX84" s="802"/>
      <c r="AY84" s="802"/>
      <c r="AZ84" s="802"/>
      <c r="BA84" s="802"/>
    </row>
    <row r="85" spans="1:53" s="803" customFormat="1" ht="12.75" customHeight="1" x14ac:dyDescent="0.25">
      <c r="A85" s="1122"/>
      <c r="B85" s="782" t="s">
        <v>1181</v>
      </c>
      <c r="C85" s="788">
        <f>C80*C83+C81*C84</f>
        <v>46.789823599331555</v>
      </c>
      <c r="D85" s="820"/>
      <c r="E85" s="767"/>
      <c r="F85" s="781"/>
      <c r="G85" s="769"/>
      <c r="H85" s="768"/>
      <c r="I85" s="770"/>
      <c r="J85" s="758"/>
      <c r="K85" s="828"/>
      <c r="L85" s="776"/>
      <c r="M85" s="771"/>
      <c r="N85" s="760"/>
      <c r="O85" s="759"/>
      <c r="P85" s="759"/>
      <c r="Q85" s="759"/>
      <c r="R85" s="759"/>
      <c r="S85" s="759"/>
      <c r="T85" s="759"/>
      <c r="U85" s="759"/>
      <c r="V85" s="759"/>
      <c r="W85" s="759"/>
      <c r="X85" s="759"/>
      <c r="Y85" s="759"/>
      <c r="Z85" s="759"/>
      <c r="AA85" s="755"/>
      <c r="AB85" s="755"/>
      <c r="AC85" s="773"/>
      <c r="AD85" s="802"/>
      <c r="AF85" s="821"/>
      <c r="AG85" s="802"/>
      <c r="AH85" s="805"/>
      <c r="AI85" s="805"/>
      <c r="AJ85" s="822"/>
      <c r="AK85" s="805"/>
      <c r="AL85" s="806"/>
      <c r="AM85" s="805"/>
      <c r="AN85" s="805"/>
      <c r="AO85" s="807"/>
      <c r="AP85" s="805"/>
      <c r="AQ85" s="805"/>
      <c r="AR85" s="807"/>
      <c r="AS85" s="807"/>
      <c r="AT85" s="805"/>
      <c r="AU85" s="805"/>
      <c r="AV85" s="807"/>
      <c r="AW85" s="802"/>
      <c r="AX85" s="802"/>
      <c r="AY85" s="802"/>
      <c r="AZ85" s="802"/>
      <c r="BA85" s="802"/>
    </row>
    <row r="86" spans="1:53" s="803" customFormat="1" ht="12.75" customHeight="1" x14ac:dyDescent="0.25">
      <c r="A86" s="1122"/>
      <c r="B86" s="782"/>
      <c r="C86" s="788"/>
      <c r="D86" s="829"/>
      <c r="E86" s="767"/>
      <c r="F86" s="781"/>
      <c r="G86" s="769"/>
      <c r="H86" s="768"/>
      <c r="I86" s="770"/>
      <c r="J86" s="758"/>
      <c r="K86" s="828"/>
      <c r="L86" s="760"/>
      <c r="M86" s="760"/>
      <c r="N86" s="760"/>
      <c r="O86" s="759"/>
      <c r="P86" s="759"/>
      <c r="Q86" s="759"/>
      <c r="R86" s="759"/>
      <c r="S86" s="759"/>
      <c r="T86" s="759"/>
      <c r="U86" s="759"/>
      <c r="V86" s="759"/>
      <c r="W86" s="759"/>
      <c r="X86" s="759"/>
      <c r="Y86" s="759"/>
      <c r="Z86" s="759"/>
      <c r="AA86" s="755"/>
      <c r="AB86" s="755"/>
      <c r="AC86" s="773"/>
      <c r="AD86" s="802"/>
      <c r="AF86" s="821"/>
      <c r="AG86" s="802"/>
      <c r="AH86" s="805"/>
      <c r="AI86" s="805"/>
      <c r="AJ86" s="822"/>
      <c r="AK86" s="805"/>
      <c r="AL86" s="806"/>
      <c r="AM86" s="805"/>
      <c r="AN86" s="805"/>
      <c r="AO86" s="807"/>
      <c r="AP86" s="805"/>
      <c r="AQ86" s="805"/>
      <c r="AR86" s="807"/>
      <c r="AS86" s="807"/>
      <c r="AT86" s="805"/>
      <c r="AU86" s="805"/>
      <c r="AV86" s="807"/>
      <c r="AW86" s="802"/>
      <c r="AX86" s="802"/>
      <c r="AY86" s="802"/>
      <c r="AZ86" s="802"/>
      <c r="BA86" s="802"/>
    </row>
    <row r="87" spans="1:53" ht="56.25" customHeight="1" x14ac:dyDescent="0.25">
      <c r="A87" s="1012" t="s">
        <v>111</v>
      </c>
      <c r="B87" s="51"/>
      <c r="C87" s="51"/>
      <c r="D87" s="219"/>
      <c r="E87" s="52" t="s">
        <v>488</v>
      </c>
      <c r="F87" s="53" t="s">
        <v>837</v>
      </c>
      <c r="G87" s="51" t="s">
        <v>489</v>
      </c>
      <c r="H87" s="52" t="s">
        <v>1170</v>
      </c>
      <c r="I87" s="53" t="s">
        <v>838</v>
      </c>
      <c r="J87" s="47" t="s">
        <v>1171</v>
      </c>
      <c r="K87" s="47" t="s">
        <v>490</v>
      </c>
      <c r="L87" s="54" t="s">
        <v>489</v>
      </c>
      <c r="M87" s="47" t="s">
        <v>1172</v>
      </c>
      <c r="N87" s="53" t="s">
        <v>838</v>
      </c>
      <c r="O87" s="47" t="s">
        <v>1171</v>
      </c>
      <c r="P87" s="47" t="s">
        <v>826</v>
      </c>
      <c r="Q87" s="47" t="s">
        <v>1173</v>
      </c>
      <c r="R87" s="47" t="s">
        <v>1174</v>
      </c>
      <c r="S87" s="47" t="s">
        <v>839</v>
      </c>
      <c r="T87" s="47" t="s">
        <v>1171</v>
      </c>
      <c r="U87" s="47" t="s">
        <v>1392</v>
      </c>
      <c r="V87" s="47" t="s">
        <v>841</v>
      </c>
      <c r="W87" s="231" t="s">
        <v>1173</v>
      </c>
      <c r="X87" s="47" t="s">
        <v>1394</v>
      </c>
      <c r="Y87" s="47" t="s">
        <v>839</v>
      </c>
      <c r="Z87" s="55"/>
      <c r="AA87" s="1"/>
      <c r="AB87" s="1"/>
      <c r="AC87" s="245"/>
      <c r="AD87" s="56"/>
      <c r="AQ87" s="139"/>
      <c r="AR87" s="139"/>
      <c r="AS87" s="139"/>
    </row>
    <row r="88" spans="1:53" ht="12" customHeight="1" x14ac:dyDescent="0.25">
      <c r="A88" s="1013"/>
      <c r="B88" s="36" t="s">
        <v>1175</v>
      </c>
      <c r="C88" s="51">
        <f>C95</f>
        <v>70.184735398997333</v>
      </c>
      <c r="D88" s="219">
        <f>C88*$D$5</f>
        <v>14.177316550597462</v>
      </c>
      <c r="E88" s="57" t="s">
        <v>1176</v>
      </c>
      <c r="F88" s="165"/>
      <c r="G88" s="58"/>
      <c r="H88" s="58"/>
      <c r="I88" s="2">
        <f>SUM(I89:I96)</f>
        <v>2.1736</v>
      </c>
      <c r="J88" s="59" t="s">
        <v>1176</v>
      </c>
      <c r="K88" s="169"/>
      <c r="L88" s="60"/>
      <c r="M88" s="60"/>
      <c r="N88" s="61">
        <f>SUM(N89:N96)</f>
        <v>8.4000000000000005E-2</v>
      </c>
      <c r="O88" s="60" t="s">
        <v>1176</v>
      </c>
      <c r="P88" s="60"/>
      <c r="Q88" s="62"/>
      <c r="R88" s="63"/>
      <c r="S88" s="61">
        <f>SUM(S89:S96)</f>
        <v>0</v>
      </c>
      <c r="T88" s="61"/>
      <c r="U88" s="61"/>
      <c r="V88" s="61"/>
      <c r="W88" s="61"/>
      <c r="X88" s="61"/>
      <c r="Y88" s="61">
        <f>SUM(Y89:Y96)</f>
        <v>9.1999999999999998E-3</v>
      </c>
      <c r="Z88" s="64">
        <f>(C88+D88+I88+N88+S88+Y88)*$Z$5</f>
        <v>112.63376714580428</v>
      </c>
      <c r="AA88" s="65">
        <f>C88+D88+I88+N88+S88+Y88+Z88</f>
        <v>199.26261909539909</v>
      </c>
      <c r="AB88" s="66">
        <v>0.25</v>
      </c>
      <c r="AC88" s="244">
        <f>AA88*(1+AB88)</f>
        <v>249.07827386924885</v>
      </c>
      <c r="AD88" s="67"/>
      <c r="AI88" s="139"/>
      <c r="AJ88" s="140"/>
      <c r="AK88" s="141"/>
      <c r="AM88" s="142"/>
      <c r="AN88" s="143"/>
      <c r="AO88" s="142"/>
      <c r="AP88" s="139"/>
      <c r="AQ88" s="139"/>
      <c r="AR88" s="139"/>
      <c r="AS88" s="139"/>
      <c r="AT88" s="139"/>
      <c r="AU88" s="142"/>
      <c r="AV88" s="142"/>
      <c r="AW88" s="144"/>
    </row>
    <row r="89" spans="1:53" ht="12.75" customHeight="1" x14ac:dyDescent="0.25">
      <c r="A89" s="1013"/>
      <c r="B89" s="50" t="s">
        <v>830</v>
      </c>
      <c r="C89" s="51"/>
      <c r="D89" s="220"/>
      <c r="E89" s="68" t="s">
        <v>1437</v>
      </c>
      <c r="F89" s="69" t="s">
        <v>1438</v>
      </c>
      <c r="G89" s="70">
        <v>0.74</v>
      </c>
      <c r="H89" s="69">
        <v>0.01</v>
      </c>
      <c r="I89" s="71">
        <f>G89*H89</f>
        <v>7.4000000000000003E-3</v>
      </c>
      <c r="J89" s="59" t="s">
        <v>1291</v>
      </c>
      <c r="K89" s="61">
        <v>2</v>
      </c>
      <c r="L89" s="61">
        <v>640</v>
      </c>
      <c r="M89" s="61">
        <v>2</v>
      </c>
      <c r="N89" s="61">
        <v>0.05</v>
      </c>
      <c r="O89" s="60"/>
      <c r="P89" s="60"/>
      <c r="Q89" s="60"/>
      <c r="R89" s="60"/>
      <c r="S89" s="60"/>
      <c r="T89" s="239" t="s">
        <v>1435</v>
      </c>
      <c r="U89" s="240">
        <v>6785401.3499999996</v>
      </c>
      <c r="V89" s="241">
        <v>1.32E-2</v>
      </c>
      <c r="W89" s="239">
        <v>1508.3</v>
      </c>
      <c r="X89" s="61">
        <v>59.38</v>
      </c>
      <c r="Y89" s="60">
        <v>9.1999999999999998E-3</v>
      </c>
      <c r="Z89" s="60"/>
      <c r="AA89" s="1"/>
      <c r="AB89" s="1"/>
      <c r="AC89" s="245"/>
      <c r="AD89" s="56"/>
      <c r="AF89" s="151"/>
      <c r="AJ89" s="136"/>
      <c r="AT89" s="139"/>
    </row>
    <row r="90" spans="1:53" x14ac:dyDescent="0.25">
      <c r="A90" s="1013"/>
      <c r="B90" s="74" t="s">
        <v>1178</v>
      </c>
      <c r="C90" s="75"/>
      <c r="D90" s="220"/>
      <c r="E90" s="68" t="s">
        <v>1439</v>
      </c>
      <c r="F90" s="69" t="s">
        <v>1438</v>
      </c>
      <c r="G90" s="70">
        <v>0.27</v>
      </c>
      <c r="H90" s="69">
        <v>0.01</v>
      </c>
      <c r="I90" s="242">
        <f>G90*H90</f>
        <v>2.7000000000000001E-3</v>
      </c>
      <c r="J90" s="59" t="s">
        <v>1445</v>
      </c>
      <c r="K90" s="61">
        <v>2</v>
      </c>
      <c r="L90" s="61">
        <v>84</v>
      </c>
      <c r="M90" s="61">
        <v>2</v>
      </c>
      <c r="N90" s="61">
        <v>8.9999999999999993E-3</v>
      </c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1"/>
      <c r="AB90" s="1"/>
      <c r="AC90" s="245"/>
      <c r="AD90" s="56"/>
      <c r="AF90" s="151"/>
      <c r="AJ90" s="136"/>
      <c r="AM90" s="145"/>
    </row>
    <row r="91" spans="1:53" ht="12.75" customHeight="1" x14ac:dyDescent="0.25">
      <c r="A91" s="1013"/>
      <c r="B91" s="57" t="s">
        <v>1179</v>
      </c>
      <c r="C91" s="51">
        <f>C81</f>
        <v>23.394911799665778</v>
      </c>
      <c r="D91" s="220"/>
      <c r="E91" s="68"/>
      <c r="F91" s="69"/>
      <c r="G91" s="70"/>
      <c r="H91" s="70"/>
      <c r="I91" s="71"/>
      <c r="J91" s="59" t="s">
        <v>1513</v>
      </c>
      <c r="K91" s="61">
        <v>2</v>
      </c>
      <c r="L91" s="61">
        <v>96</v>
      </c>
      <c r="M91" s="61">
        <v>0.5</v>
      </c>
      <c r="N91" s="61">
        <v>2.5000000000000001E-2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1"/>
      <c r="AB91" s="1"/>
      <c r="AC91" s="245"/>
      <c r="AD91" s="56"/>
      <c r="AF91" s="151"/>
      <c r="AJ91" s="136"/>
    </row>
    <row r="92" spans="1:53" ht="12.75" customHeight="1" x14ac:dyDescent="0.25">
      <c r="A92" s="1013"/>
      <c r="B92" s="57" t="s">
        <v>831</v>
      </c>
      <c r="C92" s="77"/>
      <c r="D92" s="220"/>
      <c r="E92" s="68"/>
      <c r="F92" s="69"/>
      <c r="G92" s="70"/>
      <c r="H92" s="69"/>
      <c r="I92" s="71"/>
      <c r="J92" s="59"/>
      <c r="K92" s="61"/>
      <c r="L92" s="61"/>
      <c r="M92" s="61"/>
      <c r="N92" s="61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1"/>
      <c r="AB92" s="1"/>
      <c r="AC92" s="245"/>
      <c r="AD92" s="56"/>
      <c r="AF92" s="151"/>
      <c r="AJ92" s="136"/>
    </row>
    <row r="93" spans="1:53" ht="12.75" customHeight="1" x14ac:dyDescent="0.25">
      <c r="A93" s="1013"/>
      <c r="B93" s="74" t="s">
        <v>1178</v>
      </c>
      <c r="C93" s="78"/>
      <c r="D93" s="220"/>
      <c r="E93" s="68" t="s">
        <v>1442</v>
      </c>
      <c r="F93" s="69" t="s">
        <v>1443</v>
      </c>
      <c r="G93" s="70">
        <v>419.5</v>
      </c>
      <c r="H93" s="69">
        <v>1E-3</v>
      </c>
      <c r="I93" s="71">
        <f>G93*H93</f>
        <v>0.41949999999999998</v>
      </c>
      <c r="J93" s="59"/>
      <c r="K93" s="61"/>
      <c r="L93" s="61"/>
      <c r="M93" s="61"/>
      <c r="N93" s="61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1"/>
      <c r="AB93" s="1"/>
      <c r="AC93" s="245"/>
      <c r="AD93" s="56"/>
      <c r="AF93" s="151"/>
      <c r="AJ93" s="146"/>
    </row>
    <row r="94" spans="1:53" ht="12.75" customHeight="1" x14ac:dyDescent="0.25">
      <c r="A94" s="1013"/>
      <c r="B94" s="57" t="s">
        <v>1179</v>
      </c>
      <c r="C94" s="78">
        <v>3</v>
      </c>
      <c r="D94" s="220"/>
      <c r="E94" s="68" t="s">
        <v>1444</v>
      </c>
      <c r="F94" s="69" t="s">
        <v>1443</v>
      </c>
      <c r="G94" s="70">
        <v>872</v>
      </c>
      <c r="H94" s="69">
        <v>2E-3</v>
      </c>
      <c r="I94" s="71">
        <f>G94*H94</f>
        <v>1.744</v>
      </c>
      <c r="J94" s="59"/>
      <c r="K94" s="61"/>
      <c r="L94" s="61"/>
      <c r="M94" s="61"/>
      <c r="N94" s="61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1"/>
      <c r="AB94" s="1"/>
      <c r="AC94" s="245"/>
      <c r="AD94" s="56"/>
      <c r="AF94" s="151"/>
      <c r="AJ94" s="146"/>
    </row>
    <row r="95" spans="1:53" ht="12.75" customHeight="1" x14ac:dyDescent="0.25">
      <c r="A95" s="1013"/>
      <c r="B95" s="79" t="s">
        <v>1181</v>
      </c>
      <c r="C95" s="51">
        <f>C90*C93+C91*C94</f>
        <v>70.184735398997333</v>
      </c>
      <c r="D95" s="220"/>
      <c r="E95" s="68"/>
      <c r="F95" s="166"/>
      <c r="G95" s="70"/>
      <c r="H95" s="69"/>
      <c r="I95" s="71"/>
      <c r="J95" s="59"/>
      <c r="K95" s="170"/>
      <c r="L95" s="76"/>
      <c r="M95" s="72"/>
      <c r="N95" s="61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1"/>
      <c r="AB95" s="1"/>
      <c r="AC95" s="245"/>
      <c r="AD95" s="56"/>
      <c r="AF95" s="151"/>
      <c r="AJ95" s="136"/>
    </row>
    <row r="96" spans="1:53" ht="12.75" customHeight="1" x14ac:dyDescent="0.25">
      <c r="A96" s="1013"/>
      <c r="B96" s="79"/>
      <c r="C96" s="51"/>
      <c r="D96" s="221"/>
      <c r="E96" s="68"/>
      <c r="F96" s="166"/>
      <c r="G96" s="70"/>
      <c r="H96" s="69"/>
      <c r="I96" s="71"/>
      <c r="J96" s="59"/>
      <c r="K96" s="170"/>
      <c r="L96" s="61"/>
      <c r="M96" s="61"/>
      <c r="N96" s="61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1"/>
      <c r="AB96" s="1"/>
      <c r="AC96" s="245"/>
      <c r="AD96" s="56"/>
      <c r="AF96" s="151"/>
      <c r="AJ96" s="136"/>
    </row>
    <row r="97" spans="1:53" ht="18.75" customHeight="1" x14ac:dyDescent="0.25">
      <c r="A97" s="155"/>
      <c r="B97" s="79"/>
      <c r="C97" s="78"/>
      <c r="D97" s="51"/>
      <c r="E97" s="68"/>
      <c r="F97" s="166"/>
      <c r="G97" s="70"/>
      <c r="H97" s="69"/>
      <c r="I97" s="71"/>
      <c r="J97" s="59"/>
      <c r="K97" s="170"/>
      <c r="L97" s="61"/>
      <c r="M97" s="61"/>
      <c r="N97" s="61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1"/>
      <c r="AB97" s="1"/>
      <c r="AC97" s="245"/>
      <c r="AD97" s="56"/>
      <c r="AF97" s="67"/>
      <c r="AJ97" s="146"/>
    </row>
    <row r="98" spans="1:53" s="803" customFormat="1" ht="56.25" customHeight="1" x14ac:dyDescent="0.25">
      <c r="A98" s="1114" t="s">
        <v>112</v>
      </c>
      <c r="B98" s="788"/>
      <c r="C98" s="788"/>
      <c r="D98" s="800"/>
      <c r="E98" s="791" t="s">
        <v>488</v>
      </c>
      <c r="F98" s="792" t="s">
        <v>837</v>
      </c>
      <c r="G98" s="788" t="s">
        <v>489</v>
      </c>
      <c r="H98" s="791" t="s">
        <v>1170</v>
      </c>
      <c r="I98" s="792" t="s">
        <v>838</v>
      </c>
      <c r="J98" s="793" t="s">
        <v>1171</v>
      </c>
      <c r="K98" s="793" t="s">
        <v>490</v>
      </c>
      <c r="L98" s="794" t="s">
        <v>489</v>
      </c>
      <c r="M98" s="793" t="s">
        <v>1172</v>
      </c>
      <c r="N98" s="792" t="s">
        <v>838</v>
      </c>
      <c r="O98" s="793" t="s">
        <v>1171</v>
      </c>
      <c r="P98" s="793" t="s">
        <v>826</v>
      </c>
      <c r="Q98" s="793" t="s">
        <v>1173</v>
      </c>
      <c r="R98" s="793" t="s">
        <v>1174</v>
      </c>
      <c r="S98" s="793" t="s">
        <v>839</v>
      </c>
      <c r="T98" s="793" t="s">
        <v>1171</v>
      </c>
      <c r="U98" s="793" t="s">
        <v>1392</v>
      </c>
      <c r="V98" s="793" t="s">
        <v>841</v>
      </c>
      <c r="W98" s="795" t="s">
        <v>1173</v>
      </c>
      <c r="X98" s="793" t="s">
        <v>1394</v>
      </c>
      <c r="Y98" s="793" t="s">
        <v>839</v>
      </c>
      <c r="Z98" s="796"/>
      <c r="AA98" s="755"/>
      <c r="AB98" s="755"/>
      <c r="AC98" s="773"/>
      <c r="AD98" s="802"/>
      <c r="AF98" s="804"/>
      <c r="AG98" s="802"/>
      <c r="AH98" s="805"/>
      <c r="AI98" s="805"/>
      <c r="AJ98" s="805"/>
      <c r="AK98" s="805"/>
      <c r="AL98" s="806"/>
      <c r="AM98" s="805"/>
      <c r="AN98" s="805"/>
      <c r="AO98" s="807"/>
      <c r="AP98" s="805"/>
      <c r="AQ98" s="808"/>
      <c r="AR98" s="808"/>
      <c r="AS98" s="808"/>
      <c r="AT98" s="805"/>
      <c r="AU98" s="805"/>
      <c r="AV98" s="807"/>
      <c r="AW98" s="802"/>
      <c r="AX98" s="802"/>
      <c r="AY98" s="802"/>
      <c r="AZ98" s="802"/>
      <c r="BA98" s="802"/>
    </row>
    <row r="99" spans="1:53" s="803" customFormat="1" ht="12" customHeight="1" x14ac:dyDescent="0.25">
      <c r="A99" s="1115"/>
      <c r="B99" s="752" t="s">
        <v>1175</v>
      </c>
      <c r="C99" s="788">
        <f>C106</f>
        <v>35.092367699498666</v>
      </c>
      <c r="D99" s="800">
        <f>C99*$D$5</f>
        <v>7.088658275298731</v>
      </c>
      <c r="E99" s="754" t="s">
        <v>1176</v>
      </c>
      <c r="F99" s="810"/>
      <c r="G99" s="756"/>
      <c r="H99" s="756"/>
      <c r="I99" s="757">
        <f>SUM(I100:I107)</f>
        <v>2.1736</v>
      </c>
      <c r="J99" s="758" t="s">
        <v>1176</v>
      </c>
      <c r="K99" s="811"/>
      <c r="L99" s="759"/>
      <c r="M99" s="759"/>
      <c r="N99" s="760">
        <f>SUM(N100:N107)</f>
        <v>0.13357025113540852</v>
      </c>
      <c r="O99" s="759" t="s">
        <v>1176</v>
      </c>
      <c r="P99" s="759"/>
      <c r="Q99" s="812"/>
      <c r="R99" s="813"/>
      <c r="S99" s="760">
        <f>SUM(S100:S107)</f>
        <v>0.59072184677718675</v>
      </c>
      <c r="T99" s="760"/>
      <c r="U99" s="760"/>
      <c r="V99" s="760"/>
      <c r="W99" s="760"/>
      <c r="X99" s="760"/>
      <c r="Y99" s="760">
        <f>SUM(Y100:Y107)</f>
        <v>4.2472967570827658</v>
      </c>
      <c r="Z99" s="762">
        <f>(C99+D99+I99+N99+S99+Y99)*$Z$5</f>
        <v>64.133337453847929</v>
      </c>
      <c r="AA99" s="763">
        <f>C99+D99+I99+N99+S99+Y99+Z99</f>
        <v>113.45955228364069</v>
      </c>
      <c r="AB99" s="764">
        <v>0.25</v>
      </c>
      <c r="AC99" s="765">
        <f>AA99*(1+AB99)</f>
        <v>141.82444035455086</v>
      </c>
      <c r="AD99" s="814"/>
      <c r="AF99" s="804"/>
      <c r="AG99" s="802"/>
      <c r="AH99" s="805"/>
      <c r="AI99" s="808"/>
      <c r="AJ99" s="815"/>
      <c r="AK99" s="816"/>
      <c r="AL99" s="806"/>
      <c r="AM99" s="817"/>
      <c r="AN99" s="818"/>
      <c r="AO99" s="817"/>
      <c r="AP99" s="808"/>
      <c r="AQ99" s="808"/>
      <c r="AR99" s="808"/>
      <c r="AS99" s="808"/>
      <c r="AT99" s="808"/>
      <c r="AU99" s="817"/>
      <c r="AV99" s="817"/>
      <c r="AW99" s="819"/>
      <c r="AX99" s="802"/>
      <c r="AY99" s="802"/>
      <c r="AZ99" s="802"/>
      <c r="BA99" s="802"/>
    </row>
    <row r="100" spans="1:53" s="803" customFormat="1" ht="12.75" customHeight="1" x14ac:dyDescent="0.25">
      <c r="A100" s="1115"/>
      <c r="B100" s="766" t="s">
        <v>830</v>
      </c>
      <c r="C100" s="788"/>
      <c r="D100" s="820"/>
      <c r="E100" s="767" t="s">
        <v>1437</v>
      </c>
      <c r="F100" s="768" t="s">
        <v>1438</v>
      </c>
      <c r="G100" s="769">
        <v>0.74</v>
      </c>
      <c r="H100" s="768">
        <v>0.01</v>
      </c>
      <c r="I100" s="770">
        <f>G100*H100</f>
        <v>7.4000000000000003E-3</v>
      </c>
      <c r="J100" s="758" t="s">
        <v>1291</v>
      </c>
      <c r="K100" s="771">
        <v>2</v>
      </c>
      <c r="L100" s="772">
        <v>750</v>
      </c>
      <c r="M100" s="771">
        <v>2</v>
      </c>
      <c r="N100" s="790">
        <f>L100/'Исп. коэффициенты'!E36*C105</f>
        <v>0.11514676822017977</v>
      </c>
      <c r="O100" s="759" t="s">
        <v>2207</v>
      </c>
      <c r="P100" s="759">
        <v>21750</v>
      </c>
      <c r="Q100" s="759">
        <v>19.670000000000002</v>
      </c>
      <c r="R100" s="759">
        <f>P100*Q100%</f>
        <v>4278.2250000000004</v>
      </c>
      <c r="S100" s="759">
        <f>R100/'Исп. коэффициенты'!E46*C105</f>
        <v>0.59072184677718675</v>
      </c>
      <c r="T100" s="755" t="s">
        <v>1435</v>
      </c>
      <c r="U100" s="756">
        <v>6785401.3499999996</v>
      </c>
      <c r="V100" s="785">
        <f>'Исп. коэффициенты'!E124</f>
        <v>2978.5</v>
      </c>
      <c r="W100" s="761">
        <f>'Исп. коэффициенты'!D124</f>
        <v>1.3599999999999999E-2</v>
      </c>
      <c r="X100" s="760">
        <f>U100*W100</f>
        <v>92281.45835999999</v>
      </c>
      <c r="Y100" s="759">
        <f>X100/'Исп. коэффициенты'!E46/2</f>
        <v>4.2472967570827658</v>
      </c>
      <c r="Z100" s="759"/>
      <c r="AA100" s="755"/>
      <c r="AB100" s="755"/>
      <c r="AC100" s="773"/>
      <c r="AD100" s="802"/>
      <c r="AF100" s="821"/>
      <c r="AG100" s="802"/>
      <c r="AH100" s="805"/>
      <c r="AI100" s="805"/>
      <c r="AJ100" s="822"/>
      <c r="AK100" s="805"/>
      <c r="AL100" s="806"/>
      <c r="AM100" s="805"/>
      <c r="AN100" s="805"/>
      <c r="AO100" s="807"/>
      <c r="AP100" s="805"/>
      <c r="AQ100" s="805"/>
      <c r="AR100" s="807"/>
      <c r="AS100" s="807"/>
      <c r="AT100" s="808"/>
      <c r="AU100" s="805"/>
      <c r="AV100" s="807"/>
      <c r="AW100" s="802"/>
      <c r="AX100" s="802"/>
      <c r="AY100" s="802"/>
      <c r="AZ100" s="802"/>
      <c r="BA100" s="802"/>
    </row>
    <row r="101" spans="1:53" s="803" customFormat="1" x14ac:dyDescent="0.25">
      <c r="A101" s="1115"/>
      <c r="B101" s="774" t="s">
        <v>1178</v>
      </c>
      <c r="C101" s="753"/>
      <c r="D101" s="820"/>
      <c r="E101" s="767" t="s">
        <v>1439</v>
      </c>
      <c r="F101" s="768" t="s">
        <v>1438</v>
      </c>
      <c r="G101" s="769">
        <v>0.27</v>
      </c>
      <c r="H101" s="768">
        <v>0.01</v>
      </c>
      <c r="I101" s="775">
        <f>G101*H101</f>
        <v>2.7000000000000001E-3</v>
      </c>
      <c r="J101" s="758" t="s">
        <v>1445</v>
      </c>
      <c r="K101" s="760">
        <v>2</v>
      </c>
      <c r="L101" s="776">
        <v>95</v>
      </c>
      <c r="M101" s="771">
        <v>2</v>
      </c>
      <c r="N101" s="790">
        <f>L101/'Исп. коэффициенты'!E36*C105</f>
        <v>1.4585257307889439E-2</v>
      </c>
      <c r="O101" s="759"/>
      <c r="P101" s="759"/>
      <c r="Q101" s="759"/>
      <c r="R101" s="759"/>
      <c r="S101" s="759"/>
      <c r="T101" s="759"/>
      <c r="U101" s="759"/>
      <c r="V101" s="759"/>
      <c r="W101" s="759"/>
      <c r="X101" s="759"/>
      <c r="Y101" s="759"/>
      <c r="Z101" s="759"/>
      <c r="AA101" s="755"/>
      <c r="AB101" s="755"/>
      <c r="AC101" s="773"/>
      <c r="AD101" s="802"/>
      <c r="AF101" s="821"/>
      <c r="AG101" s="802"/>
      <c r="AH101" s="805"/>
      <c r="AI101" s="805"/>
      <c r="AJ101" s="822"/>
      <c r="AK101" s="805"/>
      <c r="AL101" s="806"/>
      <c r="AM101" s="824"/>
      <c r="AN101" s="805"/>
      <c r="AO101" s="807"/>
      <c r="AP101" s="805"/>
      <c r="AQ101" s="805"/>
      <c r="AR101" s="807"/>
      <c r="AS101" s="807"/>
      <c r="AT101" s="805"/>
      <c r="AU101" s="805"/>
      <c r="AV101" s="807"/>
      <c r="AW101" s="802"/>
      <c r="AX101" s="802"/>
      <c r="AY101" s="802"/>
      <c r="AZ101" s="802"/>
      <c r="BA101" s="802"/>
    </row>
    <row r="102" spans="1:53" s="803" customFormat="1" ht="12.75" customHeight="1" x14ac:dyDescent="0.25">
      <c r="A102" s="1115"/>
      <c r="B102" s="754" t="s">
        <v>1179</v>
      </c>
      <c r="C102" s="788">
        <f>C91</f>
        <v>23.394911799665778</v>
      </c>
      <c r="D102" s="820"/>
      <c r="E102" s="767"/>
      <c r="F102" s="768"/>
      <c r="G102" s="769"/>
      <c r="H102" s="769"/>
      <c r="I102" s="770"/>
      <c r="J102" s="758" t="s">
        <v>1513</v>
      </c>
      <c r="K102" s="760">
        <v>2</v>
      </c>
      <c r="L102" s="760">
        <v>25</v>
      </c>
      <c r="M102" s="771">
        <v>0.5</v>
      </c>
      <c r="N102" s="790">
        <f>L102/'Исп. коэффициенты'!E36*C105</f>
        <v>3.8382256073393258E-3</v>
      </c>
      <c r="O102" s="759"/>
      <c r="P102" s="759"/>
      <c r="Q102" s="759"/>
      <c r="R102" s="759"/>
      <c r="S102" s="759"/>
      <c r="T102" s="759"/>
      <c r="U102" s="759"/>
      <c r="V102" s="759"/>
      <c r="W102" s="759"/>
      <c r="X102" s="759"/>
      <c r="Y102" s="759"/>
      <c r="Z102" s="759"/>
      <c r="AA102" s="755"/>
      <c r="AB102" s="755"/>
      <c r="AC102" s="773"/>
      <c r="AD102" s="802"/>
      <c r="AF102" s="821"/>
      <c r="AG102" s="802"/>
      <c r="AH102" s="805"/>
      <c r="AI102" s="805"/>
      <c r="AJ102" s="822"/>
      <c r="AK102" s="805"/>
      <c r="AL102" s="806"/>
      <c r="AM102" s="805"/>
      <c r="AN102" s="805"/>
      <c r="AO102" s="807"/>
      <c r="AP102" s="805"/>
      <c r="AQ102" s="805"/>
      <c r="AR102" s="807"/>
      <c r="AS102" s="807"/>
      <c r="AT102" s="805"/>
      <c r="AU102" s="805"/>
      <c r="AV102" s="807"/>
      <c r="AW102" s="802"/>
      <c r="AX102" s="802"/>
      <c r="AY102" s="802"/>
      <c r="AZ102" s="802"/>
      <c r="BA102" s="802"/>
    </row>
    <row r="103" spans="1:53" s="803" customFormat="1" ht="12.75" customHeight="1" x14ac:dyDescent="0.25">
      <c r="A103" s="1115"/>
      <c r="B103" s="754" t="s">
        <v>831</v>
      </c>
      <c r="C103" s="789"/>
      <c r="D103" s="820"/>
      <c r="E103" s="767"/>
      <c r="F103" s="768"/>
      <c r="G103" s="769"/>
      <c r="H103" s="768"/>
      <c r="I103" s="770"/>
      <c r="J103" s="758"/>
      <c r="K103" s="760"/>
      <c r="L103" s="760"/>
      <c r="M103" s="760"/>
      <c r="N103" s="760"/>
      <c r="O103" s="759"/>
      <c r="P103" s="759"/>
      <c r="Q103" s="759"/>
      <c r="R103" s="759"/>
      <c r="S103" s="759"/>
      <c r="T103" s="759"/>
      <c r="U103" s="759"/>
      <c r="V103" s="759"/>
      <c r="W103" s="759"/>
      <c r="X103" s="759"/>
      <c r="Y103" s="759"/>
      <c r="Z103" s="759"/>
      <c r="AA103" s="755"/>
      <c r="AB103" s="755"/>
      <c r="AC103" s="773"/>
      <c r="AD103" s="802"/>
      <c r="AF103" s="821"/>
      <c r="AG103" s="802"/>
      <c r="AH103" s="805"/>
      <c r="AI103" s="805"/>
      <c r="AJ103" s="822"/>
      <c r="AK103" s="805"/>
      <c r="AL103" s="806"/>
      <c r="AM103" s="805"/>
      <c r="AN103" s="805"/>
      <c r="AO103" s="807"/>
      <c r="AP103" s="805"/>
      <c r="AQ103" s="805"/>
      <c r="AR103" s="807"/>
      <c r="AS103" s="807"/>
      <c r="AT103" s="805"/>
      <c r="AU103" s="805"/>
      <c r="AV103" s="807"/>
      <c r="AW103" s="802"/>
      <c r="AX103" s="802"/>
      <c r="AY103" s="802"/>
      <c r="AZ103" s="802"/>
      <c r="BA103" s="802"/>
    </row>
    <row r="104" spans="1:53" s="803" customFormat="1" ht="12.75" customHeight="1" x14ac:dyDescent="0.25">
      <c r="A104" s="1115"/>
      <c r="B104" s="774" t="s">
        <v>1178</v>
      </c>
      <c r="C104" s="784"/>
      <c r="D104" s="820"/>
      <c r="E104" s="767" t="s">
        <v>1442</v>
      </c>
      <c r="F104" s="768" t="s">
        <v>1443</v>
      </c>
      <c r="G104" s="769">
        <v>419.5</v>
      </c>
      <c r="H104" s="768">
        <v>1E-3</v>
      </c>
      <c r="I104" s="770">
        <f>G104*H104</f>
        <v>0.41949999999999998</v>
      </c>
      <c r="J104" s="758"/>
      <c r="K104" s="760"/>
      <c r="L104" s="760"/>
      <c r="M104" s="760"/>
      <c r="N104" s="760"/>
      <c r="O104" s="759"/>
      <c r="P104" s="759"/>
      <c r="Q104" s="759"/>
      <c r="R104" s="759"/>
      <c r="S104" s="759"/>
      <c r="T104" s="759"/>
      <c r="U104" s="759"/>
      <c r="V104" s="759"/>
      <c r="W104" s="759"/>
      <c r="X104" s="759"/>
      <c r="Y104" s="759"/>
      <c r="Z104" s="759"/>
      <c r="AA104" s="755"/>
      <c r="AB104" s="755"/>
      <c r="AC104" s="773"/>
      <c r="AD104" s="802"/>
      <c r="AF104" s="821"/>
      <c r="AG104" s="802"/>
      <c r="AH104" s="805"/>
      <c r="AI104" s="805"/>
      <c r="AJ104" s="827"/>
      <c r="AK104" s="805"/>
      <c r="AL104" s="806"/>
      <c r="AM104" s="805"/>
      <c r="AN104" s="805"/>
      <c r="AO104" s="807"/>
      <c r="AP104" s="805"/>
      <c r="AQ104" s="805"/>
      <c r="AR104" s="807"/>
      <c r="AS104" s="807"/>
      <c r="AT104" s="805"/>
      <c r="AU104" s="805"/>
      <c r="AV104" s="807"/>
      <c r="AW104" s="802"/>
      <c r="AX104" s="802"/>
      <c r="AY104" s="802"/>
      <c r="AZ104" s="802"/>
      <c r="BA104" s="802"/>
    </row>
    <row r="105" spans="1:53" s="803" customFormat="1" ht="12.75" customHeight="1" x14ac:dyDescent="0.25">
      <c r="A105" s="1115"/>
      <c r="B105" s="754" t="s">
        <v>1179</v>
      </c>
      <c r="C105" s="784">
        <v>1.5</v>
      </c>
      <c r="D105" s="820"/>
      <c r="E105" s="767" t="s">
        <v>1444</v>
      </c>
      <c r="F105" s="768" t="s">
        <v>1443</v>
      </c>
      <c r="G105" s="769">
        <v>872</v>
      </c>
      <c r="H105" s="768">
        <v>2E-3</v>
      </c>
      <c r="I105" s="770">
        <f>G105*H105</f>
        <v>1.744</v>
      </c>
      <c r="J105" s="758"/>
      <c r="K105" s="760"/>
      <c r="L105" s="760"/>
      <c r="M105" s="760"/>
      <c r="N105" s="760"/>
      <c r="O105" s="759"/>
      <c r="P105" s="759"/>
      <c r="Q105" s="759"/>
      <c r="R105" s="759"/>
      <c r="S105" s="759"/>
      <c r="T105" s="759"/>
      <c r="U105" s="759"/>
      <c r="V105" s="759"/>
      <c r="W105" s="759"/>
      <c r="X105" s="759"/>
      <c r="Y105" s="759"/>
      <c r="Z105" s="759"/>
      <c r="AA105" s="755"/>
      <c r="AB105" s="755"/>
      <c r="AC105" s="773"/>
      <c r="AD105" s="802"/>
      <c r="AF105" s="821"/>
      <c r="AG105" s="802"/>
      <c r="AH105" s="805"/>
      <c r="AI105" s="805"/>
      <c r="AJ105" s="827"/>
      <c r="AK105" s="805"/>
      <c r="AL105" s="806"/>
      <c r="AM105" s="805"/>
      <c r="AN105" s="805"/>
      <c r="AO105" s="807"/>
      <c r="AP105" s="805"/>
      <c r="AQ105" s="805"/>
      <c r="AR105" s="807"/>
      <c r="AS105" s="807"/>
      <c r="AT105" s="805"/>
      <c r="AU105" s="805"/>
      <c r="AV105" s="807"/>
      <c r="AW105" s="802"/>
      <c r="AX105" s="802"/>
      <c r="AY105" s="802"/>
      <c r="AZ105" s="802"/>
      <c r="BA105" s="802"/>
    </row>
    <row r="106" spans="1:53" s="803" customFormat="1" ht="12.75" customHeight="1" x14ac:dyDescent="0.25">
      <c r="A106" s="1115"/>
      <c r="B106" s="782" t="s">
        <v>1181</v>
      </c>
      <c r="C106" s="788">
        <f>C101*C104+C102*C105</f>
        <v>35.092367699498666</v>
      </c>
      <c r="D106" s="820"/>
      <c r="E106" s="767"/>
      <c r="F106" s="781"/>
      <c r="G106" s="769"/>
      <c r="H106" s="768"/>
      <c r="I106" s="770"/>
      <c r="J106" s="758"/>
      <c r="K106" s="828"/>
      <c r="L106" s="776"/>
      <c r="M106" s="771"/>
      <c r="N106" s="760"/>
      <c r="O106" s="759"/>
      <c r="P106" s="759"/>
      <c r="Q106" s="759"/>
      <c r="R106" s="759"/>
      <c r="S106" s="759"/>
      <c r="T106" s="759"/>
      <c r="U106" s="759"/>
      <c r="V106" s="759"/>
      <c r="W106" s="759"/>
      <c r="X106" s="759"/>
      <c r="Y106" s="759"/>
      <c r="Z106" s="759"/>
      <c r="AA106" s="755"/>
      <c r="AB106" s="755"/>
      <c r="AC106" s="773"/>
      <c r="AD106" s="802"/>
      <c r="AF106" s="840"/>
      <c r="AG106" s="802"/>
      <c r="AH106" s="805"/>
      <c r="AI106" s="805"/>
      <c r="AJ106" s="822"/>
      <c r="AK106" s="805"/>
      <c r="AL106" s="806"/>
      <c r="AM106" s="805"/>
      <c r="AN106" s="805"/>
      <c r="AO106" s="807"/>
      <c r="AP106" s="805"/>
      <c r="AQ106" s="805"/>
      <c r="AR106" s="807"/>
      <c r="AS106" s="807"/>
      <c r="AT106" s="805"/>
      <c r="AU106" s="805"/>
      <c r="AV106" s="807"/>
      <c r="AW106" s="802"/>
      <c r="AX106" s="802"/>
      <c r="AY106" s="802"/>
      <c r="AZ106" s="802"/>
      <c r="BA106" s="802"/>
    </row>
    <row r="107" spans="1:53" s="803" customFormat="1" ht="12.75" customHeight="1" x14ac:dyDescent="0.25">
      <c r="A107" s="1115"/>
      <c r="B107" s="782"/>
      <c r="C107" s="784"/>
      <c r="D107" s="829"/>
      <c r="E107" s="767"/>
      <c r="F107" s="781"/>
      <c r="G107" s="769"/>
      <c r="H107" s="768"/>
      <c r="I107" s="770"/>
      <c r="J107" s="758"/>
      <c r="K107" s="828"/>
      <c r="L107" s="760"/>
      <c r="M107" s="760"/>
      <c r="N107" s="760"/>
      <c r="O107" s="759"/>
      <c r="P107" s="759"/>
      <c r="Q107" s="759"/>
      <c r="R107" s="759"/>
      <c r="S107" s="759"/>
      <c r="T107" s="759"/>
      <c r="U107" s="759"/>
      <c r="V107" s="759"/>
      <c r="W107" s="759"/>
      <c r="X107" s="759"/>
      <c r="Y107" s="759"/>
      <c r="Z107" s="759"/>
      <c r="AA107" s="755"/>
      <c r="AB107" s="755"/>
      <c r="AC107" s="773"/>
      <c r="AD107" s="802"/>
      <c r="AF107" s="840"/>
      <c r="AG107" s="802"/>
      <c r="AH107" s="805"/>
      <c r="AI107" s="805"/>
      <c r="AJ107" s="827"/>
      <c r="AK107" s="805"/>
      <c r="AL107" s="806"/>
      <c r="AM107" s="805"/>
      <c r="AN107" s="805"/>
      <c r="AO107" s="807"/>
      <c r="AP107" s="805"/>
      <c r="AQ107" s="805"/>
      <c r="AR107" s="807"/>
      <c r="AS107" s="807"/>
      <c r="AT107" s="805"/>
      <c r="AU107" s="805"/>
      <c r="AV107" s="807"/>
      <c r="AW107" s="802"/>
      <c r="AX107" s="802"/>
      <c r="AY107" s="802"/>
      <c r="AZ107" s="802"/>
      <c r="BA107" s="802"/>
    </row>
    <row r="108" spans="1:53" s="803" customFormat="1" ht="56.25" customHeight="1" x14ac:dyDescent="0.25">
      <c r="A108" s="1114" t="s">
        <v>113</v>
      </c>
      <c r="B108" s="788"/>
      <c r="C108" s="788"/>
      <c r="D108" s="800"/>
      <c r="E108" s="791" t="s">
        <v>488</v>
      </c>
      <c r="F108" s="792" t="s">
        <v>837</v>
      </c>
      <c r="G108" s="788" t="s">
        <v>489</v>
      </c>
      <c r="H108" s="791" t="s">
        <v>1170</v>
      </c>
      <c r="I108" s="792" t="s">
        <v>838</v>
      </c>
      <c r="J108" s="793" t="s">
        <v>1171</v>
      </c>
      <c r="K108" s="793" t="s">
        <v>490</v>
      </c>
      <c r="L108" s="794" t="s">
        <v>489</v>
      </c>
      <c r="M108" s="793" t="s">
        <v>1172</v>
      </c>
      <c r="N108" s="792" t="s">
        <v>838</v>
      </c>
      <c r="O108" s="793" t="s">
        <v>1171</v>
      </c>
      <c r="P108" s="793" t="s">
        <v>826</v>
      </c>
      <c r="Q108" s="793" t="s">
        <v>1173</v>
      </c>
      <c r="R108" s="793" t="s">
        <v>1174</v>
      </c>
      <c r="S108" s="793" t="s">
        <v>839</v>
      </c>
      <c r="T108" s="793" t="s">
        <v>1171</v>
      </c>
      <c r="U108" s="793" t="s">
        <v>1392</v>
      </c>
      <c r="V108" s="793" t="s">
        <v>841</v>
      </c>
      <c r="W108" s="795" t="s">
        <v>1173</v>
      </c>
      <c r="X108" s="793" t="s">
        <v>1394</v>
      </c>
      <c r="Y108" s="793" t="s">
        <v>839</v>
      </c>
      <c r="Z108" s="796"/>
      <c r="AA108" s="755"/>
      <c r="AB108" s="755"/>
      <c r="AC108" s="773"/>
      <c r="AD108" s="802"/>
      <c r="AF108" s="804"/>
      <c r="AG108" s="802"/>
      <c r="AH108" s="805"/>
      <c r="AI108" s="805"/>
      <c r="AJ108" s="805"/>
      <c r="AK108" s="805"/>
      <c r="AL108" s="806"/>
      <c r="AM108" s="805"/>
      <c r="AN108" s="805"/>
      <c r="AO108" s="807"/>
      <c r="AP108" s="805"/>
      <c r="AQ108" s="808"/>
      <c r="AR108" s="808"/>
      <c r="AS108" s="808"/>
      <c r="AT108" s="805"/>
      <c r="AU108" s="805"/>
      <c r="AV108" s="807"/>
      <c r="AW108" s="802"/>
      <c r="AX108" s="802"/>
      <c r="AY108" s="802"/>
      <c r="AZ108" s="802"/>
      <c r="BA108" s="802"/>
    </row>
    <row r="109" spans="1:53" s="803" customFormat="1" ht="12" customHeight="1" x14ac:dyDescent="0.25">
      <c r="A109" s="1115"/>
      <c r="B109" s="752" t="s">
        <v>1175</v>
      </c>
      <c r="C109" s="788">
        <f>C116</f>
        <v>58.487279499164444</v>
      </c>
      <c r="D109" s="800">
        <f>C109*$D$5</f>
        <v>11.814430458831218</v>
      </c>
      <c r="E109" s="754" t="s">
        <v>1176</v>
      </c>
      <c r="F109" s="810"/>
      <c r="G109" s="756"/>
      <c r="H109" s="756"/>
      <c r="I109" s="757">
        <f>SUM(I110:I117)</f>
        <v>2.1736</v>
      </c>
      <c r="J109" s="758" t="s">
        <v>1176</v>
      </c>
      <c r="K109" s="811"/>
      <c r="L109" s="759"/>
      <c r="M109" s="759"/>
      <c r="N109" s="760">
        <f>SUM(N110:N117)</f>
        <v>0.20021075979569117</v>
      </c>
      <c r="O109" s="759" t="s">
        <v>1176</v>
      </c>
      <c r="P109" s="759"/>
      <c r="Q109" s="812"/>
      <c r="R109" s="813"/>
      <c r="S109" s="760">
        <f>SUM(S110:S117)</f>
        <v>0.91632664233576644</v>
      </c>
      <c r="T109" s="760"/>
      <c r="U109" s="760"/>
      <c r="V109" s="760"/>
      <c r="W109" s="760"/>
      <c r="X109" s="760"/>
      <c r="Y109" s="760">
        <f>SUM(Y110:Y117)</f>
        <v>4.2472967570827658</v>
      </c>
      <c r="Z109" s="762">
        <f>(C109+D109+I109+N109+S109+Y109)*$Z$5</f>
        <v>101.20549719887551</v>
      </c>
      <c r="AA109" s="763">
        <f>C109+D109+I109+N109+S109+Y109+Z109</f>
        <v>179.04464131608538</v>
      </c>
      <c r="AB109" s="764">
        <v>0.25</v>
      </c>
      <c r="AC109" s="765">
        <f>AA109*(1+AB109)</f>
        <v>223.80580164510673</v>
      </c>
      <c r="AD109" s="814"/>
      <c r="AF109" s="804"/>
      <c r="AG109" s="802"/>
      <c r="AH109" s="805"/>
      <c r="AI109" s="808"/>
      <c r="AJ109" s="815"/>
      <c r="AK109" s="816"/>
      <c r="AL109" s="806"/>
      <c r="AM109" s="817"/>
      <c r="AN109" s="818"/>
      <c r="AO109" s="817"/>
      <c r="AP109" s="808"/>
      <c r="AQ109" s="808"/>
      <c r="AR109" s="808"/>
      <c r="AS109" s="808"/>
      <c r="AT109" s="808"/>
      <c r="AU109" s="817"/>
      <c r="AV109" s="817"/>
      <c r="AW109" s="819"/>
      <c r="AX109" s="802"/>
      <c r="AY109" s="802"/>
      <c r="AZ109" s="802"/>
      <c r="BA109" s="802"/>
    </row>
    <row r="110" spans="1:53" s="803" customFormat="1" ht="12.75" customHeight="1" x14ac:dyDescent="0.25">
      <c r="A110" s="1115"/>
      <c r="B110" s="766" t="s">
        <v>1177</v>
      </c>
      <c r="C110" s="788"/>
      <c r="D110" s="820"/>
      <c r="E110" s="767" t="s">
        <v>1437</v>
      </c>
      <c r="F110" s="768" t="s">
        <v>1438</v>
      </c>
      <c r="G110" s="769">
        <v>0.74</v>
      </c>
      <c r="H110" s="768">
        <v>0.01</v>
      </c>
      <c r="I110" s="770">
        <f>G110*H110</f>
        <v>7.4000000000000003E-3</v>
      </c>
      <c r="J110" s="758" t="s">
        <v>1291</v>
      </c>
      <c r="K110" s="771">
        <v>2</v>
      </c>
      <c r="L110" s="772">
        <v>750</v>
      </c>
      <c r="M110" s="771">
        <v>2</v>
      </c>
      <c r="N110" s="790">
        <f>L110/'Исп. коэффициенты'!E46*C115</f>
        <v>0.17259548258249238</v>
      </c>
      <c r="O110" s="759" t="s">
        <v>124</v>
      </c>
      <c r="P110" s="759">
        <v>4217.32</v>
      </c>
      <c r="Q110" s="759">
        <v>19.670000000000002</v>
      </c>
      <c r="R110" s="759">
        <f>P110*Q110%</f>
        <v>829.54684399999996</v>
      </c>
      <c r="S110" s="759">
        <f>R110/'Исп. коэффициенты'!F46</f>
        <v>0.91632664233576644</v>
      </c>
      <c r="T110" s="755" t="s">
        <v>1435</v>
      </c>
      <c r="U110" s="756">
        <v>6785401.3499999996</v>
      </c>
      <c r="V110" s="785">
        <f>'Исп. коэффициенты'!E124</f>
        <v>2978.5</v>
      </c>
      <c r="W110" s="761">
        <f>'Исп. коэффициенты'!D124</f>
        <v>1.3599999999999999E-2</v>
      </c>
      <c r="X110" s="760">
        <f>U110*W110</f>
        <v>92281.45835999999</v>
      </c>
      <c r="Y110" s="759">
        <f>X110/'Исп. коэффициенты'!E46/2</f>
        <v>4.2472967570827658</v>
      </c>
      <c r="Z110" s="759"/>
      <c r="AA110" s="755"/>
      <c r="AB110" s="755"/>
      <c r="AC110" s="773"/>
      <c r="AD110" s="802"/>
      <c r="AF110" s="821"/>
      <c r="AG110" s="802"/>
      <c r="AH110" s="805"/>
      <c r="AI110" s="805"/>
      <c r="AJ110" s="822"/>
      <c r="AK110" s="805"/>
      <c r="AL110" s="806"/>
      <c r="AM110" s="805"/>
      <c r="AN110" s="805"/>
      <c r="AO110" s="807"/>
      <c r="AP110" s="805"/>
      <c r="AQ110" s="805"/>
      <c r="AR110" s="807"/>
      <c r="AS110" s="807"/>
      <c r="AT110" s="808"/>
      <c r="AU110" s="805"/>
      <c r="AV110" s="807"/>
      <c r="AW110" s="802"/>
      <c r="AX110" s="802"/>
      <c r="AY110" s="802"/>
      <c r="AZ110" s="802"/>
      <c r="BA110" s="802"/>
    </row>
    <row r="111" spans="1:53" s="803" customFormat="1" x14ac:dyDescent="0.25">
      <c r="A111" s="1115"/>
      <c r="B111" s="774" t="s">
        <v>1178</v>
      </c>
      <c r="C111" s="753"/>
      <c r="D111" s="820"/>
      <c r="E111" s="767" t="s">
        <v>1439</v>
      </c>
      <c r="F111" s="768" t="s">
        <v>1438</v>
      </c>
      <c r="G111" s="769">
        <v>0.27</v>
      </c>
      <c r="H111" s="768">
        <v>0.01</v>
      </c>
      <c r="I111" s="775">
        <f>G111*H111</f>
        <v>2.7000000000000001E-3</v>
      </c>
      <c r="J111" s="758" t="s">
        <v>1445</v>
      </c>
      <c r="K111" s="760">
        <v>2</v>
      </c>
      <c r="L111" s="776">
        <v>95</v>
      </c>
      <c r="M111" s="771">
        <v>2</v>
      </c>
      <c r="N111" s="790">
        <f>L111/'Исп. коэффициенты'!E46*C115</f>
        <v>2.1862094460449035E-2</v>
      </c>
      <c r="O111" s="759"/>
      <c r="P111" s="759"/>
      <c r="Q111" s="759"/>
      <c r="R111" s="759"/>
      <c r="S111" s="759"/>
      <c r="T111" s="759"/>
      <c r="U111" s="759"/>
      <c r="V111" s="759"/>
      <c r="W111" s="759"/>
      <c r="X111" s="759"/>
      <c r="Y111" s="759"/>
      <c r="Z111" s="759"/>
      <c r="AA111" s="755"/>
      <c r="AB111" s="755"/>
      <c r="AC111" s="773"/>
      <c r="AD111" s="802"/>
      <c r="AF111" s="821"/>
      <c r="AG111" s="802"/>
      <c r="AH111" s="805"/>
      <c r="AI111" s="805"/>
      <c r="AJ111" s="822"/>
      <c r="AK111" s="805"/>
      <c r="AL111" s="806"/>
      <c r="AM111" s="824"/>
      <c r="AN111" s="805"/>
      <c r="AO111" s="807"/>
      <c r="AP111" s="805"/>
      <c r="AQ111" s="805"/>
      <c r="AR111" s="807"/>
      <c r="AS111" s="807"/>
      <c r="AT111" s="805"/>
      <c r="AU111" s="805"/>
      <c r="AV111" s="807"/>
      <c r="AW111" s="802"/>
      <c r="AX111" s="802"/>
      <c r="AY111" s="802"/>
      <c r="AZ111" s="802"/>
      <c r="BA111" s="802"/>
    </row>
    <row r="112" spans="1:53" s="803" customFormat="1" ht="12.75" customHeight="1" x14ac:dyDescent="0.25">
      <c r="A112" s="1115"/>
      <c r="B112" s="754" t="s">
        <v>1179</v>
      </c>
      <c r="C112" s="788">
        <f>C102</f>
        <v>23.394911799665778</v>
      </c>
      <c r="D112" s="820"/>
      <c r="E112" s="767"/>
      <c r="F112" s="768"/>
      <c r="G112" s="769"/>
      <c r="H112" s="769"/>
      <c r="I112" s="770"/>
      <c r="J112" s="758" t="s">
        <v>1513</v>
      </c>
      <c r="K112" s="760">
        <v>2</v>
      </c>
      <c r="L112" s="760">
        <v>25</v>
      </c>
      <c r="M112" s="771">
        <v>0.5</v>
      </c>
      <c r="N112" s="790">
        <f>L112/'Исп. коэффициенты'!E46*C115</f>
        <v>5.7531827527497461E-3</v>
      </c>
      <c r="O112" s="759"/>
      <c r="P112" s="759"/>
      <c r="Q112" s="759"/>
      <c r="R112" s="759"/>
      <c r="S112" s="759"/>
      <c r="T112" s="759"/>
      <c r="U112" s="759"/>
      <c r="V112" s="759"/>
      <c r="W112" s="759"/>
      <c r="X112" s="759"/>
      <c r="Y112" s="759"/>
      <c r="Z112" s="759"/>
      <c r="AA112" s="755"/>
      <c r="AB112" s="755"/>
      <c r="AC112" s="773"/>
      <c r="AD112" s="802"/>
      <c r="AF112" s="821"/>
      <c r="AG112" s="802"/>
      <c r="AH112" s="805"/>
      <c r="AI112" s="805"/>
      <c r="AJ112" s="822"/>
      <c r="AK112" s="805"/>
      <c r="AL112" s="806"/>
      <c r="AM112" s="805"/>
      <c r="AN112" s="805"/>
      <c r="AO112" s="807"/>
      <c r="AP112" s="805"/>
      <c r="AQ112" s="805"/>
      <c r="AR112" s="807"/>
      <c r="AS112" s="807"/>
      <c r="AT112" s="805"/>
      <c r="AU112" s="805"/>
      <c r="AV112" s="807"/>
      <c r="AW112" s="802"/>
      <c r="AX112" s="802"/>
      <c r="AY112" s="802"/>
      <c r="AZ112" s="802"/>
      <c r="BA112" s="802"/>
    </row>
    <row r="113" spans="1:53" s="803" customFormat="1" ht="12.75" customHeight="1" x14ac:dyDescent="0.25">
      <c r="A113" s="1115"/>
      <c r="B113" s="754" t="s">
        <v>1180</v>
      </c>
      <c r="C113" s="789"/>
      <c r="D113" s="820"/>
      <c r="E113" s="767"/>
      <c r="F113" s="768"/>
      <c r="G113" s="769"/>
      <c r="H113" s="768"/>
      <c r="I113" s="770"/>
      <c r="J113" s="758"/>
      <c r="K113" s="760"/>
      <c r="L113" s="760"/>
      <c r="M113" s="760"/>
      <c r="N113" s="760"/>
      <c r="O113" s="759"/>
      <c r="P113" s="759"/>
      <c r="Q113" s="759"/>
      <c r="R113" s="759"/>
      <c r="S113" s="759"/>
      <c r="T113" s="759"/>
      <c r="U113" s="759"/>
      <c r="V113" s="759"/>
      <c r="W113" s="759"/>
      <c r="X113" s="759"/>
      <c r="Y113" s="759"/>
      <c r="Z113" s="759"/>
      <c r="AA113" s="755"/>
      <c r="AB113" s="755"/>
      <c r="AC113" s="773"/>
      <c r="AD113" s="802"/>
      <c r="AF113" s="821"/>
      <c r="AG113" s="802"/>
      <c r="AH113" s="805"/>
      <c r="AI113" s="805"/>
      <c r="AJ113" s="822"/>
      <c r="AK113" s="805"/>
      <c r="AL113" s="806"/>
      <c r="AM113" s="805"/>
      <c r="AN113" s="805"/>
      <c r="AO113" s="807"/>
      <c r="AP113" s="805"/>
      <c r="AQ113" s="805"/>
      <c r="AR113" s="807"/>
      <c r="AS113" s="807"/>
      <c r="AT113" s="805"/>
      <c r="AU113" s="805"/>
      <c r="AV113" s="807"/>
      <c r="AW113" s="802"/>
      <c r="AX113" s="802"/>
      <c r="AY113" s="802"/>
      <c r="AZ113" s="802"/>
      <c r="BA113" s="802"/>
    </row>
    <row r="114" spans="1:53" s="803" customFormat="1" ht="12.75" customHeight="1" x14ac:dyDescent="0.25">
      <c r="A114" s="1115"/>
      <c r="B114" s="774" t="s">
        <v>1178</v>
      </c>
      <c r="C114" s="784"/>
      <c r="D114" s="820"/>
      <c r="E114" s="767" t="s">
        <v>1442</v>
      </c>
      <c r="F114" s="768" t="s">
        <v>1443</v>
      </c>
      <c r="G114" s="769">
        <v>419.5</v>
      </c>
      <c r="H114" s="768">
        <v>1E-3</v>
      </c>
      <c r="I114" s="770">
        <f>G114*H114</f>
        <v>0.41949999999999998</v>
      </c>
      <c r="J114" s="758"/>
      <c r="K114" s="760"/>
      <c r="L114" s="760"/>
      <c r="M114" s="760"/>
      <c r="N114" s="760"/>
      <c r="O114" s="759"/>
      <c r="P114" s="759"/>
      <c r="Q114" s="759"/>
      <c r="R114" s="759"/>
      <c r="S114" s="759"/>
      <c r="T114" s="759"/>
      <c r="U114" s="759"/>
      <c r="V114" s="759"/>
      <c r="W114" s="759"/>
      <c r="X114" s="759"/>
      <c r="Y114" s="759"/>
      <c r="Z114" s="759"/>
      <c r="AA114" s="755"/>
      <c r="AB114" s="755"/>
      <c r="AC114" s="773"/>
      <c r="AD114" s="802"/>
      <c r="AF114" s="821"/>
      <c r="AG114" s="802"/>
      <c r="AH114" s="805"/>
      <c r="AI114" s="805"/>
      <c r="AJ114" s="827"/>
      <c r="AK114" s="805"/>
      <c r="AL114" s="806"/>
      <c r="AM114" s="805"/>
      <c r="AN114" s="805"/>
      <c r="AO114" s="807"/>
      <c r="AP114" s="805"/>
      <c r="AQ114" s="805"/>
      <c r="AR114" s="807"/>
      <c r="AS114" s="807"/>
      <c r="AT114" s="805"/>
      <c r="AU114" s="805"/>
      <c r="AV114" s="807"/>
      <c r="AW114" s="802"/>
      <c r="AX114" s="802"/>
      <c r="AY114" s="802"/>
      <c r="AZ114" s="802"/>
      <c r="BA114" s="802"/>
    </row>
    <row r="115" spans="1:53" s="803" customFormat="1" ht="12.75" customHeight="1" x14ac:dyDescent="0.25">
      <c r="A115" s="1115"/>
      <c r="B115" s="754" t="s">
        <v>1179</v>
      </c>
      <c r="C115" s="784">
        <v>2.5</v>
      </c>
      <c r="D115" s="820"/>
      <c r="E115" s="767" t="s">
        <v>1444</v>
      </c>
      <c r="F115" s="768" t="s">
        <v>1443</v>
      </c>
      <c r="G115" s="769">
        <v>872</v>
      </c>
      <c r="H115" s="768">
        <v>2E-3</v>
      </c>
      <c r="I115" s="770">
        <f>G115*H115</f>
        <v>1.744</v>
      </c>
      <c r="J115" s="758"/>
      <c r="K115" s="760"/>
      <c r="L115" s="760"/>
      <c r="M115" s="760"/>
      <c r="N115" s="760"/>
      <c r="O115" s="759"/>
      <c r="P115" s="759"/>
      <c r="Q115" s="759"/>
      <c r="R115" s="759"/>
      <c r="S115" s="759"/>
      <c r="T115" s="759"/>
      <c r="U115" s="759"/>
      <c r="V115" s="759"/>
      <c r="W115" s="759"/>
      <c r="X115" s="759"/>
      <c r="Y115" s="759"/>
      <c r="Z115" s="759"/>
      <c r="AA115" s="755"/>
      <c r="AB115" s="755"/>
      <c r="AC115" s="773"/>
      <c r="AD115" s="802"/>
      <c r="AF115" s="821"/>
      <c r="AG115" s="802"/>
      <c r="AH115" s="805"/>
      <c r="AI115" s="805"/>
      <c r="AJ115" s="827"/>
      <c r="AK115" s="805"/>
      <c r="AL115" s="806"/>
      <c r="AM115" s="805"/>
      <c r="AN115" s="805"/>
      <c r="AO115" s="807"/>
      <c r="AP115" s="805"/>
      <c r="AQ115" s="805"/>
      <c r="AR115" s="807"/>
      <c r="AS115" s="807"/>
      <c r="AT115" s="805"/>
      <c r="AU115" s="805"/>
      <c r="AV115" s="807"/>
      <c r="AW115" s="802"/>
      <c r="AX115" s="802"/>
      <c r="AY115" s="802"/>
      <c r="AZ115" s="802"/>
      <c r="BA115" s="802"/>
    </row>
    <row r="116" spans="1:53" s="803" customFormat="1" ht="12.75" customHeight="1" x14ac:dyDescent="0.25">
      <c r="A116" s="1115"/>
      <c r="B116" s="782" t="s">
        <v>1181</v>
      </c>
      <c r="C116" s="839">
        <f>C111*C114+C112*C115</f>
        <v>58.487279499164444</v>
      </c>
      <c r="D116" s="820"/>
      <c r="E116" s="767"/>
      <c r="F116" s="781"/>
      <c r="G116" s="769"/>
      <c r="H116" s="768"/>
      <c r="I116" s="770"/>
      <c r="J116" s="758"/>
      <c r="K116" s="828"/>
      <c r="L116" s="776"/>
      <c r="M116" s="771"/>
      <c r="N116" s="760"/>
      <c r="O116" s="759"/>
      <c r="P116" s="759"/>
      <c r="Q116" s="759"/>
      <c r="R116" s="759"/>
      <c r="S116" s="759"/>
      <c r="T116" s="759"/>
      <c r="U116" s="759"/>
      <c r="V116" s="759"/>
      <c r="W116" s="759"/>
      <c r="X116" s="759"/>
      <c r="Y116" s="759"/>
      <c r="Z116" s="759"/>
      <c r="AA116" s="755"/>
      <c r="AB116" s="755"/>
      <c r="AC116" s="773"/>
      <c r="AD116" s="802"/>
      <c r="AF116" s="840"/>
      <c r="AG116" s="802"/>
      <c r="AH116" s="805"/>
      <c r="AI116" s="805"/>
      <c r="AJ116" s="822"/>
      <c r="AK116" s="805"/>
      <c r="AL116" s="806"/>
      <c r="AM116" s="805"/>
      <c r="AN116" s="805"/>
      <c r="AO116" s="807"/>
      <c r="AP116" s="805"/>
      <c r="AQ116" s="805"/>
      <c r="AR116" s="807"/>
      <c r="AS116" s="807"/>
      <c r="AT116" s="805"/>
      <c r="AU116" s="805"/>
      <c r="AV116" s="807"/>
      <c r="AW116" s="802"/>
      <c r="AX116" s="802"/>
      <c r="AY116" s="802"/>
      <c r="AZ116" s="802"/>
      <c r="BA116" s="802"/>
    </row>
    <row r="117" spans="1:53" s="803" customFormat="1" ht="12.75" customHeight="1" x14ac:dyDescent="0.25">
      <c r="A117" s="1115"/>
      <c r="B117" s="782"/>
      <c r="C117" s="784"/>
      <c r="D117" s="829"/>
      <c r="E117" s="767"/>
      <c r="F117" s="781"/>
      <c r="G117" s="769"/>
      <c r="H117" s="768"/>
      <c r="I117" s="770"/>
      <c r="J117" s="758"/>
      <c r="K117" s="828"/>
      <c r="L117" s="760"/>
      <c r="M117" s="760"/>
      <c r="N117" s="760"/>
      <c r="O117" s="759"/>
      <c r="P117" s="759"/>
      <c r="Q117" s="759"/>
      <c r="R117" s="759"/>
      <c r="S117" s="759"/>
      <c r="T117" s="759"/>
      <c r="U117" s="759"/>
      <c r="V117" s="759"/>
      <c r="W117" s="759"/>
      <c r="X117" s="759"/>
      <c r="Y117" s="759"/>
      <c r="Z117" s="759"/>
      <c r="AA117" s="755"/>
      <c r="AB117" s="755"/>
      <c r="AC117" s="773"/>
      <c r="AD117" s="802"/>
      <c r="AF117" s="840"/>
      <c r="AG117" s="802"/>
      <c r="AH117" s="805"/>
      <c r="AI117" s="805"/>
      <c r="AJ117" s="827"/>
      <c r="AK117" s="805"/>
      <c r="AL117" s="806"/>
      <c r="AM117" s="805"/>
      <c r="AN117" s="805"/>
      <c r="AO117" s="807"/>
      <c r="AP117" s="805"/>
      <c r="AQ117" s="805"/>
      <c r="AR117" s="807"/>
      <c r="AS117" s="807"/>
      <c r="AT117" s="805"/>
      <c r="AU117" s="805"/>
      <c r="AV117" s="807"/>
      <c r="AW117" s="802"/>
      <c r="AX117" s="802"/>
      <c r="AY117" s="802"/>
      <c r="AZ117" s="802"/>
      <c r="BA117" s="802"/>
    </row>
    <row r="118" spans="1:53" s="803" customFormat="1" ht="56.25" customHeight="1" x14ac:dyDescent="0.25">
      <c r="A118" s="1114" t="s">
        <v>114</v>
      </c>
      <c r="B118" s="788"/>
      <c r="C118" s="788"/>
      <c r="D118" s="800"/>
      <c r="E118" s="791" t="s">
        <v>488</v>
      </c>
      <c r="F118" s="792" t="s">
        <v>837</v>
      </c>
      <c r="G118" s="788" t="s">
        <v>489</v>
      </c>
      <c r="H118" s="791" t="s">
        <v>1170</v>
      </c>
      <c r="I118" s="792" t="s">
        <v>838</v>
      </c>
      <c r="J118" s="793" t="s">
        <v>1171</v>
      </c>
      <c r="K118" s="793" t="s">
        <v>490</v>
      </c>
      <c r="L118" s="794" t="s">
        <v>489</v>
      </c>
      <c r="M118" s="793" t="s">
        <v>1172</v>
      </c>
      <c r="N118" s="792" t="s">
        <v>838</v>
      </c>
      <c r="O118" s="793" t="s">
        <v>1171</v>
      </c>
      <c r="P118" s="793" t="s">
        <v>826</v>
      </c>
      <c r="Q118" s="793" t="s">
        <v>1173</v>
      </c>
      <c r="R118" s="793" t="s">
        <v>1174</v>
      </c>
      <c r="S118" s="793" t="s">
        <v>839</v>
      </c>
      <c r="T118" s="793" t="s">
        <v>1171</v>
      </c>
      <c r="U118" s="793" t="s">
        <v>1392</v>
      </c>
      <c r="V118" s="793" t="s">
        <v>841</v>
      </c>
      <c r="W118" s="795" t="s">
        <v>1173</v>
      </c>
      <c r="X118" s="793" t="s">
        <v>1394</v>
      </c>
      <c r="Y118" s="793" t="s">
        <v>839</v>
      </c>
      <c r="Z118" s="796"/>
      <c r="AA118" s="755"/>
      <c r="AB118" s="755"/>
      <c r="AC118" s="773"/>
      <c r="AD118" s="802"/>
      <c r="AF118" s="804"/>
      <c r="AG118" s="802"/>
      <c r="AH118" s="805"/>
      <c r="AI118" s="805"/>
      <c r="AJ118" s="805"/>
      <c r="AK118" s="805"/>
      <c r="AL118" s="806"/>
      <c r="AM118" s="805"/>
      <c r="AN118" s="805"/>
      <c r="AO118" s="807"/>
      <c r="AP118" s="805"/>
      <c r="AQ118" s="808"/>
      <c r="AR118" s="808"/>
      <c r="AS118" s="808"/>
      <c r="AT118" s="805"/>
      <c r="AU118" s="805"/>
      <c r="AV118" s="807"/>
      <c r="AW118" s="802"/>
      <c r="AX118" s="802"/>
      <c r="AY118" s="802"/>
      <c r="AZ118" s="802"/>
      <c r="BA118" s="802"/>
    </row>
    <row r="119" spans="1:53" s="803" customFormat="1" ht="12" customHeight="1" x14ac:dyDescent="0.25">
      <c r="A119" s="1115"/>
      <c r="B119" s="752" t="s">
        <v>1175</v>
      </c>
      <c r="C119" s="788">
        <f>C126</f>
        <v>58.487279499164444</v>
      </c>
      <c r="D119" s="800">
        <f>C119*$D$5</f>
        <v>11.814430458831218</v>
      </c>
      <c r="E119" s="754" t="s">
        <v>1176</v>
      </c>
      <c r="F119" s="810"/>
      <c r="G119" s="756"/>
      <c r="H119" s="756"/>
      <c r="I119" s="757">
        <f>SUM(I120:I127)</f>
        <v>2.1736</v>
      </c>
      <c r="J119" s="758" t="s">
        <v>1176</v>
      </c>
      <c r="K119" s="811"/>
      <c r="L119" s="759"/>
      <c r="M119" s="759"/>
      <c r="N119" s="760">
        <f>SUM(N120:N127)</f>
        <v>0.20021075979569117</v>
      </c>
      <c r="O119" s="759" t="s">
        <v>1176</v>
      </c>
      <c r="P119" s="759"/>
      <c r="Q119" s="812"/>
      <c r="R119" s="813"/>
      <c r="S119" s="760">
        <f>SUM(S120:S127)</f>
        <v>7.6360553527980532E-2</v>
      </c>
      <c r="T119" s="760"/>
      <c r="U119" s="760"/>
      <c r="V119" s="760"/>
      <c r="W119" s="760"/>
      <c r="X119" s="760"/>
      <c r="Y119" s="760">
        <f>SUM(Y120:Y127)</f>
        <v>4.2472967570827658</v>
      </c>
      <c r="Z119" s="762">
        <f>(C119+D119+I119+N119+S119+Y119)*$Z$5</f>
        <v>100.11338362784265</v>
      </c>
      <c r="AA119" s="763">
        <f>C119+D119+I119+N119+S119+Y119+Z119</f>
        <v>177.11256165624474</v>
      </c>
      <c r="AB119" s="764">
        <v>0.25</v>
      </c>
      <c r="AC119" s="765">
        <f>AA119*(1+AB119)</f>
        <v>221.39070207030591</v>
      </c>
      <c r="AD119" s="814"/>
      <c r="AF119" s="804"/>
      <c r="AG119" s="802"/>
      <c r="AH119" s="805"/>
      <c r="AI119" s="808"/>
      <c r="AJ119" s="815"/>
      <c r="AK119" s="816"/>
      <c r="AL119" s="806"/>
      <c r="AM119" s="817"/>
      <c r="AN119" s="818"/>
      <c r="AO119" s="817"/>
      <c r="AP119" s="808"/>
      <c r="AQ119" s="808"/>
      <c r="AR119" s="808"/>
      <c r="AS119" s="808"/>
      <c r="AT119" s="808"/>
      <c r="AU119" s="817"/>
      <c r="AV119" s="817"/>
      <c r="AW119" s="819"/>
      <c r="AX119" s="802"/>
      <c r="AY119" s="802"/>
      <c r="AZ119" s="802"/>
      <c r="BA119" s="802"/>
    </row>
    <row r="120" spans="1:53" s="803" customFormat="1" ht="12.75" customHeight="1" x14ac:dyDescent="0.25">
      <c r="A120" s="1115"/>
      <c r="B120" s="766" t="s">
        <v>1177</v>
      </c>
      <c r="C120" s="788"/>
      <c r="D120" s="820"/>
      <c r="E120" s="767" t="s">
        <v>1437</v>
      </c>
      <c r="F120" s="768" t="s">
        <v>1438</v>
      </c>
      <c r="G120" s="769">
        <v>0.74</v>
      </c>
      <c r="H120" s="768">
        <v>0.01</v>
      </c>
      <c r="I120" s="770">
        <f>G120*H120</f>
        <v>7.4000000000000003E-3</v>
      </c>
      <c r="J120" s="758" t="s">
        <v>1291</v>
      </c>
      <c r="K120" s="771">
        <v>2</v>
      </c>
      <c r="L120" s="772">
        <v>750</v>
      </c>
      <c r="M120" s="771">
        <v>2</v>
      </c>
      <c r="N120" s="790">
        <f>L120/'Исп. коэффициенты'!E46*C125</f>
        <v>0.17259548258249238</v>
      </c>
      <c r="O120" s="759" t="s">
        <v>124</v>
      </c>
      <c r="P120" s="759">
        <v>4217.32</v>
      </c>
      <c r="Q120" s="759">
        <v>19.670000000000002</v>
      </c>
      <c r="R120" s="759">
        <f>P120*Q120%</f>
        <v>829.54684399999996</v>
      </c>
      <c r="S120" s="759">
        <f>R120/'Исп. коэффициенты'!E46</f>
        <v>7.6360553527980532E-2</v>
      </c>
      <c r="T120" s="755" t="s">
        <v>1435</v>
      </c>
      <c r="U120" s="756">
        <v>6785401.3499999996</v>
      </c>
      <c r="V120" s="785">
        <f>'Исп. коэффициенты'!E124</f>
        <v>2978.5</v>
      </c>
      <c r="W120" s="761">
        <f>'Исп. коэффициенты'!D124</f>
        <v>1.3599999999999999E-2</v>
      </c>
      <c r="X120" s="760">
        <f>U120*W120</f>
        <v>92281.45835999999</v>
      </c>
      <c r="Y120" s="759">
        <f>X120/'Исп. коэффициенты'!E46/2</f>
        <v>4.2472967570827658</v>
      </c>
      <c r="Z120" s="759"/>
      <c r="AA120" s="755"/>
      <c r="AB120" s="755"/>
      <c r="AC120" s="773"/>
      <c r="AD120" s="802"/>
      <c r="AF120" s="821"/>
      <c r="AG120" s="802"/>
      <c r="AH120" s="805"/>
      <c r="AI120" s="805"/>
      <c r="AJ120" s="822"/>
      <c r="AK120" s="805"/>
      <c r="AL120" s="806"/>
      <c r="AM120" s="805"/>
      <c r="AN120" s="805"/>
      <c r="AO120" s="807"/>
      <c r="AP120" s="805"/>
      <c r="AQ120" s="805"/>
      <c r="AR120" s="807"/>
      <c r="AS120" s="807"/>
      <c r="AT120" s="808"/>
      <c r="AU120" s="805"/>
      <c r="AV120" s="807"/>
      <c r="AW120" s="802"/>
      <c r="AX120" s="802"/>
      <c r="AY120" s="802"/>
      <c r="AZ120" s="802"/>
      <c r="BA120" s="802"/>
    </row>
    <row r="121" spans="1:53" s="803" customFormat="1" x14ac:dyDescent="0.25">
      <c r="A121" s="1115"/>
      <c r="B121" s="774" t="s">
        <v>1178</v>
      </c>
      <c r="C121" s="753"/>
      <c r="D121" s="820"/>
      <c r="E121" s="767" t="s">
        <v>1439</v>
      </c>
      <c r="F121" s="768" t="s">
        <v>1438</v>
      </c>
      <c r="G121" s="769">
        <v>0.27</v>
      </c>
      <c r="H121" s="768">
        <v>0.01</v>
      </c>
      <c r="I121" s="775">
        <f>G121*H121</f>
        <v>2.7000000000000001E-3</v>
      </c>
      <c r="J121" s="758" t="s">
        <v>1445</v>
      </c>
      <c r="K121" s="760">
        <v>2</v>
      </c>
      <c r="L121" s="776">
        <v>95</v>
      </c>
      <c r="M121" s="771">
        <v>2</v>
      </c>
      <c r="N121" s="790">
        <f>L121/'Исп. коэффициенты'!E46*C125</f>
        <v>2.1862094460449035E-2</v>
      </c>
      <c r="O121" s="759"/>
      <c r="P121" s="759"/>
      <c r="Q121" s="759"/>
      <c r="R121" s="759"/>
      <c r="S121" s="759"/>
      <c r="T121" s="759"/>
      <c r="U121" s="759"/>
      <c r="V121" s="759"/>
      <c r="W121" s="759"/>
      <c r="X121" s="759"/>
      <c r="Y121" s="759"/>
      <c r="Z121" s="759"/>
      <c r="AA121" s="755"/>
      <c r="AB121" s="755"/>
      <c r="AC121" s="773"/>
      <c r="AD121" s="802"/>
      <c r="AF121" s="821"/>
      <c r="AG121" s="802"/>
      <c r="AH121" s="805"/>
      <c r="AI121" s="805"/>
      <c r="AJ121" s="822"/>
      <c r="AK121" s="805"/>
      <c r="AL121" s="806"/>
      <c r="AM121" s="824"/>
      <c r="AN121" s="805"/>
      <c r="AO121" s="807"/>
      <c r="AP121" s="805"/>
      <c r="AQ121" s="805"/>
      <c r="AR121" s="807"/>
      <c r="AS121" s="807"/>
      <c r="AT121" s="805"/>
      <c r="AU121" s="805"/>
      <c r="AV121" s="807"/>
      <c r="AW121" s="802"/>
      <c r="AX121" s="802"/>
      <c r="AY121" s="802"/>
      <c r="AZ121" s="802"/>
      <c r="BA121" s="802"/>
    </row>
    <row r="122" spans="1:53" s="803" customFormat="1" ht="12.75" customHeight="1" x14ac:dyDescent="0.25">
      <c r="A122" s="1115"/>
      <c r="B122" s="754" t="s">
        <v>1179</v>
      </c>
      <c r="C122" s="788">
        <f>C112</f>
        <v>23.394911799665778</v>
      </c>
      <c r="D122" s="820"/>
      <c r="E122" s="767"/>
      <c r="F122" s="768"/>
      <c r="G122" s="769"/>
      <c r="H122" s="769"/>
      <c r="I122" s="770"/>
      <c r="J122" s="758" t="s">
        <v>1513</v>
      </c>
      <c r="K122" s="760">
        <v>2</v>
      </c>
      <c r="L122" s="760">
        <v>25</v>
      </c>
      <c r="M122" s="771">
        <v>0.5</v>
      </c>
      <c r="N122" s="790">
        <f>L122/'Исп. коэффициенты'!E46*C125</f>
        <v>5.7531827527497461E-3</v>
      </c>
      <c r="O122" s="759"/>
      <c r="P122" s="759"/>
      <c r="Q122" s="759"/>
      <c r="R122" s="759"/>
      <c r="S122" s="759"/>
      <c r="T122" s="759"/>
      <c r="U122" s="759"/>
      <c r="V122" s="759"/>
      <c r="W122" s="759"/>
      <c r="X122" s="759"/>
      <c r="Y122" s="759"/>
      <c r="Z122" s="759"/>
      <c r="AA122" s="755"/>
      <c r="AB122" s="755"/>
      <c r="AC122" s="773"/>
      <c r="AD122" s="802"/>
      <c r="AF122" s="821"/>
      <c r="AG122" s="802"/>
      <c r="AH122" s="805"/>
      <c r="AI122" s="805"/>
      <c r="AJ122" s="822"/>
      <c r="AK122" s="805"/>
      <c r="AL122" s="806"/>
      <c r="AM122" s="805"/>
      <c r="AN122" s="805"/>
      <c r="AO122" s="807"/>
      <c r="AP122" s="805"/>
      <c r="AQ122" s="805"/>
      <c r="AR122" s="807"/>
      <c r="AS122" s="807"/>
      <c r="AT122" s="805"/>
      <c r="AU122" s="805"/>
      <c r="AV122" s="807"/>
      <c r="AW122" s="802"/>
      <c r="AX122" s="802"/>
      <c r="AY122" s="802"/>
      <c r="AZ122" s="802"/>
      <c r="BA122" s="802"/>
    </row>
    <row r="123" spans="1:53" s="803" customFormat="1" ht="12.75" customHeight="1" x14ac:dyDescent="0.25">
      <c r="A123" s="1115"/>
      <c r="B123" s="754" t="s">
        <v>1180</v>
      </c>
      <c r="C123" s="789"/>
      <c r="D123" s="820"/>
      <c r="E123" s="767"/>
      <c r="F123" s="768"/>
      <c r="G123" s="769"/>
      <c r="H123" s="768"/>
      <c r="I123" s="770"/>
      <c r="J123" s="758"/>
      <c r="K123" s="760"/>
      <c r="L123" s="760"/>
      <c r="M123" s="760"/>
      <c r="N123" s="760"/>
      <c r="O123" s="759"/>
      <c r="P123" s="759"/>
      <c r="Q123" s="759"/>
      <c r="R123" s="759"/>
      <c r="S123" s="759"/>
      <c r="T123" s="759"/>
      <c r="U123" s="759"/>
      <c r="V123" s="759"/>
      <c r="W123" s="759"/>
      <c r="X123" s="759"/>
      <c r="Y123" s="759"/>
      <c r="Z123" s="759"/>
      <c r="AA123" s="755"/>
      <c r="AB123" s="755"/>
      <c r="AC123" s="773"/>
      <c r="AD123" s="802"/>
      <c r="AF123" s="821"/>
      <c r="AG123" s="802"/>
      <c r="AH123" s="805"/>
      <c r="AI123" s="805"/>
      <c r="AJ123" s="822"/>
      <c r="AK123" s="805"/>
      <c r="AL123" s="806"/>
      <c r="AM123" s="805"/>
      <c r="AN123" s="805"/>
      <c r="AO123" s="807"/>
      <c r="AP123" s="805"/>
      <c r="AQ123" s="805"/>
      <c r="AR123" s="807"/>
      <c r="AS123" s="807"/>
      <c r="AT123" s="805"/>
      <c r="AU123" s="805"/>
      <c r="AV123" s="807"/>
      <c r="AW123" s="802"/>
      <c r="AX123" s="802"/>
      <c r="AY123" s="802"/>
      <c r="AZ123" s="802"/>
      <c r="BA123" s="802"/>
    </row>
    <row r="124" spans="1:53" s="803" customFormat="1" ht="12.75" customHeight="1" x14ac:dyDescent="0.25">
      <c r="A124" s="1115"/>
      <c r="B124" s="774" t="s">
        <v>1178</v>
      </c>
      <c r="C124" s="784"/>
      <c r="D124" s="820"/>
      <c r="E124" s="767" t="s">
        <v>1442</v>
      </c>
      <c r="F124" s="768" t="s">
        <v>1443</v>
      </c>
      <c r="G124" s="769">
        <v>419.5</v>
      </c>
      <c r="H124" s="768">
        <v>1E-3</v>
      </c>
      <c r="I124" s="770">
        <f>G124*H124</f>
        <v>0.41949999999999998</v>
      </c>
      <c r="J124" s="758"/>
      <c r="K124" s="760"/>
      <c r="L124" s="760"/>
      <c r="M124" s="760"/>
      <c r="N124" s="760"/>
      <c r="O124" s="759"/>
      <c r="P124" s="759"/>
      <c r="Q124" s="759"/>
      <c r="R124" s="759"/>
      <c r="S124" s="759"/>
      <c r="T124" s="759"/>
      <c r="U124" s="759"/>
      <c r="V124" s="759"/>
      <c r="W124" s="759"/>
      <c r="X124" s="759"/>
      <c r="Y124" s="759"/>
      <c r="Z124" s="759"/>
      <c r="AA124" s="755"/>
      <c r="AB124" s="755"/>
      <c r="AC124" s="773"/>
      <c r="AD124" s="802"/>
      <c r="AF124" s="821"/>
      <c r="AG124" s="802"/>
      <c r="AH124" s="805"/>
      <c r="AI124" s="805"/>
      <c r="AJ124" s="827"/>
      <c r="AK124" s="805"/>
      <c r="AL124" s="806"/>
      <c r="AM124" s="805"/>
      <c r="AN124" s="805"/>
      <c r="AO124" s="807"/>
      <c r="AP124" s="805"/>
      <c r="AQ124" s="805"/>
      <c r="AR124" s="807"/>
      <c r="AS124" s="807"/>
      <c r="AT124" s="805"/>
      <c r="AU124" s="805"/>
      <c r="AV124" s="807"/>
      <c r="AW124" s="802"/>
      <c r="AX124" s="802"/>
      <c r="AY124" s="802"/>
      <c r="AZ124" s="802"/>
      <c r="BA124" s="802"/>
    </row>
    <row r="125" spans="1:53" s="803" customFormat="1" ht="12.75" customHeight="1" x14ac:dyDescent="0.25">
      <c r="A125" s="1115"/>
      <c r="B125" s="754" t="s">
        <v>1179</v>
      </c>
      <c r="C125" s="784">
        <v>2.5</v>
      </c>
      <c r="D125" s="820"/>
      <c r="E125" s="767" t="s">
        <v>1444</v>
      </c>
      <c r="F125" s="768" t="s">
        <v>1443</v>
      </c>
      <c r="G125" s="769">
        <v>872</v>
      </c>
      <c r="H125" s="768">
        <v>2E-3</v>
      </c>
      <c r="I125" s="770">
        <f>G125*H125</f>
        <v>1.744</v>
      </c>
      <c r="J125" s="758"/>
      <c r="K125" s="760"/>
      <c r="L125" s="760"/>
      <c r="M125" s="760"/>
      <c r="N125" s="760"/>
      <c r="O125" s="759"/>
      <c r="P125" s="759"/>
      <c r="Q125" s="759"/>
      <c r="R125" s="759"/>
      <c r="S125" s="759"/>
      <c r="T125" s="759"/>
      <c r="U125" s="759"/>
      <c r="V125" s="759"/>
      <c r="W125" s="759"/>
      <c r="X125" s="759"/>
      <c r="Y125" s="759"/>
      <c r="Z125" s="759"/>
      <c r="AA125" s="755"/>
      <c r="AB125" s="755"/>
      <c r="AC125" s="773"/>
      <c r="AD125" s="802"/>
      <c r="AF125" s="821"/>
      <c r="AG125" s="802"/>
      <c r="AH125" s="805"/>
      <c r="AI125" s="805"/>
      <c r="AJ125" s="827"/>
      <c r="AK125" s="805"/>
      <c r="AL125" s="806"/>
      <c r="AM125" s="805"/>
      <c r="AN125" s="805"/>
      <c r="AO125" s="807"/>
      <c r="AP125" s="805"/>
      <c r="AQ125" s="805"/>
      <c r="AR125" s="807"/>
      <c r="AS125" s="807"/>
      <c r="AT125" s="805"/>
      <c r="AU125" s="805"/>
      <c r="AV125" s="807"/>
      <c r="AW125" s="802"/>
      <c r="AX125" s="802"/>
      <c r="AY125" s="802"/>
      <c r="AZ125" s="802"/>
      <c r="BA125" s="802"/>
    </row>
    <row r="126" spans="1:53" s="803" customFormat="1" ht="12.75" customHeight="1" x14ac:dyDescent="0.25">
      <c r="A126" s="1115"/>
      <c r="B126" s="782" t="s">
        <v>1181</v>
      </c>
      <c r="C126" s="788">
        <f>C121*C124+C122*C125</f>
        <v>58.487279499164444</v>
      </c>
      <c r="D126" s="820"/>
      <c r="E126" s="767"/>
      <c r="F126" s="781"/>
      <c r="G126" s="769"/>
      <c r="H126" s="768"/>
      <c r="I126" s="770"/>
      <c r="J126" s="758"/>
      <c r="K126" s="828"/>
      <c r="L126" s="776"/>
      <c r="M126" s="771"/>
      <c r="N126" s="760"/>
      <c r="O126" s="759"/>
      <c r="P126" s="759"/>
      <c r="Q126" s="759"/>
      <c r="R126" s="759"/>
      <c r="S126" s="759"/>
      <c r="T126" s="759"/>
      <c r="U126" s="759"/>
      <c r="V126" s="759"/>
      <c r="W126" s="759"/>
      <c r="X126" s="759"/>
      <c r="Y126" s="759"/>
      <c r="Z126" s="759"/>
      <c r="AA126" s="755"/>
      <c r="AB126" s="755"/>
      <c r="AC126" s="773"/>
      <c r="AD126" s="802"/>
      <c r="AF126" s="821"/>
      <c r="AG126" s="802"/>
      <c r="AH126" s="805"/>
      <c r="AI126" s="805"/>
      <c r="AJ126" s="822"/>
      <c r="AK126" s="805"/>
      <c r="AL126" s="806"/>
      <c r="AM126" s="805"/>
      <c r="AN126" s="805"/>
      <c r="AO126" s="807"/>
      <c r="AP126" s="805"/>
      <c r="AQ126" s="805"/>
      <c r="AR126" s="807"/>
      <c r="AS126" s="807"/>
      <c r="AT126" s="805"/>
      <c r="AU126" s="805"/>
      <c r="AV126" s="807"/>
      <c r="AW126" s="802"/>
      <c r="AX126" s="802"/>
      <c r="AY126" s="802"/>
      <c r="AZ126" s="802"/>
      <c r="BA126" s="802"/>
    </row>
    <row r="127" spans="1:53" s="803" customFormat="1" ht="12.75" customHeight="1" x14ac:dyDescent="0.25">
      <c r="A127" s="1115"/>
      <c r="B127" s="782"/>
      <c r="C127" s="784"/>
      <c r="D127" s="829"/>
      <c r="E127" s="767"/>
      <c r="F127" s="781"/>
      <c r="G127" s="769"/>
      <c r="H127" s="768"/>
      <c r="I127" s="770"/>
      <c r="J127" s="758"/>
      <c r="K127" s="828"/>
      <c r="L127" s="760"/>
      <c r="M127" s="760"/>
      <c r="N127" s="760"/>
      <c r="O127" s="759"/>
      <c r="P127" s="759"/>
      <c r="Q127" s="759"/>
      <c r="R127" s="759"/>
      <c r="S127" s="759"/>
      <c r="T127" s="759"/>
      <c r="U127" s="759"/>
      <c r="V127" s="759"/>
      <c r="W127" s="759"/>
      <c r="X127" s="759"/>
      <c r="Y127" s="759"/>
      <c r="Z127" s="759"/>
      <c r="AA127" s="755"/>
      <c r="AB127" s="755"/>
      <c r="AC127" s="773"/>
      <c r="AD127" s="802"/>
      <c r="AF127" s="821"/>
      <c r="AG127" s="802"/>
      <c r="AH127" s="805"/>
      <c r="AI127" s="805"/>
      <c r="AJ127" s="827"/>
      <c r="AK127" s="805"/>
      <c r="AL127" s="806"/>
      <c r="AM127" s="805"/>
      <c r="AN127" s="805"/>
      <c r="AO127" s="807"/>
      <c r="AP127" s="805"/>
      <c r="AQ127" s="805"/>
      <c r="AR127" s="807"/>
      <c r="AS127" s="807"/>
      <c r="AT127" s="805"/>
      <c r="AU127" s="805"/>
      <c r="AV127" s="807"/>
      <c r="AW127" s="802"/>
      <c r="AX127" s="802"/>
      <c r="AY127" s="802"/>
      <c r="AZ127" s="802"/>
      <c r="BA127" s="802"/>
    </row>
    <row r="128" spans="1:53" s="803" customFormat="1" ht="56.25" customHeight="1" x14ac:dyDescent="0.25">
      <c r="A128" s="1122" t="s">
        <v>115</v>
      </c>
      <c r="B128" s="788"/>
      <c r="C128" s="788"/>
      <c r="D128" s="800"/>
      <c r="E128" s="791" t="s">
        <v>488</v>
      </c>
      <c r="F128" s="792" t="s">
        <v>837</v>
      </c>
      <c r="G128" s="788" t="s">
        <v>489</v>
      </c>
      <c r="H128" s="791" t="s">
        <v>1170</v>
      </c>
      <c r="I128" s="792" t="s">
        <v>838</v>
      </c>
      <c r="J128" s="793" t="s">
        <v>1171</v>
      </c>
      <c r="K128" s="793" t="s">
        <v>490</v>
      </c>
      <c r="L128" s="794" t="s">
        <v>489</v>
      </c>
      <c r="M128" s="793" t="s">
        <v>1172</v>
      </c>
      <c r="N128" s="792" t="s">
        <v>838</v>
      </c>
      <c r="O128" s="793" t="s">
        <v>1171</v>
      </c>
      <c r="P128" s="793" t="s">
        <v>826</v>
      </c>
      <c r="Q128" s="793" t="s">
        <v>1173</v>
      </c>
      <c r="R128" s="793" t="s">
        <v>1174</v>
      </c>
      <c r="S128" s="793" t="s">
        <v>839</v>
      </c>
      <c r="T128" s="793" t="s">
        <v>1171</v>
      </c>
      <c r="U128" s="793" t="s">
        <v>1392</v>
      </c>
      <c r="V128" s="793" t="s">
        <v>841</v>
      </c>
      <c r="W128" s="795" t="s">
        <v>1173</v>
      </c>
      <c r="X128" s="793" t="s">
        <v>1394</v>
      </c>
      <c r="Y128" s="793" t="s">
        <v>839</v>
      </c>
      <c r="Z128" s="796"/>
      <c r="AA128" s="755"/>
      <c r="AB128" s="755"/>
      <c r="AC128" s="773"/>
      <c r="AD128" s="802"/>
      <c r="AF128" s="804"/>
      <c r="AG128" s="802"/>
      <c r="AH128" s="805"/>
      <c r="AI128" s="805"/>
      <c r="AJ128" s="805"/>
      <c r="AK128" s="805"/>
      <c r="AL128" s="806"/>
      <c r="AM128" s="805"/>
      <c r="AN128" s="805"/>
      <c r="AO128" s="807"/>
      <c r="AP128" s="805"/>
      <c r="AQ128" s="808"/>
      <c r="AR128" s="808"/>
      <c r="AS128" s="808"/>
      <c r="AT128" s="805"/>
      <c r="AU128" s="805"/>
      <c r="AV128" s="807"/>
      <c r="AW128" s="802"/>
      <c r="AX128" s="802"/>
      <c r="AY128" s="802"/>
      <c r="AZ128" s="802"/>
      <c r="BA128" s="802"/>
    </row>
    <row r="129" spans="1:53" s="803" customFormat="1" ht="12" customHeight="1" x14ac:dyDescent="0.25">
      <c r="A129" s="1122"/>
      <c r="B129" s="752" t="s">
        <v>1175</v>
      </c>
      <c r="C129" s="788">
        <f>C136</f>
        <v>23.394911799665778</v>
      </c>
      <c r="D129" s="800">
        <f>C129*$D$5</f>
        <v>4.7257721835324871</v>
      </c>
      <c r="E129" s="754" t="s">
        <v>1176</v>
      </c>
      <c r="F129" s="810"/>
      <c r="G129" s="756"/>
      <c r="H129" s="756"/>
      <c r="I129" s="757">
        <f>SUM(I130:I137)</f>
        <v>9.2745999999999995</v>
      </c>
      <c r="J129" s="758" t="s">
        <v>1176</v>
      </c>
      <c r="K129" s="811"/>
      <c r="L129" s="759"/>
      <c r="M129" s="759"/>
      <c r="N129" s="786">
        <f>SUM(N130:N137)</f>
        <v>8.0084303918276464E-2</v>
      </c>
      <c r="O129" s="759" t="s">
        <v>1176</v>
      </c>
      <c r="P129" s="759"/>
      <c r="Q129" s="812"/>
      <c r="R129" s="813"/>
      <c r="S129" s="760">
        <f>SUM(S130:S137)</f>
        <v>0.93453010948905135</v>
      </c>
      <c r="T129" s="760"/>
      <c r="U129" s="760"/>
      <c r="V129" s="760"/>
      <c r="W129" s="760"/>
      <c r="X129" s="760"/>
      <c r="Y129" s="760">
        <f>SUM(Y130:Y137)</f>
        <v>4.2472967570827658</v>
      </c>
      <c r="Z129" s="762">
        <f>(C129+D129+I129+N129+S129+Y129)*$Z$5</f>
        <v>55.462360147970763</v>
      </c>
      <c r="AA129" s="763">
        <f>C129+D129+I129+N129+S129+Y129+Z129</f>
        <v>98.119555301659119</v>
      </c>
      <c r="AB129" s="764">
        <v>0.25</v>
      </c>
      <c r="AC129" s="765">
        <f>AA129*(1+AB129)</f>
        <v>122.64944412707391</v>
      </c>
      <c r="AD129" s="814"/>
      <c r="AF129" s="804"/>
      <c r="AG129" s="802"/>
      <c r="AH129" s="805"/>
      <c r="AI129" s="808"/>
      <c r="AJ129" s="815"/>
      <c r="AK129" s="816"/>
      <c r="AL129" s="806"/>
      <c r="AM129" s="817"/>
      <c r="AN129" s="818"/>
      <c r="AO129" s="817"/>
      <c r="AP129" s="808"/>
      <c r="AQ129" s="808"/>
      <c r="AR129" s="808"/>
      <c r="AS129" s="808"/>
      <c r="AT129" s="808"/>
      <c r="AU129" s="817"/>
      <c r="AV129" s="817"/>
      <c r="AW129" s="819"/>
      <c r="AX129" s="802"/>
      <c r="AY129" s="802"/>
      <c r="AZ129" s="802"/>
      <c r="BA129" s="802"/>
    </row>
    <row r="130" spans="1:53" s="803" customFormat="1" ht="12.75" customHeight="1" x14ac:dyDescent="0.25">
      <c r="A130" s="1122"/>
      <c r="B130" s="766" t="s">
        <v>1177</v>
      </c>
      <c r="C130" s="788"/>
      <c r="D130" s="820"/>
      <c r="E130" s="767" t="s">
        <v>1437</v>
      </c>
      <c r="F130" s="768" t="s">
        <v>1438</v>
      </c>
      <c r="G130" s="769">
        <v>0.74</v>
      </c>
      <c r="H130" s="768">
        <v>0.01</v>
      </c>
      <c r="I130" s="770">
        <f t="shared" ref="I130:I135" si="3">G130*H130</f>
        <v>7.4000000000000003E-3</v>
      </c>
      <c r="J130" s="758" t="s">
        <v>1291</v>
      </c>
      <c r="K130" s="771">
        <v>2</v>
      </c>
      <c r="L130" s="772">
        <v>750</v>
      </c>
      <c r="M130" s="771">
        <v>2</v>
      </c>
      <c r="N130" s="790">
        <f>L130/'Исп. коэффициенты'!E46*C135</f>
        <v>6.903819303299695E-2</v>
      </c>
      <c r="O130" s="759" t="s">
        <v>126</v>
      </c>
      <c r="P130" s="759">
        <v>4301.1000000000004</v>
      </c>
      <c r="Q130" s="759">
        <v>19.670000000000002</v>
      </c>
      <c r="R130" s="759">
        <f>P130*Q130%</f>
        <v>846.02637000000016</v>
      </c>
      <c r="S130" s="759">
        <f>R130/'Исп. коэффициенты'!F46</f>
        <v>0.93453010948905135</v>
      </c>
      <c r="T130" s="755" t="s">
        <v>1435</v>
      </c>
      <c r="U130" s="756">
        <v>6785401.3499999996</v>
      </c>
      <c r="V130" s="785">
        <f>'Исп. коэффициенты'!E124</f>
        <v>2978.5</v>
      </c>
      <c r="W130" s="761">
        <f>'Исп. коэффициенты'!D124</f>
        <v>1.3599999999999999E-2</v>
      </c>
      <c r="X130" s="760">
        <f>U130*W130</f>
        <v>92281.45835999999</v>
      </c>
      <c r="Y130" s="759">
        <f>X130/'Исп. коэффициенты'!E46/2</f>
        <v>4.2472967570827658</v>
      </c>
      <c r="Z130" s="759"/>
      <c r="AA130" s="755"/>
      <c r="AB130" s="755"/>
      <c r="AC130" s="773"/>
      <c r="AD130" s="802"/>
      <c r="AF130" s="821"/>
      <c r="AG130" s="802"/>
      <c r="AH130" s="805"/>
      <c r="AI130" s="805"/>
      <c r="AJ130" s="822"/>
      <c r="AK130" s="805"/>
      <c r="AL130" s="806"/>
      <c r="AM130" s="805"/>
      <c r="AN130" s="805"/>
      <c r="AO130" s="807"/>
      <c r="AP130" s="805"/>
      <c r="AQ130" s="805"/>
      <c r="AR130" s="807"/>
      <c r="AS130" s="807"/>
      <c r="AT130" s="808"/>
      <c r="AU130" s="805"/>
      <c r="AV130" s="807"/>
      <c r="AW130" s="802"/>
      <c r="AX130" s="802"/>
      <c r="AY130" s="802"/>
      <c r="AZ130" s="802"/>
      <c r="BA130" s="802"/>
    </row>
    <row r="131" spans="1:53" s="803" customFormat="1" x14ac:dyDescent="0.25">
      <c r="A131" s="1122"/>
      <c r="B131" s="774" t="s">
        <v>1178</v>
      </c>
      <c r="C131" s="753"/>
      <c r="D131" s="820"/>
      <c r="E131" s="767" t="s">
        <v>1439</v>
      </c>
      <c r="F131" s="768" t="s">
        <v>1438</v>
      </c>
      <c r="G131" s="769">
        <v>0.27</v>
      </c>
      <c r="H131" s="768">
        <v>0.01</v>
      </c>
      <c r="I131" s="775">
        <f t="shared" si="3"/>
        <v>2.7000000000000001E-3</v>
      </c>
      <c r="J131" s="758" t="s">
        <v>1445</v>
      </c>
      <c r="K131" s="760">
        <v>2</v>
      </c>
      <c r="L131" s="776">
        <v>95</v>
      </c>
      <c r="M131" s="771">
        <v>2</v>
      </c>
      <c r="N131" s="790">
        <f>L131/'Исп. коэффициенты'!E46*C135</f>
        <v>8.7448377841796137E-3</v>
      </c>
      <c r="O131" s="759"/>
      <c r="P131" s="759"/>
      <c r="Q131" s="759"/>
      <c r="R131" s="759"/>
      <c r="S131" s="759"/>
      <c r="T131" s="759"/>
      <c r="U131" s="759"/>
      <c r="V131" s="759"/>
      <c r="W131" s="759"/>
      <c r="X131" s="759"/>
      <c r="Y131" s="759"/>
      <c r="Z131" s="759"/>
      <c r="AA131" s="755"/>
      <c r="AB131" s="755"/>
      <c r="AC131" s="773"/>
      <c r="AD131" s="802"/>
      <c r="AF131" s="821"/>
      <c r="AG131" s="802"/>
      <c r="AH131" s="805"/>
      <c r="AI131" s="805"/>
      <c r="AJ131" s="822"/>
      <c r="AK131" s="805"/>
      <c r="AL131" s="806"/>
      <c r="AM131" s="824"/>
      <c r="AN131" s="805"/>
      <c r="AO131" s="807"/>
      <c r="AP131" s="805"/>
      <c r="AQ131" s="805"/>
      <c r="AR131" s="807"/>
      <c r="AS131" s="807"/>
      <c r="AT131" s="805"/>
      <c r="AU131" s="805"/>
      <c r="AV131" s="807"/>
      <c r="AW131" s="802"/>
      <c r="AX131" s="802"/>
      <c r="AY131" s="802"/>
      <c r="AZ131" s="802"/>
      <c r="BA131" s="802"/>
    </row>
    <row r="132" spans="1:53" s="803" customFormat="1" ht="12.75" customHeight="1" x14ac:dyDescent="0.25">
      <c r="A132" s="1122"/>
      <c r="B132" s="754" t="s">
        <v>1179</v>
      </c>
      <c r="C132" s="788">
        <f>C122</f>
        <v>23.394911799665778</v>
      </c>
      <c r="D132" s="820"/>
      <c r="E132" s="767"/>
      <c r="F132" s="768"/>
      <c r="G132" s="769"/>
      <c r="H132" s="769"/>
      <c r="I132" s="770"/>
      <c r="J132" s="758" t="s">
        <v>1513</v>
      </c>
      <c r="K132" s="760">
        <v>2</v>
      </c>
      <c r="L132" s="760">
        <v>25</v>
      </c>
      <c r="M132" s="771">
        <v>0.5</v>
      </c>
      <c r="N132" s="790">
        <f>L132/'Исп. коэффициенты'!E46*C135</f>
        <v>2.3012731010998984E-3</v>
      </c>
      <c r="O132" s="759"/>
      <c r="P132" s="759"/>
      <c r="Q132" s="759"/>
      <c r="R132" s="759"/>
      <c r="S132" s="759"/>
      <c r="T132" s="759"/>
      <c r="U132" s="759"/>
      <c r="V132" s="759"/>
      <c r="W132" s="759"/>
      <c r="X132" s="759"/>
      <c r="Y132" s="759"/>
      <c r="Z132" s="759"/>
      <c r="AA132" s="755"/>
      <c r="AB132" s="755"/>
      <c r="AC132" s="773"/>
      <c r="AD132" s="802"/>
      <c r="AF132" s="821"/>
      <c r="AG132" s="802"/>
      <c r="AH132" s="805"/>
      <c r="AI132" s="805"/>
      <c r="AJ132" s="822"/>
      <c r="AK132" s="805"/>
      <c r="AL132" s="806"/>
      <c r="AM132" s="805"/>
      <c r="AN132" s="805"/>
      <c r="AO132" s="807"/>
      <c r="AP132" s="805"/>
      <c r="AQ132" s="805"/>
      <c r="AR132" s="807"/>
      <c r="AS132" s="807"/>
      <c r="AT132" s="805"/>
      <c r="AU132" s="805"/>
      <c r="AV132" s="807"/>
      <c r="AW132" s="802"/>
      <c r="AX132" s="802"/>
      <c r="AY132" s="802"/>
      <c r="AZ132" s="802"/>
      <c r="BA132" s="802"/>
    </row>
    <row r="133" spans="1:53" s="803" customFormat="1" ht="12.75" customHeight="1" x14ac:dyDescent="0.25">
      <c r="A133" s="1122"/>
      <c r="B133" s="754" t="s">
        <v>1180</v>
      </c>
      <c r="C133" s="789"/>
      <c r="D133" s="820"/>
      <c r="E133" s="767" t="s">
        <v>6</v>
      </c>
      <c r="F133" s="768" t="s">
        <v>1</v>
      </c>
      <c r="G133" s="769">
        <v>236.7</v>
      </c>
      <c r="H133" s="768">
        <v>0.03</v>
      </c>
      <c r="I133" s="770">
        <f t="shared" si="3"/>
        <v>7.1009999999999991</v>
      </c>
      <c r="J133" s="758"/>
      <c r="K133" s="760"/>
      <c r="L133" s="760"/>
      <c r="M133" s="760"/>
      <c r="N133" s="760"/>
      <c r="O133" s="759"/>
      <c r="P133" s="759"/>
      <c r="Q133" s="759"/>
      <c r="R133" s="759"/>
      <c r="S133" s="759"/>
      <c r="T133" s="759"/>
      <c r="U133" s="759"/>
      <c r="V133" s="759"/>
      <c r="W133" s="759"/>
      <c r="X133" s="759"/>
      <c r="Y133" s="759"/>
      <c r="Z133" s="759"/>
      <c r="AA133" s="755"/>
      <c r="AB133" s="755"/>
      <c r="AC133" s="773"/>
      <c r="AD133" s="802"/>
      <c r="AF133" s="821"/>
      <c r="AG133" s="802"/>
      <c r="AH133" s="805"/>
      <c r="AI133" s="805"/>
      <c r="AJ133" s="822"/>
      <c r="AK133" s="805"/>
      <c r="AL133" s="806"/>
      <c r="AM133" s="805"/>
      <c r="AN133" s="805"/>
      <c r="AO133" s="807"/>
      <c r="AP133" s="805"/>
      <c r="AQ133" s="805"/>
      <c r="AR133" s="807"/>
      <c r="AS133" s="807"/>
      <c r="AT133" s="805"/>
      <c r="AU133" s="805"/>
      <c r="AV133" s="807"/>
      <c r="AW133" s="802"/>
      <c r="AX133" s="802"/>
      <c r="AY133" s="802"/>
      <c r="AZ133" s="802"/>
      <c r="BA133" s="802"/>
    </row>
    <row r="134" spans="1:53" s="803" customFormat="1" ht="12.75" customHeight="1" x14ac:dyDescent="0.25">
      <c r="A134" s="1122"/>
      <c r="B134" s="774" t="s">
        <v>1178</v>
      </c>
      <c r="C134" s="784"/>
      <c r="D134" s="820"/>
      <c r="E134" s="767" t="s">
        <v>1442</v>
      </c>
      <c r="F134" s="768" t="s">
        <v>1443</v>
      </c>
      <c r="G134" s="769">
        <v>419.5</v>
      </c>
      <c r="H134" s="768">
        <v>1E-3</v>
      </c>
      <c r="I134" s="770">
        <f t="shared" si="3"/>
        <v>0.41949999999999998</v>
      </c>
      <c r="J134" s="758"/>
      <c r="K134" s="760"/>
      <c r="L134" s="760"/>
      <c r="M134" s="760"/>
      <c r="N134" s="760"/>
      <c r="O134" s="759"/>
      <c r="P134" s="759"/>
      <c r="Q134" s="759"/>
      <c r="R134" s="759"/>
      <c r="S134" s="759"/>
      <c r="T134" s="759"/>
      <c r="U134" s="759"/>
      <c r="V134" s="759"/>
      <c r="W134" s="759"/>
      <c r="X134" s="759"/>
      <c r="Y134" s="759"/>
      <c r="Z134" s="759"/>
      <c r="AA134" s="755"/>
      <c r="AB134" s="755"/>
      <c r="AC134" s="773"/>
      <c r="AD134" s="802"/>
      <c r="AF134" s="821"/>
      <c r="AG134" s="802"/>
      <c r="AH134" s="805"/>
      <c r="AI134" s="805"/>
      <c r="AJ134" s="827"/>
      <c r="AK134" s="805"/>
      <c r="AL134" s="806"/>
      <c r="AM134" s="805"/>
      <c r="AN134" s="805"/>
      <c r="AO134" s="807"/>
      <c r="AP134" s="805"/>
      <c r="AQ134" s="805"/>
      <c r="AR134" s="807"/>
      <c r="AS134" s="807"/>
      <c r="AT134" s="805"/>
      <c r="AU134" s="805"/>
      <c r="AV134" s="807"/>
      <c r="AW134" s="802"/>
      <c r="AX134" s="802"/>
      <c r="AY134" s="802"/>
      <c r="AZ134" s="802"/>
      <c r="BA134" s="802"/>
    </row>
    <row r="135" spans="1:53" s="803" customFormat="1" ht="12.75" customHeight="1" x14ac:dyDescent="0.25">
      <c r="A135" s="1122"/>
      <c r="B135" s="754" t="s">
        <v>1179</v>
      </c>
      <c r="C135" s="784">
        <v>1</v>
      </c>
      <c r="D135" s="820"/>
      <c r="E135" s="767" t="s">
        <v>1444</v>
      </c>
      <c r="F135" s="768" t="s">
        <v>1443</v>
      </c>
      <c r="G135" s="769">
        <v>872</v>
      </c>
      <c r="H135" s="768">
        <v>2E-3</v>
      </c>
      <c r="I135" s="770">
        <f t="shared" si="3"/>
        <v>1.744</v>
      </c>
      <c r="J135" s="758"/>
      <c r="K135" s="760"/>
      <c r="L135" s="760"/>
      <c r="M135" s="760"/>
      <c r="N135" s="760"/>
      <c r="O135" s="759"/>
      <c r="P135" s="759"/>
      <c r="Q135" s="759"/>
      <c r="R135" s="759"/>
      <c r="S135" s="759"/>
      <c r="T135" s="759"/>
      <c r="U135" s="759"/>
      <c r="V135" s="759"/>
      <c r="W135" s="759"/>
      <c r="X135" s="759"/>
      <c r="Y135" s="759"/>
      <c r="Z135" s="759"/>
      <c r="AA135" s="755"/>
      <c r="AB135" s="755"/>
      <c r="AC135" s="773"/>
      <c r="AD135" s="802"/>
      <c r="AF135" s="821"/>
      <c r="AG135" s="802"/>
      <c r="AH135" s="805"/>
      <c r="AI135" s="805"/>
      <c r="AJ135" s="827"/>
      <c r="AK135" s="805"/>
      <c r="AL135" s="806"/>
      <c r="AM135" s="805"/>
      <c r="AN135" s="805"/>
      <c r="AO135" s="807"/>
      <c r="AP135" s="805"/>
      <c r="AQ135" s="805"/>
      <c r="AR135" s="807"/>
      <c r="AS135" s="807"/>
      <c r="AT135" s="805"/>
      <c r="AU135" s="805"/>
      <c r="AV135" s="807"/>
      <c r="AW135" s="802"/>
      <c r="AX135" s="802"/>
      <c r="AY135" s="802"/>
      <c r="AZ135" s="802"/>
      <c r="BA135" s="802"/>
    </row>
    <row r="136" spans="1:53" s="803" customFormat="1" ht="12.75" customHeight="1" x14ac:dyDescent="0.25">
      <c r="A136" s="1122"/>
      <c r="B136" s="782" t="s">
        <v>1181</v>
      </c>
      <c r="C136" s="788">
        <f>C131*C134+C132*C135</f>
        <v>23.394911799665778</v>
      </c>
      <c r="D136" s="820"/>
      <c r="E136" s="767"/>
      <c r="F136" s="781"/>
      <c r="G136" s="769"/>
      <c r="H136" s="768"/>
      <c r="I136" s="770"/>
      <c r="J136" s="758"/>
      <c r="K136" s="828"/>
      <c r="L136" s="760"/>
      <c r="M136" s="760"/>
      <c r="N136" s="760"/>
      <c r="O136" s="759"/>
      <c r="P136" s="759"/>
      <c r="Q136" s="759"/>
      <c r="R136" s="759"/>
      <c r="S136" s="759"/>
      <c r="T136" s="759"/>
      <c r="U136" s="759"/>
      <c r="V136" s="759"/>
      <c r="W136" s="759"/>
      <c r="X136" s="759"/>
      <c r="Y136" s="759"/>
      <c r="Z136" s="759"/>
      <c r="AA136" s="755"/>
      <c r="AB136" s="755"/>
      <c r="AC136" s="773"/>
      <c r="AD136" s="802"/>
      <c r="AF136" s="821"/>
      <c r="AG136" s="802"/>
      <c r="AH136" s="805"/>
      <c r="AI136" s="805"/>
      <c r="AJ136" s="822"/>
      <c r="AK136" s="805"/>
      <c r="AL136" s="806"/>
      <c r="AM136" s="805"/>
      <c r="AN136" s="805"/>
      <c r="AO136" s="807"/>
      <c r="AP136" s="805"/>
      <c r="AQ136" s="805"/>
      <c r="AR136" s="807"/>
      <c r="AS136" s="807"/>
      <c r="AT136" s="805"/>
      <c r="AU136" s="805"/>
      <c r="AV136" s="807"/>
      <c r="AW136" s="802"/>
      <c r="AX136" s="802"/>
      <c r="AY136" s="802"/>
      <c r="AZ136" s="802"/>
      <c r="BA136" s="802"/>
    </row>
    <row r="137" spans="1:53" s="803" customFormat="1" ht="12.75" customHeight="1" x14ac:dyDescent="0.25">
      <c r="A137" s="1122"/>
      <c r="B137" s="782"/>
      <c r="C137" s="788"/>
      <c r="D137" s="829"/>
      <c r="E137" s="767"/>
      <c r="F137" s="781"/>
      <c r="G137" s="769"/>
      <c r="H137" s="768"/>
      <c r="I137" s="770"/>
      <c r="J137" s="758"/>
      <c r="K137" s="828"/>
      <c r="L137" s="760"/>
      <c r="M137" s="760"/>
      <c r="N137" s="760"/>
      <c r="O137" s="759"/>
      <c r="P137" s="759"/>
      <c r="Q137" s="759"/>
      <c r="R137" s="759"/>
      <c r="S137" s="759"/>
      <c r="T137" s="759"/>
      <c r="U137" s="759"/>
      <c r="V137" s="759"/>
      <c r="W137" s="759"/>
      <c r="X137" s="759"/>
      <c r="Y137" s="759"/>
      <c r="Z137" s="759"/>
      <c r="AA137" s="755"/>
      <c r="AB137" s="755"/>
      <c r="AC137" s="773"/>
      <c r="AD137" s="802"/>
      <c r="AF137" s="821"/>
      <c r="AG137" s="802"/>
      <c r="AH137" s="805"/>
      <c r="AI137" s="805"/>
      <c r="AJ137" s="822"/>
      <c r="AK137" s="805"/>
      <c r="AL137" s="806"/>
      <c r="AM137" s="805"/>
      <c r="AN137" s="805"/>
      <c r="AO137" s="807"/>
      <c r="AP137" s="805"/>
      <c r="AQ137" s="805"/>
      <c r="AR137" s="807"/>
      <c r="AS137" s="807"/>
      <c r="AT137" s="805"/>
      <c r="AU137" s="805"/>
      <c r="AV137" s="807"/>
      <c r="AW137" s="802"/>
      <c r="AX137" s="802"/>
      <c r="AY137" s="802"/>
      <c r="AZ137" s="802"/>
      <c r="BA137" s="802"/>
    </row>
    <row r="138" spans="1:53" s="803" customFormat="1" ht="56.25" customHeight="1" x14ac:dyDescent="0.25">
      <c r="A138" s="1122" t="s">
        <v>2204</v>
      </c>
      <c r="B138" s="788"/>
      <c r="C138" s="788"/>
      <c r="D138" s="800"/>
      <c r="E138" s="791" t="s">
        <v>488</v>
      </c>
      <c r="F138" s="792" t="s">
        <v>837</v>
      </c>
      <c r="G138" s="788" t="s">
        <v>489</v>
      </c>
      <c r="H138" s="791" t="s">
        <v>1170</v>
      </c>
      <c r="I138" s="792" t="s">
        <v>838</v>
      </c>
      <c r="J138" s="793" t="s">
        <v>1171</v>
      </c>
      <c r="K138" s="793" t="s">
        <v>490</v>
      </c>
      <c r="L138" s="794" t="s">
        <v>489</v>
      </c>
      <c r="M138" s="793" t="s">
        <v>1172</v>
      </c>
      <c r="N138" s="792" t="s">
        <v>838</v>
      </c>
      <c r="O138" s="793" t="s">
        <v>1171</v>
      </c>
      <c r="P138" s="793" t="s">
        <v>826</v>
      </c>
      <c r="Q138" s="793" t="s">
        <v>1173</v>
      </c>
      <c r="R138" s="793" t="s">
        <v>1174</v>
      </c>
      <c r="S138" s="793" t="s">
        <v>839</v>
      </c>
      <c r="T138" s="793" t="s">
        <v>1171</v>
      </c>
      <c r="U138" s="793" t="s">
        <v>1392</v>
      </c>
      <c r="V138" s="793" t="s">
        <v>841</v>
      </c>
      <c r="W138" s="795" t="s">
        <v>1173</v>
      </c>
      <c r="X138" s="793" t="s">
        <v>1394</v>
      </c>
      <c r="Y138" s="793" t="s">
        <v>839</v>
      </c>
      <c r="Z138" s="796"/>
      <c r="AA138" s="755"/>
      <c r="AB138" s="755"/>
      <c r="AC138" s="773"/>
      <c r="AD138" s="802"/>
      <c r="AF138" s="804"/>
      <c r="AG138" s="802"/>
      <c r="AH138" s="805"/>
      <c r="AI138" s="805"/>
      <c r="AJ138" s="805"/>
      <c r="AK138" s="805"/>
      <c r="AL138" s="806"/>
      <c r="AM138" s="805"/>
      <c r="AN138" s="805"/>
      <c r="AO138" s="807"/>
      <c r="AP138" s="805"/>
      <c r="AQ138" s="808"/>
      <c r="AR138" s="808"/>
      <c r="AS138" s="808"/>
      <c r="AT138" s="805"/>
      <c r="AU138" s="805"/>
      <c r="AV138" s="807"/>
      <c r="AW138" s="802"/>
      <c r="AX138" s="802"/>
      <c r="AY138" s="802"/>
      <c r="AZ138" s="802"/>
      <c r="BA138" s="802"/>
    </row>
    <row r="139" spans="1:53" s="803" customFormat="1" ht="12" customHeight="1" x14ac:dyDescent="0.25">
      <c r="A139" s="1122"/>
      <c r="B139" s="752" t="s">
        <v>1175</v>
      </c>
      <c r="C139" s="788">
        <f>C146</f>
        <v>46.789823599331555</v>
      </c>
      <c r="D139" s="800">
        <f>C139*$D$5</f>
        <v>9.4515443670649741</v>
      </c>
      <c r="E139" s="754" t="s">
        <v>1176</v>
      </c>
      <c r="F139" s="810"/>
      <c r="G139" s="756"/>
      <c r="H139" s="756"/>
      <c r="I139" s="757">
        <f>SUM(I140:I147)</f>
        <v>2.1736</v>
      </c>
      <c r="J139" s="758" t="s">
        <v>1176</v>
      </c>
      <c r="K139" s="811"/>
      <c r="L139" s="759"/>
      <c r="M139" s="759"/>
      <c r="N139" s="760">
        <f>SUM(N140:N147)</f>
        <v>0.16016860783655293</v>
      </c>
      <c r="O139" s="759" t="s">
        <v>1176</v>
      </c>
      <c r="P139" s="759"/>
      <c r="Q139" s="812"/>
      <c r="R139" s="813"/>
      <c r="S139" s="760">
        <f>SUM(S140:S147)</f>
        <v>2.6362942801765024</v>
      </c>
      <c r="T139" s="760"/>
      <c r="U139" s="760"/>
      <c r="V139" s="760"/>
      <c r="W139" s="760"/>
      <c r="X139" s="760"/>
      <c r="Y139" s="760">
        <f>SUM(Y140:Y147)</f>
        <v>4.2472967570827658</v>
      </c>
      <c r="Z139" s="762">
        <f>(C139+D139+I139+N139+S139+Y139)*$Z$5</f>
        <v>85.108632026468229</v>
      </c>
      <c r="AA139" s="763">
        <f>C139+D139+I139+N139+S139+Y139+Z139</f>
        <v>150.56735963796058</v>
      </c>
      <c r="AB139" s="764">
        <v>0.25</v>
      </c>
      <c r="AC139" s="765">
        <f>AA139*(1+AB139)</f>
        <v>188.20919954745074</v>
      </c>
      <c r="AD139" s="814"/>
      <c r="AF139" s="804"/>
      <c r="AG139" s="802"/>
      <c r="AH139" s="805"/>
      <c r="AI139" s="808"/>
      <c r="AJ139" s="815"/>
      <c r="AK139" s="816"/>
      <c r="AL139" s="806"/>
      <c r="AM139" s="817"/>
      <c r="AN139" s="818"/>
      <c r="AO139" s="817"/>
      <c r="AP139" s="808"/>
      <c r="AQ139" s="808"/>
      <c r="AR139" s="808"/>
      <c r="AS139" s="808"/>
      <c r="AT139" s="808"/>
      <c r="AU139" s="817"/>
      <c r="AV139" s="817"/>
      <c r="AW139" s="819"/>
      <c r="AX139" s="802"/>
      <c r="AY139" s="802"/>
      <c r="AZ139" s="802"/>
      <c r="BA139" s="802"/>
    </row>
    <row r="140" spans="1:53" s="803" customFormat="1" ht="12.75" customHeight="1" x14ac:dyDescent="0.25">
      <c r="A140" s="1122"/>
      <c r="B140" s="766" t="s">
        <v>830</v>
      </c>
      <c r="C140" s="788"/>
      <c r="D140" s="820"/>
      <c r="E140" s="767" t="s">
        <v>1437</v>
      </c>
      <c r="F140" s="768" t="s">
        <v>1438</v>
      </c>
      <c r="G140" s="769">
        <v>0.74</v>
      </c>
      <c r="H140" s="768">
        <v>0.01</v>
      </c>
      <c r="I140" s="770">
        <f>G140*H140</f>
        <v>7.4000000000000003E-3</v>
      </c>
      <c r="J140" s="758" t="s">
        <v>1291</v>
      </c>
      <c r="K140" s="771">
        <v>2</v>
      </c>
      <c r="L140" s="772">
        <v>750</v>
      </c>
      <c r="M140" s="771">
        <v>2</v>
      </c>
      <c r="N140" s="790">
        <f>L140/'Исп. коэффициенты'!E46*C145</f>
        <v>0.1380763860659939</v>
      </c>
      <c r="O140" s="759" t="s">
        <v>2206</v>
      </c>
      <c r="P140" s="759">
        <v>72800</v>
      </c>
      <c r="Q140" s="759">
        <v>19.670000000000002</v>
      </c>
      <c r="R140" s="759">
        <f>P140*Q140%</f>
        <v>14319.76</v>
      </c>
      <c r="S140" s="759">
        <f>R140/'Исп. коэффициенты'!E46*C145</f>
        <v>2.6362942801765024</v>
      </c>
      <c r="T140" s="755" t="s">
        <v>1435</v>
      </c>
      <c r="U140" s="756">
        <v>6785401.3499999996</v>
      </c>
      <c r="V140" s="785">
        <f>'Исп. коэффициенты'!E124</f>
        <v>2978.5</v>
      </c>
      <c r="W140" s="761">
        <f>'Исп. коэффициенты'!D124</f>
        <v>1.3599999999999999E-2</v>
      </c>
      <c r="X140" s="760">
        <f>U140*W140</f>
        <v>92281.45835999999</v>
      </c>
      <c r="Y140" s="759">
        <f>X140/'Исп. коэффициенты'!E46/2</f>
        <v>4.2472967570827658</v>
      </c>
      <c r="Z140" s="759"/>
      <c r="AA140" s="755"/>
      <c r="AB140" s="755"/>
      <c r="AC140" s="773"/>
      <c r="AD140" s="802"/>
      <c r="AF140" s="821"/>
      <c r="AG140" s="802"/>
      <c r="AH140" s="805"/>
      <c r="AI140" s="805"/>
      <c r="AJ140" s="822"/>
      <c r="AK140" s="805"/>
      <c r="AL140" s="806"/>
      <c r="AM140" s="805"/>
      <c r="AN140" s="805"/>
      <c r="AO140" s="807"/>
      <c r="AP140" s="805"/>
      <c r="AQ140" s="805"/>
      <c r="AR140" s="807"/>
      <c r="AS140" s="807"/>
      <c r="AT140" s="808"/>
      <c r="AU140" s="805"/>
      <c r="AV140" s="807"/>
      <c r="AW140" s="802"/>
      <c r="AX140" s="802"/>
      <c r="AY140" s="802"/>
      <c r="AZ140" s="802"/>
      <c r="BA140" s="802"/>
    </row>
    <row r="141" spans="1:53" s="803" customFormat="1" x14ac:dyDescent="0.25">
      <c r="A141" s="1122"/>
      <c r="B141" s="774" t="s">
        <v>1178</v>
      </c>
      <c r="C141" s="753"/>
      <c r="D141" s="820"/>
      <c r="E141" s="767" t="s">
        <v>1439</v>
      </c>
      <c r="F141" s="768" t="s">
        <v>1438</v>
      </c>
      <c r="G141" s="769">
        <v>0.27</v>
      </c>
      <c r="H141" s="768">
        <v>0.01</v>
      </c>
      <c r="I141" s="775">
        <f>G141*H141</f>
        <v>2.7000000000000001E-3</v>
      </c>
      <c r="J141" s="758" t="s">
        <v>1445</v>
      </c>
      <c r="K141" s="760">
        <v>2</v>
      </c>
      <c r="L141" s="776">
        <v>95</v>
      </c>
      <c r="M141" s="771">
        <v>2</v>
      </c>
      <c r="N141" s="790">
        <f>L141/'Исп. коэффициенты'!E46*C145</f>
        <v>1.7489675568359227E-2</v>
      </c>
      <c r="O141" s="759"/>
      <c r="P141" s="759"/>
      <c r="Q141" s="759"/>
      <c r="R141" s="759"/>
      <c r="S141" s="759"/>
      <c r="T141" s="759"/>
      <c r="U141" s="759"/>
      <c r="V141" s="759"/>
      <c r="W141" s="759"/>
      <c r="X141" s="759"/>
      <c r="Y141" s="759"/>
      <c r="Z141" s="759"/>
      <c r="AA141" s="755"/>
      <c r="AB141" s="755"/>
      <c r="AC141" s="773"/>
      <c r="AD141" s="802"/>
      <c r="AF141" s="821"/>
      <c r="AG141" s="802"/>
      <c r="AH141" s="805"/>
      <c r="AI141" s="805"/>
      <c r="AJ141" s="822"/>
      <c r="AK141" s="805"/>
      <c r="AL141" s="806"/>
      <c r="AM141" s="824"/>
      <c r="AN141" s="805"/>
      <c r="AO141" s="807"/>
      <c r="AP141" s="805"/>
      <c r="AQ141" s="805"/>
      <c r="AR141" s="807"/>
      <c r="AS141" s="807"/>
      <c r="AT141" s="805"/>
      <c r="AU141" s="805"/>
      <c r="AV141" s="807"/>
      <c r="AW141" s="802"/>
      <c r="AX141" s="802"/>
      <c r="AY141" s="802"/>
      <c r="AZ141" s="802"/>
      <c r="BA141" s="802"/>
    </row>
    <row r="142" spans="1:53" s="803" customFormat="1" ht="12.75" customHeight="1" x14ac:dyDescent="0.25">
      <c r="A142" s="1122"/>
      <c r="B142" s="754" t="s">
        <v>1179</v>
      </c>
      <c r="C142" s="788">
        <f>C132</f>
        <v>23.394911799665778</v>
      </c>
      <c r="D142" s="820"/>
      <c r="E142" s="767"/>
      <c r="F142" s="768"/>
      <c r="G142" s="769"/>
      <c r="H142" s="769"/>
      <c r="I142" s="770"/>
      <c r="J142" s="758" t="s">
        <v>1513</v>
      </c>
      <c r="K142" s="760">
        <v>2</v>
      </c>
      <c r="L142" s="760">
        <v>25</v>
      </c>
      <c r="M142" s="771">
        <v>0.5</v>
      </c>
      <c r="N142" s="790">
        <f>L142/'Исп. коэффициенты'!E46*C145</f>
        <v>4.6025462021997967E-3</v>
      </c>
      <c r="O142" s="759"/>
      <c r="P142" s="759"/>
      <c r="Q142" s="759"/>
      <c r="R142" s="759"/>
      <c r="S142" s="759"/>
      <c r="T142" s="759"/>
      <c r="U142" s="759"/>
      <c r="V142" s="759"/>
      <c r="W142" s="759"/>
      <c r="X142" s="759"/>
      <c r="Y142" s="759"/>
      <c r="Z142" s="759"/>
      <c r="AA142" s="755"/>
      <c r="AB142" s="755"/>
      <c r="AC142" s="773"/>
      <c r="AD142" s="802"/>
      <c r="AF142" s="821"/>
      <c r="AG142" s="802"/>
      <c r="AH142" s="805"/>
      <c r="AI142" s="805"/>
      <c r="AJ142" s="822"/>
      <c r="AK142" s="805"/>
      <c r="AL142" s="806"/>
      <c r="AM142" s="805"/>
      <c r="AN142" s="805"/>
      <c r="AO142" s="807"/>
      <c r="AP142" s="805"/>
      <c r="AQ142" s="805"/>
      <c r="AR142" s="807"/>
      <c r="AS142" s="807"/>
      <c r="AT142" s="805"/>
      <c r="AU142" s="805"/>
      <c r="AV142" s="807"/>
      <c r="AW142" s="802"/>
      <c r="AX142" s="802"/>
      <c r="AY142" s="802"/>
      <c r="AZ142" s="802"/>
      <c r="BA142" s="802"/>
    </row>
    <row r="143" spans="1:53" s="803" customFormat="1" ht="12.75" customHeight="1" x14ac:dyDescent="0.25">
      <c r="A143" s="1122"/>
      <c r="B143" s="754" t="s">
        <v>831</v>
      </c>
      <c r="C143" s="789"/>
      <c r="D143" s="820"/>
      <c r="E143" s="767"/>
      <c r="F143" s="768"/>
      <c r="G143" s="769"/>
      <c r="H143" s="768"/>
      <c r="I143" s="770"/>
      <c r="J143" s="758"/>
      <c r="K143" s="760"/>
      <c r="L143" s="760"/>
      <c r="M143" s="760"/>
      <c r="N143" s="760"/>
      <c r="O143" s="759"/>
      <c r="P143" s="759"/>
      <c r="Q143" s="759"/>
      <c r="R143" s="759"/>
      <c r="S143" s="759"/>
      <c r="T143" s="759"/>
      <c r="U143" s="759"/>
      <c r="V143" s="759"/>
      <c r="W143" s="759"/>
      <c r="X143" s="759"/>
      <c r="Y143" s="759"/>
      <c r="Z143" s="759"/>
      <c r="AA143" s="755"/>
      <c r="AB143" s="755"/>
      <c r="AC143" s="773"/>
      <c r="AD143" s="802"/>
      <c r="AF143" s="821"/>
      <c r="AG143" s="802"/>
      <c r="AH143" s="805"/>
      <c r="AI143" s="805"/>
      <c r="AJ143" s="822"/>
      <c r="AK143" s="805"/>
      <c r="AL143" s="806"/>
      <c r="AM143" s="805"/>
      <c r="AN143" s="805"/>
      <c r="AO143" s="807"/>
      <c r="AP143" s="805"/>
      <c r="AQ143" s="805"/>
      <c r="AR143" s="807"/>
      <c r="AS143" s="807"/>
      <c r="AT143" s="805"/>
      <c r="AU143" s="805"/>
      <c r="AV143" s="807"/>
      <c r="AW143" s="802"/>
      <c r="AX143" s="802"/>
      <c r="AY143" s="802"/>
      <c r="AZ143" s="802"/>
      <c r="BA143" s="802"/>
    </row>
    <row r="144" spans="1:53" s="803" customFormat="1" ht="12.75" customHeight="1" x14ac:dyDescent="0.25">
      <c r="A144" s="1122"/>
      <c r="B144" s="774" t="s">
        <v>1178</v>
      </c>
      <c r="C144" s="784"/>
      <c r="D144" s="820"/>
      <c r="E144" s="767" t="s">
        <v>1442</v>
      </c>
      <c r="F144" s="768" t="s">
        <v>1443</v>
      </c>
      <c r="G144" s="769">
        <v>419.5</v>
      </c>
      <c r="H144" s="768">
        <v>1E-3</v>
      </c>
      <c r="I144" s="770">
        <f>G144*H144</f>
        <v>0.41949999999999998</v>
      </c>
      <c r="J144" s="758"/>
      <c r="K144" s="760"/>
      <c r="L144" s="760"/>
      <c r="M144" s="760"/>
      <c r="N144" s="760"/>
      <c r="O144" s="759"/>
      <c r="P144" s="759"/>
      <c r="Q144" s="759"/>
      <c r="R144" s="759"/>
      <c r="S144" s="759"/>
      <c r="T144" s="759"/>
      <c r="U144" s="759"/>
      <c r="V144" s="759"/>
      <c r="W144" s="759"/>
      <c r="X144" s="759"/>
      <c r="Y144" s="759"/>
      <c r="Z144" s="759"/>
      <c r="AA144" s="755"/>
      <c r="AB144" s="755"/>
      <c r="AC144" s="773"/>
      <c r="AD144" s="802"/>
      <c r="AF144" s="821"/>
      <c r="AG144" s="802"/>
      <c r="AH144" s="805"/>
      <c r="AI144" s="805"/>
      <c r="AJ144" s="827"/>
      <c r="AK144" s="805"/>
      <c r="AL144" s="806"/>
      <c r="AM144" s="805"/>
      <c r="AN144" s="805"/>
      <c r="AO144" s="807"/>
      <c r="AP144" s="805"/>
      <c r="AQ144" s="805"/>
      <c r="AR144" s="807"/>
      <c r="AS144" s="807"/>
      <c r="AT144" s="805"/>
      <c r="AU144" s="805"/>
      <c r="AV144" s="807"/>
      <c r="AW144" s="802"/>
      <c r="AX144" s="802"/>
      <c r="AY144" s="802"/>
      <c r="AZ144" s="802"/>
      <c r="BA144" s="802"/>
    </row>
    <row r="145" spans="1:53" s="803" customFormat="1" ht="12.75" customHeight="1" x14ac:dyDescent="0.25">
      <c r="A145" s="1122"/>
      <c r="B145" s="754" t="s">
        <v>1179</v>
      </c>
      <c r="C145" s="784">
        <v>2</v>
      </c>
      <c r="D145" s="820"/>
      <c r="E145" s="767" t="s">
        <v>1444</v>
      </c>
      <c r="F145" s="768" t="s">
        <v>1443</v>
      </c>
      <c r="G145" s="769">
        <v>872</v>
      </c>
      <c r="H145" s="768">
        <v>2E-3</v>
      </c>
      <c r="I145" s="770">
        <f>G145*H145</f>
        <v>1.744</v>
      </c>
      <c r="J145" s="758"/>
      <c r="K145" s="760"/>
      <c r="L145" s="760"/>
      <c r="M145" s="760"/>
      <c r="N145" s="760"/>
      <c r="O145" s="759"/>
      <c r="P145" s="759"/>
      <c r="Q145" s="759"/>
      <c r="R145" s="759"/>
      <c r="S145" s="759"/>
      <c r="T145" s="759"/>
      <c r="U145" s="759"/>
      <c r="V145" s="759"/>
      <c r="W145" s="759"/>
      <c r="X145" s="759"/>
      <c r="Y145" s="759"/>
      <c r="Z145" s="759"/>
      <c r="AA145" s="755"/>
      <c r="AB145" s="755"/>
      <c r="AC145" s="773"/>
      <c r="AD145" s="802"/>
      <c r="AF145" s="821"/>
      <c r="AG145" s="802"/>
      <c r="AH145" s="805"/>
      <c r="AI145" s="805"/>
      <c r="AJ145" s="827"/>
      <c r="AK145" s="805"/>
      <c r="AL145" s="806"/>
      <c r="AM145" s="805"/>
      <c r="AN145" s="805"/>
      <c r="AO145" s="807"/>
      <c r="AP145" s="805"/>
      <c r="AQ145" s="805"/>
      <c r="AR145" s="807"/>
      <c r="AS145" s="807"/>
      <c r="AT145" s="805"/>
      <c r="AU145" s="805"/>
      <c r="AV145" s="807"/>
      <c r="AW145" s="802"/>
      <c r="AX145" s="802"/>
      <c r="AY145" s="802"/>
      <c r="AZ145" s="802"/>
      <c r="BA145" s="802"/>
    </row>
    <row r="146" spans="1:53" s="803" customFormat="1" ht="12.75" customHeight="1" x14ac:dyDescent="0.25">
      <c r="A146" s="1122"/>
      <c r="B146" s="782" t="s">
        <v>1181</v>
      </c>
      <c r="C146" s="788">
        <f>C141*C144+C142*C145</f>
        <v>46.789823599331555</v>
      </c>
      <c r="D146" s="820"/>
      <c r="E146" s="767"/>
      <c r="F146" s="781"/>
      <c r="G146" s="769"/>
      <c r="H146" s="768"/>
      <c r="I146" s="770"/>
      <c r="J146" s="758"/>
      <c r="K146" s="828"/>
      <c r="L146" s="776"/>
      <c r="M146" s="771"/>
      <c r="N146" s="760"/>
      <c r="O146" s="759"/>
      <c r="P146" s="759"/>
      <c r="Q146" s="759"/>
      <c r="R146" s="759"/>
      <c r="S146" s="759"/>
      <c r="T146" s="759"/>
      <c r="U146" s="759"/>
      <c r="V146" s="759"/>
      <c r="W146" s="759"/>
      <c r="X146" s="759"/>
      <c r="Y146" s="759"/>
      <c r="Z146" s="759"/>
      <c r="AA146" s="755"/>
      <c r="AB146" s="755"/>
      <c r="AC146" s="773"/>
      <c r="AD146" s="802"/>
      <c r="AF146" s="821"/>
      <c r="AG146" s="802"/>
      <c r="AH146" s="805"/>
      <c r="AI146" s="805"/>
      <c r="AJ146" s="822"/>
      <c r="AK146" s="805"/>
      <c r="AL146" s="806"/>
      <c r="AM146" s="805"/>
      <c r="AN146" s="805"/>
      <c r="AO146" s="807"/>
      <c r="AP146" s="805"/>
      <c r="AQ146" s="805"/>
      <c r="AR146" s="807"/>
      <c r="AS146" s="807"/>
      <c r="AT146" s="805"/>
      <c r="AU146" s="805"/>
      <c r="AV146" s="807"/>
      <c r="AW146" s="802"/>
      <c r="AX146" s="802"/>
      <c r="AY146" s="802"/>
      <c r="AZ146" s="802"/>
      <c r="BA146" s="802"/>
    </row>
    <row r="147" spans="1:53" s="803" customFormat="1" ht="12.75" customHeight="1" x14ac:dyDescent="0.25">
      <c r="A147" s="1122"/>
      <c r="B147" s="782"/>
      <c r="C147" s="788"/>
      <c r="D147" s="829"/>
      <c r="E147" s="767"/>
      <c r="F147" s="781"/>
      <c r="G147" s="769"/>
      <c r="H147" s="768"/>
      <c r="I147" s="770"/>
      <c r="J147" s="758"/>
      <c r="K147" s="828"/>
      <c r="L147" s="760"/>
      <c r="M147" s="760"/>
      <c r="N147" s="760"/>
      <c r="O147" s="759"/>
      <c r="P147" s="759"/>
      <c r="Q147" s="759"/>
      <c r="R147" s="759"/>
      <c r="S147" s="759"/>
      <c r="T147" s="759"/>
      <c r="U147" s="759"/>
      <c r="V147" s="759"/>
      <c r="W147" s="759"/>
      <c r="X147" s="759"/>
      <c r="Y147" s="759"/>
      <c r="Z147" s="759"/>
      <c r="AA147" s="755"/>
      <c r="AB147" s="755"/>
      <c r="AC147" s="773"/>
      <c r="AD147" s="802"/>
      <c r="AF147" s="821"/>
      <c r="AG147" s="802"/>
      <c r="AH147" s="805"/>
      <c r="AI147" s="805"/>
      <c r="AJ147" s="822"/>
      <c r="AK147" s="805"/>
      <c r="AL147" s="806"/>
      <c r="AM147" s="805"/>
      <c r="AN147" s="805"/>
      <c r="AO147" s="807"/>
      <c r="AP147" s="805"/>
      <c r="AQ147" s="805"/>
      <c r="AR147" s="807"/>
      <c r="AS147" s="807"/>
      <c r="AT147" s="805"/>
      <c r="AU147" s="805"/>
      <c r="AV147" s="807"/>
      <c r="AW147" s="802"/>
      <c r="AX147" s="802"/>
      <c r="AY147" s="802"/>
      <c r="AZ147" s="802"/>
      <c r="BA147" s="802"/>
    </row>
    <row r="148" spans="1:53" s="803" customFormat="1" ht="56.25" customHeight="1" x14ac:dyDescent="0.25">
      <c r="A148" s="1122" t="s">
        <v>1242</v>
      </c>
      <c r="B148" s="788" t="s">
        <v>1243</v>
      </c>
      <c r="C148" s="788"/>
      <c r="D148" s="800"/>
      <c r="E148" s="791" t="s">
        <v>488</v>
      </c>
      <c r="F148" s="792" t="s">
        <v>837</v>
      </c>
      <c r="G148" s="788" t="s">
        <v>489</v>
      </c>
      <c r="H148" s="791" t="s">
        <v>1170</v>
      </c>
      <c r="I148" s="792" t="s">
        <v>838</v>
      </c>
      <c r="J148" s="793" t="s">
        <v>1171</v>
      </c>
      <c r="K148" s="793" t="s">
        <v>490</v>
      </c>
      <c r="L148" s="794" t="s">
        <v>489</v>
      </c>
      <c r="M148" s="793" t="s">
        <v>1172</v>
      </c>
      <c r="N148" s="792" t="s">
        <v>838</v>
      </c>
      <c r="O148" s="793" t="s">
        <v>1171</v>
      </c>
      <c r="P148" s="793" t="s">
        <v>826</v>
      </c>
      <c r="Q148" s="793" t="s">
        <v>1173</v>
      </c>
      <c r="R148" s="793" t="s">
        <v>1174</v>
      </c>
      <c r="S148" s="793" t="s">
        <v>839</v>
      </c>
      <c r="T148" s="793" t="s">
        <v>1171</v>
      </c>
      <c r="U148" s="793" t="s">
        <v>1392</v>
      </c>
      <c r="V148" s="793" t="s">
        <v>841</v>
      </c>
      <c r="W148" s="795" t="s">
        <v>1173</v>
      </c>
      <c r="X148" s="793" t="s">
        <v>1394</v>
      </c>
      <c r="Y148" s="793" t="s">
        <v>839</v>
      </c>
      <c r="Z148" s="796"/>
      <c r="AA148" s="755"/>
      <c r="AB148" s="755"/>
      <c r="AC148" s="773"/>
      <c r="AD148" s="802"/>
      <c r="AF148" s="804"/>
      <c r="AG148" s="802"/>
      <c r="AH148" s="805"/>
      <c r="AI148" s="805"/>
      <c r="AJ148" s="805"/>
      <c r="AK148" s="805"/>
      <c r="AL148" s="806"/>
      <c r="AM148" s="805"/>
      <c r="AN148" s="805"/>
      <c r="AO148" s="807"/>
      <c r="AP148" s="805"/>
      <c r="AQ148" s="808"/>
      <c r="AR148" s="808"/>
      <c r="AS148" s="808"/>
      <c r="AT148" s="805"/>
      <c r="AU148" s="805"/>
      <c r="AV148" s="807"/>
      <c r="AW148" s="802"/>
      <c r="AX148" s="802"/>
      <c r="AY148" s="802"/>
      <c r="AZ148" s="802"/>
      <c r="BA148" s="802"/>
    </row>
    <row r="149" spans="1:53" s="803" customFormat="1" ht="12" customHeight="1" x14ac:dyDescent="0.25">
      <c r="A149" s="1122"/>
      <c r="B149" s="752" t="s">
        <v>1175</v>
      </c>
      <c r="C149" s="788">
        <f>C156</f>
        <v>70.184735398997333</v>
      </c>
      <c r="D149" s="800">
        <f>C149*$D$5</f>
        <v>14.177316550597462</v>
      </c>
      <c r="E149" s="754" t="s">
        <v>1176</v>
      </c>
      <c r="F149" s="810"/>
      <c r="G149" s="756"/>
      <c r="H149" s="756"/>
      <c r="I149" s="757">
        <f>SUM(I150:I157)</f>
        <v>8.7736000000000018</v>
      </c>
      <c r="J149" s="758" t="s">
        <v>1176</v>
      </c>
      <c r="K149" s="811"/>
      <c r="L149" s="759"/>
      <c r="M149" s="759"/>
      <c r="N149" s="760">
        <f>SUM(N150:N157)</f>
        <v>0.24025291175482938</v>
      </c>
      <c r="O149" s="759" t="s">
        <v>1176</v>
      </c>
      <c r="P149" s="759"/>
      <c r="Q149" s="812"/>
      <c r="R149" s="813"/>
      <c r="S149" s="760">
        <f>SUM(S150:S157)</f>
        <v>1.4537135036496354</v>
      </c>
      <c r="T149" s="760"/>
      <c r="U149" s="760"/>
      <c r="V149" s="760"/>
      <c r="W149" s="760"/>
      <c r="X149" s="760"/>
      <c r="Y149" s="760">
        <f>SUM(Y150:Y157)</f>
        <v>4.2472967570827658</v>
      </c>
      <c r="Z149" s="762">
        <f>(C149+D149+I149+N149+S149+Y149)*$Z$5</f>
        <v>128.81858568180411</v>
      </c>
      <c r="AA149" s="763">
        <f>C149+D149+I149+N149+S149+Y149+Z149</f>
        <v>227.89550080388614</v>
      </c>
      <c r="AB149" s="764">
        <v>0.25</v>
      </c>
      <c r="AC149" s="765">
        <f>AA149*(1+AB149)</f>
        <v>284.86937600485766</v>
      </c>
      <c r="AD149" s="814"/>
      <c r="AF149" s="804"/>
      <c r="AG149" s="802"/>
      <c r="AH149" s="805"/>
      <c r="AI149" s="808"/>
      <c r="AJ149" s="815"/>
      <c r="AK149" s="816"/>
      <c r="AL149" s="806"/>
      <c r="AM149" s="817"/>
      <c r="AN149" s="818"/>
      <c r="AO149" s="817"/>
      <c r="AP149" s="808"/>
      <c r="AQ149" s="808"/>
      <c r="AR149" s="808"/>
      <c r="AS149" s="808"/>
      <c r="AT149" s="808"/>
      <c r="AU149" s="817"/>
      <c r="AV149" s="817"/>
      <c r="AW149" s="819"/>
      <c r="AX149" s="802"/>
      <c r="AY149" s="802"/>
      <c r="AZ149" s="802"/>
      <c r="BA149" s="802"/>
    </row>
    <row r="150" spans="1:53" s="803" customFormat="1" ht="12.75" customHeight="1" x14ac:dyDescent="0.25">
      <c r="A150" s="1122"/>
      <c r="B150" s="766" t="s">
        <v>1177</v>
      </c>
      <c r="C150" s="788"/>
      <c r="D150" s="820"/>
      <c r="E150" s="767" t="s">
        <v>1437</v>
      </c>
      <c r="F150" s="768" t="s">
        <v>1438</v>
      </c>
      <c r="G150" s="769">
        <v>0.74</v>
      </c>
      <c r="H150" s="768">
        <v>0.01</v>
      </c>
      <c r="I150" s="770">
        <f t="shared" ref="I150:I155" si="4">G150*H150</f>
        <v>7.4000000000000003E-3</v>
      </c>
      <c r="J150" s="758" t="s">
        <v>1291</v>
      </c>
      <c r="K150" s="771">
        <v>2</v>
      </c>
      <c r="L150" s="772">
        <v>750</v>
      </c>
      <c r="M150" s="771">
        <v>2</v>
      </c>
      <c r="N150" s="790">
        <f>L150/'Исп. коэффициенты'!E46*C155</f>
        <v>0.20711457909899084</v>
      </c>
      <c r="O150" s="759" t="s">
        <v>125</v>
      </c>
      <c r="P150" s="759">
        <v>6690.6</v>
      </c>
      <c r="Q150" s="759">
        <v>19.670000000000002</v>
      </c>
      <c r="R150" s="759">
        <f>P150*Q150%</f>
        <v>1316.0410200000001</v>
      </c>
      <c r="S150" s="759">
        <f>R150/'Исп. коэффициенты'!F46</f>
        <v>1.4537135036496354</v>
      </c>
      <c r="T150" s="755" t="s">
        <v>1435</v>
      </c>
      <c r="U150" s="756">
        <v>6785401.3499999996</v>
      </c>
      <c r="V150" s="785">
        <f>'Исп. коэффициенты'!E124</f>
        <v>2978.5</v>
      </c>
      <c r="W150" s="761">
        <f>'Исп. коэффициенты'!D124</f>
        <v>1.3599999999999999E-2</v>
      </c>
      <c r="X150" s="760">
        <f>U150*W150</f>
        <v>92281.45835999999</v>
      </c>
      <c r="Y150" s="759">
        <f>X150/'Исп. коэффициенты'!E46/2</f>
        <v>4.2472967570827658</v>
      </c>
      <c r="Z150" s="759"/>
      <c r="AA150" s="755"/>
      <c r="AB150" s="755"/>
      <c r="AC150" s="773"/>
      <c r="AD150" s="802"/>
      <c r="AF150" s="821"/>
      <c r="AG150" s="802"/>
      <c r="AH150" s="805"/>
      <c r="AI150" s="805"/>
      <c r="AJ150" s="822"/>
      <c r="AK150" s="805"/>
      <c r="AL150" s="806"/>
      <c r="AM150" s="805"/>
      <c r="AN150" s="805"/>
      <c r="AO150" s="807"/>
      <c r="AP150" s="805"/>
      <c r="AQ150" s="805"/>
      <c r="AR150" s="807"/>
      <c r="AS150" s="807"/>
      <c r="AT150" s="808"/>
      <c r="AU150" s="805"/>
      <c r="AV150" s="807"/>
      <c r="AW150" s="802"/>
      <c r="AX150" s="802"/>
      <c r="AY150" s="802"/>
      <c r="AZ150" s="802"/>
      <c r="BA150" s="802"/>
    </row>
    <row r="151" spans="1:53" s="803" customFormat="1" x14ac:dyDescent="0.25">
      <c r="A151" s="1122"/>
      <c r="B151" s="774" t="s">
        <v>1178</v>
      </c>
      <c r="C151" s="753"/>
      <c r="D151" s="820"/>
      <c r="E151" s="767" t="s">
        <v>1439</v>
      </c>
      <c r="F151" s="768" t="s">
        <v>1438</v>
      </c>
      <c r="G151" s="769">
        <v>0.27</v>
      </c>
      <c r="H151" s="768">
        <v>0.01</v>
      </c>
      <c r="I151" s="775">
        <f t="shared" si="4"/>
        <v>2.7000000000000001E-3</v>
      </c>
      <c r="J151" s="758" t="s">
        <v>1445</v>
      </c>
      <c r="K151" s="760">
        <v>2</v>
      </c>
      <c r="L151" s="776">
        <v>95</v>
      </c>
      <c r="M151" s="771">
        <v>2</v>
      </c>
      <c r="N151" s="790">
        <f>L151/'Исп. коэффициенты'!E46*C155</f>
        <v>2.6234513352538839E-2</v>
      </c>
      <c r="O151" s="759"/>
      <c r="P151" s="759"/>
      <c r="Q151" s="759"/>
      <c r="R151" s="759"/>
      <c r="S151" s="759"/>
      <c r="T151" s="759"/>
      <c r="U151" s="759"/>
      <c r="V151" s="759"/>
      <c r="W151" s="759"/>
      <c r="X151" s="759"/>
      <c r="Y151" s="759"/>
      <c r="Z151" s="759"/>
      <c r="AA151" s="755"/>
      <c r="AB151" s="755"/>
      <c r="AC151" s="773"/>
      <c r="AD151" s="802"/>
      <c r="AF151" s="821"/>
      <c r="AG151" s="802"/>
      <c r="AH151" s="805"/>
      <c r="AI151" s="805"/>
      <c r="AJ151" s="822"/>
      <c r="AK151" s="805"/>
      <c r="AL151" s="806"/>
      <c r="AM151" s="824"/>
      <c r="AN151" s="805"/>
      <c r="AO151" s="807"/>
      <c r="AP151" s="805"/>
      <c r="AQ151" s="805"/>
      <c r="AR151" s="807"/>
      <c r="AS151" s="807"/>
      <c r="AT151" s="805"/>
      <c r="AU151" s="805"/>
      <c r="AV151" s="807"/>
      <c r="AW151" s="802"/>
      <c r="AX151" s="802"/>
      <c r="AY151" s="802"/>
      <c r="AZ151" s="802"/>
      <c r="BA151" s="802"/>
    </row>
    <row r="152" spans="1:53" s="803" customFormat="1" ht="12.75" customHeight="1" x14ac:dyDescent="0.25">
      <c r="A152" s="1122"/>
      <c r="B152" s="754" t="s">
        <v>1179</v>
      </c>
      <c r="C152" s="788">
        <f>C132</f>
        <v>23.394911799665778</v>
      </c>
      <c r="D152" s="820"/>
      <c r="E152" s="767"/>
      <c r="F152" s="768"/>
      <c r="G152" s="769"/>
      <c r="H152" s="769"/>
      <c r="I152" s="770"/>
      <c r="J152" s="758" t="s">
        <v>1513</v>
      </c>
      <c r="K152" s="760">
        <v>2</v>
      </c>
      <c r="L152" s="760">
        <v>25</v>
      </c>
      <c r="M152" s="771">
        <v>0.5</v>
      </c>
      <c r="N152" s="790">
        <f>L152/'Исп. коэффициенты'!E46*C155</f>
        <v>6.9038193032996947E-3</v>
      </c>
      <c r="O152" s="759"/>
      <c r="P152" s="759"/>
      <c r="Q152" s="759"/>
      <c r="R152" s="759"/>
      <c r="S152" s="759"/>
      <c r="T152" s="759"/>
      <c r="U152" s="759"/>
      <c r="V152" s="759"/>
      <c r="W152" s="759"/>
      <c r="X152" s="759"/>
      <c r="Y152" s="759"/>
      <c r="Z152" s="759"/>
      <c r="AA152" s="755"/>
      <c r="AB152" s="755"/>
      <c r="AC152" s="773"/>
      <c r="AD152" s="802"/>
      <c r="AF152" s="821"/>
      <c r="AG152" s="802"/>
      <c r="AH152" s="805"/>
      <c r="AI152" s="805"/>
      <c r="AJ152" s="822"/>
      <c r="AK152" s="805"/>
      <c r="AL152" s="806"/>
      <c r="AM152" s="805"/>
      <c r="AN152" s="805"/>
      <c r="AO152" s="807"/>
      <c r="AP152" s="805"/>
      <c r="AQ152" s="805"/>
      <c r="AR152" s="807"/>
      <c r="AS152" s="807"/>
      <c r="AT152" s="805"/>
      <c r="AU152" s="805"/>
      <c r="AV152" s="807"/>
      <c r="AW152" s="802"/>
      <c r="AX152" s="802"/>
      <c r="AY152" s="802"/>
      <c r="AZ152" s="802"/>
      <c r="BA152" s="802"/>
    </row>
    <row r="153" spans="1:53" s="803" customFormat="1" ht="12.75" customHeight="1" x14ac:dyDescent="0.25">
      <c r="A153" s="1122"/>
      <c r="B153" s="754" t="s">
        <v>1180</v>
      </c>
      <c r="C153" s="789"/>
      <c r="D153" s="820"/>
      <c r="E153" s="767" t="s">
        <v>7</v>
      </c>
      <c r="F153" s="768" t="s">
        <v>1438</v>
      </c>
      <c r="G153" s="769">
        <v>0.66</v>
      </c>
      <c r="H153" s="768">
        <v>10</v>
      </c>
      <c r="I153" s="770">
        <f t="shared" si="4"/>
        <v>6.6000000000000005</v>
      </c>
      <c r="J153" s="758"/>
      <c r="K153" s="760"/>
      <c r="L153" s="760"/>
      <c r="M153" s="760"/>
      <c r="N153" s="760"/>
      <c r="O153" s="759"/>
      <c r="P153" s="759"/>
      <c r="Q153" s="759"/>
      <c r="R153" s="759"/>
      <c r="S153" s="759"/>
      <c r="T153" s="759"/>
      <c r="U153" s="759"/>
      <c r="V153" s="759"/>
      <c r="W153" s="759"/>
      <c r="X153" s="759"/>
      <c r="Y153" s="759"/>
      <c r="Z153" s="759"/>
      <c r="AA153" s="755"/>
      <c r="AB153" s="755"/>
      <c r="AC153" s="773"/>
      <c r="AD153" s="802"/>
      <c r="AF153" s="821"/>
      <c r="AG153" s="802"/>
      <c r="AH153" s="805"/>
      <c r="AI153" s="805"/>
      <c r="AJ153" s="822"/>
      <c r="AK153" s="805"/>
      <c r="AL153" s="806"/>
      <c r="AM153" s="805"/>
      <c r="AN153" s="805"/>
      <c r="AO153" s="807"/>
      <c r="AP153" s="805"/>
      <c r="AQ153" s="805"/>
      <c r="AR153" s="807"/>
      <c r="AS153" s="807"/>
      <c r="AT153" s="805"/>
      <c r="AU153" s="805"/>
      <c r="AV153" s="807"/>
      <c r="AW153" s="802"/>
      <c r="AX153" s="802"/>
      <c r="AY153" s="802"/>
      <c r="AZ153" s="802"/>
      <c r="BA153" s="802"/>
    </row>
    <row r="154" spans="1:53" s="803" customFormat="1" ht="12.75" customHeight="1" x14ac:dyDescent="0.25">
      <c r="A154" s="1122"/>
      <c r="B154" s="774" t="s">
        <v>1178</v>
      </c>
      <c r="C154" s="784"/>
      <c r="D154" s="820"/>
      <c r="E154" s="767" t="s">
        <v>1442</v>
      </c>
      <c r="F154" s="768" t="s">
        <v>1443</v>
      </c>
      <c r="G154" s="769">
        <v>419.5</v>
      </c>
      <c r="H154" s="768">
        <v>1E-3</v>
      </c>
      <c r="I154" s="770">
        <f t="shared" si="4"/>
        <v>0.41949999999999998</v>
      </c>
      <c r="J154" s="758"/>
      <c r="K154" s="760"/>
      <c r="L154" s="760"/>
      <c r="M154" s="760"/>
      <c r="N154" s="760"/>
      <c r="O154" s="759"/>
      <c r="P154" s="759"/>
      <c r="Q154" s="759"/>
      <c r="R154" s="759"/>
      <c r="S154" s="759"/>
      <c r="T154" s="759"/>
      <c r="U154" s="759"/>
      <c r="V154" s="759"/>
      <c r="W154" s="759"/>
      <c r="X154" s="759"/>
      <c r="Y154" s="759"/>
      <c r="Z154" s="759"/>
      <c r="AA154" s="755"/>
      <c r="AB154" s="755"/>
      <c r="AC154" s="773"/>
      <c r="AD154" s="802"/>
      <c r="AF154" s="821"/>
      <c r="AG154" s="802"/>
      <c r="AH154" s="805"/>
      <c r="AI154" s="805"/>
      <c r="AJ154" s="827"/>
      <c r="AK154" s="805"/>
      <c r="AL154" s="806"/>
      <c r="AM154" s="805"/>
      <c r="AN154" s="805"/>
      <c r="AO154" s="807"/>
      <c r="AP154" s="805"/>
      <c r="AQ154" s="805"/>
      <c r="AR154" s="807"/>
      <c r="AS154" s="807"/>
      <c r="AT154" s="805"/>
      <c r="AU154" s="805"/>
      <c r="AV154" s="807"/>
      <c r="AW154" s="802"/>
      <c r="AX154" s="802"/>
      <c r="AY154" s="802"/>
      <c r="AZ154" s="802"/>
      <c r="BA154" s="802"/>
    </row>
    <row r="155" spans="1:53" s="803" customFormat="1" ht="12.75" customHeight="1" x14ac:dyDescent="0.25">
      <c r="A155" s="1122"/>
      <c r="B155" s="754" t="s">
        <v>1179</v>
      </c>
      <c r="C155" s="784">
        <v>3</v>
      </c>
      <c r="D155" s="820"/>
      <c r="E155" s="767" t="s">
        <v>1444</v>
      </c>
      <c r="F155" s="768" t="s">
        <v>1443</v>
      </c>
      <c r="G155" s="769">
        <v>872</v>
      </c>
      <c r="H155" s="768">
        <v>2E-3</v>
      </c>
      <c r="I155" s="770">
        <f t="shared" si="4"/>
        <v>1.744</v>
      </c>
      <c r="J155" s="758"/>
      <c r="K155" s="760"/>
      <c r="L155" s="760"/>
      <c r="M155" s="760"/>
      <c r="N155" s="760"/>
      <c r="O155" s="759"/>
      <c r="P155" s="759"/>
      <c r="Q155" s="759"/>
      <c r="R155" s="759"/>
      <c r="S155" s="759"/>
      <c r="T155" s="759"/>
      <c r="U155" s="759"/>
      <c r="V155" s="759"/>
      <c r="W155" s="759"/>
      <c r="X155" s="759"/>
      <c r="Y155" s="759"/>
      <c r="Z155" s="759"/>
      <c r="AA155" s="755"/>
      <c r="AB155" s="755"/>
      <c r="AC155" s="773"/>
      <c r="AD155" s="802"/>
      <c r="AF155" s="821"/>
      <c r="AG155" s="802"/>
      <c r="AH155" s="805"/>
      <c r="AI155" s="805"/>
      <c r="AJ155" s="827"/>
      <c r="AK155" s="805"/>
      <c r="AL155" s="806"/>
      <c r="AM155" s="805"/>
      <c r="AN155" s="805"/>
      <c r="AO155" s="807"/>
      <c r="AP155" s="805"/>
      <c r="AQ155" s="805"/>
      <c r="AR155" s="807"/>
      <c r="AS155" s="807"/>
      <c r="AT155" s="805"/>
      <c r="AU155" s="805"/>
      <c r="AV155" s="807"/>
      <c r="AW155" s="802"/>
      <c r="AX155" s="802"/>
      <c r="AY155" s="802"/>
      <c r="AZ155" s="802"/>
      <c r="BA155" s="802"/>
    </row>
    <row r="156" spans="1:53" s="803" customFormat="1" ht="12.75" customHeight="1" x14ac:dyDescent="0.25">
      <c r="A156" s="1122"/>
      <c r="B156" s="782" t="s">
        <v>1181</v>
      </c>
      <c r="C156" s="788">
        <f>C151*C154+C152*C155</f>
        <v>70.184735398997333</v>
      </c>
      <c r="D156" s="820"/>
      <c r="E156" s="767"/>
      <c r="F156" s="781"/>
      <c r="G156" s="769"/>
      <c r="H156" s="768"/>
      <c r="I156" s="770"/>
      <c r="J156" s="758"/>
      <c r="K156" s="828"/>
      <c r="L156" s="760"/>
      <c r="M156" s="760"/>
      <c r="N156" s="760"/>
      <c r="O156" s="759"/>
      <c r="P156" s="759"/>
      <c r="Q156" s="759"/>
      <c r="R156" s="759"/>
      <c r="S156" s="759"/>
      <c r="T156" s="759"/>
      <c r="U156" s="759"/>
      <c r="V156" s="759"/>
      <c r="W156" s="759"/>
      <c r="X156" s="759"/>
      <c r="Y156" s="759"/>
      <c r="Z156" s="759"/>
      <c r="AA156" s="755"/>
      <c r="AB156" s="755"/>
      <c r="AC156" s="773"/>
      <c r="AD156" s="802"/>
      <c r="AF156" s="821"/>
      <c r="AG156" s="802"/>
      <c r="AH156" s="805"/>
      <c r="AI156" s="805"/>
      <c r="AJ156" s="822"/>
      <c r="AK156" s="805"/>
      <c r="AL156" s="806"/>
      <c r="AM156" s="805"/>
      <c r="AN156" s="805"/>
      <c r="AO156" s="807"/>
      <c r="AP156" s="805"/>
      <c r="AQ156" s="805"/>
      <c r="AR156" s="807"/>
      <c r="AS156" s="807"/>
      <c r="AT156" s="805"/>
      <c r="AU156" s="805"/>
      <c r="AV156" s="807"/>
      <c r="AW156" s="802"/>
      <c r="AX156" s="802"/>
      <c r="AY156" s="802"/>
      <c r="AZ156" s="802"/>
      <c r="BA156" s="802"/>
    </row>
    <row r="157" spans="1:53" s="803" customFormat="1" ht="12.75" customHeight="1" x14ac:dyDescent="0.25">
      <c r="A157" s="1122"/>
      <c r="B157" s="782"/>
      <c r="C157" s="784"/>
      <c r="D157" s="829"/>
      <c r="E157" s="767"/>
      <c r="F157" s="781"/>
      <c r="G157" s="769"/>
      <c r="H157" s="768"/>
      <c r="I157" s="770"/>
      <c r="J157" s="758"/>
      <c r="K157" s="828"/>
      <c r="L157" s="760"/>
      <c r="M157" s="760"/>
      <c r="N157" s="760"/>
      <c r="O157" s="759"/>
      <c r="P157" s="759"/>
      <c r="Q157" s="759"/>
      <c r="R157" s="759"/>
      <c r="S157" s="759"/>
      <c r="T157" s="759"/>
      <c r="U157" s="759"/>
      <c r="V157" s="759"/>
      <c r="W157" s="759"/>
      <c r="X157" s="759"/>
      <c r="Y157" s="759"/>
      <c r="Z157" s="759"/>
      <c r="AA157" s="755"/>
      <c r="AB157" s="755"/>
      <c r="AC157" s="773"/>
      <c r="AD157" s="802"/>
      <c r="AF157" s="821"/>
      <c r="AG157" s="802"/>
      <c r="AH157" s="805"/>
      <c r="AI157" s="805"/>
      <c r="AJ157" s="827"/>
      <c r="AK157" s="805"/>
      <c r="AL157" s="806"/>
      <c r="AM157" s="805"/>
      <c r="AN157" s="805"/>
      <c r="AO157" s="807"/>
      <c r="AP157" s="805"/>
      <c r="AQ157" s="805"/>
      <c r="AR157" s="807"/>
      <c r="AS157" s="807"/>
      <c r="AT157" s="805"/>
      <c r="AU157" s="805"/>
      <c r="AV157" s="807"/>
      <c r="AW157" s="802"/>
      <c r="AX157" s="802"/>
      <c r="AY157" s="802"/>
      <c r="AZ157" s="802"/>
      <c r="BA157" s="802"/>
    </row>
    <row r="158" spans="1:53" s="803" customFormat="1" ht="56.25" customHeight="1" x14ac:dyDescent="0.25">
      <c r="A158" s="1122" t="s">
        <v>2210</v>
      </c>
      <c r="B158" s="788" t="s">
        <v>2208</v>
      </c>
      <c r="C158" s="788"/>
      <c r="D158" s="800"/>
      <c r="E158" s="791" t="s">
        <v>488</v>
      </c>
      <c r="F158" s="792" t="s">
        <v>837</v>
      </c>
      <c r="G158" s="788" t="s">
        <v>489</v>
      </c>
      <c r="H158" s="791" t="s">
        <v>1170</v>
      </c>
      <c r="I158" s="792" t="s">
        <v>838</v>
      </c>
      <c r="J158" s="793" t="s">
        <v>1171</v>
      </c>
      <c r="K158" s="793" t="s">
        <v>490</v>
      </c>
      <c r="L158" s="794" t="s">
        <v>489</v>
      </c>
      <c r="M158" s="793" t="s">
        <v>1172</v>
      </c>
      <c r="N158" s="792" t="s">
        <v>838</v>
      </c>
      <c r="O158" s="793" t="s">
        <v>1171</v>
      </c>
      <c r="P158" s="793" t="s">
        <v>826</v>
      </c>
      <c r="Q158" s="793" t="s">
        <v>1173</v>
      </c>
      <c r="R158" s="793" t="s">
        <v>1174</v>
      </c>
      <c r="S158" s="793" t="s">
        <v>839</v>
      </c>
      <c r="T158" s="793" t="s">
        <v>1171</v>
      </c>
      <c r="U158" s="793" t="s">
        <v>1392</v>
      </c>
      <c r="V158" s="793" t="s">
        <v>841</v>
      </c>
      <c r="W158" s="795" t="s">
        <v>1173</v>
      </c>
      <c r="X158" s="793" t="s">
        <v>1394</v>
      </c>
      <c r="Y158" s="793" t="s">
        <v>839</v>
      </c>
      <c r="Z158" s="796"/>
      <c r="AA158" s="755"/>
      <c r="AB158" s="755"/>
      <c r="AC158" s="773"/>
      <c r="AD158" s="802"/>
      <c r="AF158" s="804"/>
      <c r="AG158" s="802"/>
      <c r="AH158" s="805"/>
      <c r="AI158" s="805"/>
      <c r="AJ158" s="805"/>
      <c r="AK158" s="805"/>
      <c r="AL158" s="806"/>
      <c r="AM158" s="805"/>
      <c r="AN158" s="805"/>
      <c r="AO158" s="807"/>
      <c r="AP158" s="805"/>
      <c r="AQ158" s="808"/>
      <c r="AR158" s="808"/>
      <c r="AS158" s="808"/>
      <c r="AT158" s="805"/>
      <c r="AU158" s="805"/>
      <c r="AV158" s="807"/>
      <c r="AW158" s="802"/>
      <c r="AX158" s="802"/>
      <c r="AY158" s="802"/>
      <c r="AZ158" s="802"/>
      <c r="BA158" s="802"/>
    </row>
    <row r="159" spans="1:53" s="803" customFormat="1" ht="12" customHeight="1" x14ac:dyDescent="0.25">
      <c r="A159" s="1122"/>
      <c r="B159" s="752" t="s">
        <v>1175</v>
      </c>
      <c r="C159" s="788">
        <f>C166</f>
        <v>53.808297139231286</v>
      </c>
      <c r="D159" s="800">
        <f>C159*$D$5</f>
        <v>10.869276022124721</v>
      </c>
      <c r="E159" s="754" t="s">
        <v>1176</v>
      </c>
      <c r="F159" s="810"/>
      <c r="G159" s="756"/>
      <c r="H159" s="756"/>
      <c r="I159" s="757">
        <f>SUM(I160:I167)</f>
        <v>2.1736</v>
      </c>
      <c r="J159" s="758" t="s">
        <v>1176</v>
      </c>
      <c r="K159" s="811"/>
      <c r="L159" s="759"/>
      <c r="M159" s="759"/>
      <c r="N159" s="760">
        <f>SUM(N160:N167)</f>
        <v>0.18419389901203584</v>
      </c>
      <c r="O159" s="759" t="s">
        <v>1176</v>
      </c>
      <c r="P159" s="759"/>
      <c r="Q159" s="812"/>
      <c r="R159" s="813"/>
      <c r="S159" s="760">
        <f>SUM(S160:S167)</f>
        <v>19.011737597426698</v>
      </c>
      <c r="T159" s="760"/>
      <c r="U159" s="760"/>
      <c r="V159" s="760"/>
      <c r="W159" s="760"/>
      <c r="X159" s="760"/>
      <c r="Y159" s="760">
        <f>SUM(Y160:Y167)</f>
        <v>4.2472967570827658</v>
      </c>
      <c r="Z159" s="762">
        <f>(C159+D159+I159+N159+S159+Y159)*$Z$5</f>
        <v>117.39966944789533</v>
      </c>
      <c r="AA159" s="763">
        <f>C159+D159+I159+N159+S159+Y159+Z159</f>
        <v>207.69407086277283</v>
      </c>
      <c r="AB159" s="764">
        <v>0.25</v>
      </c>
      <c r="AC159" s="765">
        <f>AA159*(1+AB159)</f>
        <v>259.61758857846604</v>
      </c>
      <c r="AD159" s="814"/>
      <c r="AF159" s="804"/>
      <c r="AG159" s="802"/>
      <c r="AH159" s="805"/>
      <c r="AI159" s="808"/>
      <c r="AJ159" s="815"/>
      <c r="AK159" s="816"/>
      <c r="AL159" s="806"/>
      <c r="AM159" s="817"/>
      <c r="AN159" s="818"/>
      <c r="AO159" s="817"/>
      <c r="AP159" s="808"/>
      <c r="AQ159" s="808"/>
      <c r="AR159" s="808"/>
      <c r="AS159" s="808"/>
      <c r="AT159" s="808"/>
      <c r="AU159" s="817"/>
      <c r="AV159" s="817"/>
      <c r="AW159" s="819"/>
      <c r="AX159" s="802"/>
      <c r="AY159" s="802"/>
      <c r="AZ159" s="802"/>
      <c r="BA159" s="802"/>
    </row>
    <row r="160" spans="1:53" s="803" customFormat="1" ht="12.75" customHeight="1" x14ac:dyDescent="0.25">
      <c r="A160" s="1122"/>
      <c r="B160" s="766" t="s">
        <v>1177</v>
      </c>
      <c r="C160" s="788"/>
      <c r="D160" s="820"/>
      <c r="E160" s="767" t="s">
        <v>1437</v>
      </c>
      <c r="F160" s="768" t="s">
        <v>1438</v>
      </c>
      <c r="G160" s="769">
        <v>0.74</v>
      </c>
      <c r="H160" s="768">
        <v>0.01</v>
      </c>
      <c r="I160" s="770">
        <f t="shared" ref="I160:I165" si="5">G160*H160</f>
        <v>7.4000000000000003E-3</v>
      </c>
      <c r="J160" s="758" t="s">
        <v>1291</v>
      </c>
      <c r="K160" s="771">
        <v>2</v>
      </c>
      <c r="L160" s="772">
        <v>750</v>
      </c>
      <c r="M160" s="771">
        <v>2</v>
      </c>
      <c r="N160" s="790">
        <f>L160/'Исп. коэффициенты'!E46*C165</f>
        <v>0.15878784397589296</v>
      </c>
      <c r="O160" s="759" t="s">
        <v>2209</v>
      </c>
      <c r="P160" s="759">
        <v>87500</v>
      </c>
      <c r="Q160" s="759">
        <v>19.670000000000002</v>
      </c>
      <c r="R160" s="759">
        <f>P160*Q160%</f>
        <v>17211.25</v>
      </c>
      <c r="S160" s="759">
        <f>R160/'Исп. коэффициенты'!F46</f>
        <v>19.011737597426698</v>
      </c>
      <c r="T160" s="755" t="s">
        <v>1435</v>
      </c>
      <c r="U160" s="756">
        <v>6785401.3499999996</v>
      </c>
      <c r="V160" s="785">
        <f>'Исп. коэффициенты'!E124</f>
        <v>2978.5</v>
      </c>
      <c r="W160" s="761">
        <f>'Исп. коэффициенты'!D124</f>
        <v>1.3599999999999999E-2</v>
      </c>
      <c r="X160" s="760">
        <f>U160*W160</f>
        <v>92281.45835999999</v>
      </c>
      <c r="Y160" s="759">
        <f>X160/'Исп. коэффициенты'!E46/2</f>
        <v>4.2472967570827658</v>
      </c>
      <c r="Z160" s="759"/>
      <c r="AA160" s="755"/>
      <c r="AB160" s="755"/>
      <c r="AC160" s="773"/>
      <c r="AD160" s="802"/>
      <c r="AF160" s="821"/>
      <c r="AG160" s="802"/>
      <c r="AH160" s="805"/>
      <c r="AI160" s="805"/>
      <c r="AJ160" s="822"/>
      <c r="AK160" s="805"/>
      <c r="AL160" s="806"/>
      <c r="AM160" s="805"/>
      <c r="AN160" s="805"/>
      <c r="AO160" s="807"/>
      <c r="AP160" s="805"/>
      <c r="AQ160" s="805"/>
      <c r="AR160" s="807"/>
      <c r="AS160" s="807"/>
      <c r="AT160" s="808"/>
      <c r="AU160" s="805"/>
      <c r="AV160" s="807"/>
      <c r="AW160" s="802"/>
      <c r="AX160" s="802"/>
      <c r="AY160" s="802"/>
      <c r="AZ160" s="802"/>
      <c r="BA160" s="802"/>
    </row>
    <row r="161" spans="1:53" s="803" customFormat="1" x14ac:dyDescent="0.25">
      <c r="A161" s="1122"/>
      <c r="B161" s="774" t="s">
        <v>1178</v>
      </c>
      <c r="C161" s="753"/>
      <c r="D161" s="820"/>
      <c r="E161" s="767" t="s">
        <v>1439</v>
      </c>
      <c r="F161" s="768" t="s">
        <v>1438</v>
      </c>
      <c r="G161" s="769">
        <v>0.27</v>
      </c>
      <c r="H161" s="768">
        <v>0.01</v>
      </c>
      <c r="I161" s="775">
        <f t="shared" si="5"/>
        <v>2.7000000000000001E-3</v>
      </c>
      <c r="J161" s="758" t="s">
        <v>1445</v>
      </c>
      <c r="K161" s="760">
        <v>2</v>
      </c>
      <c r="L161" s="776">
        <v>95</v>
      </c>
      <c r="M161" s="771">
        <v>2</v>
      </c>
      <c r="N161" s="790">
        <f>L161/'Исп. коэффициенты'!E46*C165</f>
        <v>2.011312690361311E-2</v>
      </c>
      <c r="O161" s="759"/>
      <c r="P161" s="759"/>
      <c r="Q161" s="759"/>
      <c r="R161" s="759"/>
      <c r="S161" s="759"/>
      <c r="T161" s="759"/>
      <c r="U161" s="759"/>
      <c r="V161" s="759"/>
      <c r="W161" s="759"/>
      <c r="X161" s="759"/>
      <c r="Y161" s="759"/>
      <c r="Z161" s="759"/>
      <c r="AA161" s="755"/>
      <c r="AB161" s="755"/>
      <c r="AC161" s="773"/>
      <c r="AD161" s="802"/>
      <c r="AF161" s="821"/>
      <c r="AG161" s="802"/>
      <c r="AH161" s="805"/>
      <c r="AI161" s="805"/>
      <c r="AJ161" s="822"/>
      <c r="AK161" s="805"/>
      <c r="AL161" s="806"/>
      <c r="AM161" s="824"/>
      <c r="AN161" s="805"/>
      <c r="AO161" s="807"/>
      <c r="AP161" s="805"/>
      <c r="AQ161" s="805"/>
      <c r="AR161" s="807"/>
      <c r="AS161" s="807"/>
      <c r="AT161" s="805"/>
      <c r="AU161" s="805"/>
      <c r="AV161" s="807"/>
      <c r="AW161" s="802"/>
      <c r="AX161" s="802"/>
      <c r="AY161" s="802"/>
      <c r="AZ161" s="802"/>
      <c r="BA161" s="802"/>
    </row>
    <row r="162" spans="1:53" s="803" customFormat="1" ht="12.75" customHeight="1" x14ac:dyDescent="0.25">
      <c r="A162" s="1122"/>
      <c r="B162" s="754" t="s">
        <v>1179</v>
      </c>
      <c r="C162" s="788">
        <f>C142</f>
        <v>23.394911799665778</v>
      </c>
      <c r="D162" s="820"/>
      <c r="E162" s="767"/>
      <c r="F162" s="768"/>
      <c r="G162" s="769"/>
      <c r="H162" s="769"/>
      <c r="I162" s="770"/>
      <c r="J162" s="758" t="s">
        <v>1513</v>
      </c>
      <c r="K162" s="760">
        <v>2</v>
      </c>
      <c r="L162" s="760">
        <v>25</v>
      </c>
      <c r="M162" s="771">
        <v>0.5</v>
      </c>
      <c r="N162" s="790">
        <f>L162/'Исп. коэффициенты'!E46*C165</f>
        <v>5.2929281325297655E-3</v>
      </c>
      <c r="O162" s="759"/>
      <c r="P162" s="759"/>
      <c r="Q162" s="759"/>
      <c r="R162" s="759"/>
      <c r="S162" s="759"/>
      <c r="T162" s="759"/>
      <c r="U162" s="759"/>
      <c r="V162" s="759"/>
      <c r="W162" s="759"/>
      <c r="X162" s="759"/>
      <c r="Y162" s="759"/>
      <c r="Z162" s="759"/>
      <c r="AA162" s="755"/>
      <c r="AB162" s="755"/>
      <c r="AC162" s="773"/>
      <c r="AD162" s="802"/>
      <c r="AF162" s="821"/>
      <c r="AG162" s="802"/>
      <c r="AH162" s="805"/>
      <c r="AI162" s="805"/>
      <c r="AJ162" s="822"/>
      <c r="AK162" s="805"/>
      <c r="AL162" s="806"/>
      <c r="AM162" s="805"/>
      <c r="AN162" s="805"/>
      <c r="AO162" s="807"/>
      <c r="AP162" s="805"/>
      <c r="AQ162" s="805"/>
      <c r="AR162" s="807"/>
      <c r="AS162" s="807"/>
      <c r="AT162" s="805"/>
      <c r="AU162" s="805"/>
      <c r="AV162" s="807"/>
      <c r="AW162" s="802"/>
      <c r="AX162" s="802"/>
      <c r="AY162" s="802"/>
      <c r="AZ162" s="802"/>
      <c r="BA162" s="802"/>
    </row>
    <row r="163" spans="1:53" s="803" customFormat="1" ht="12.75" customHeight="1" x14ac:dyDescent="0.25">
      <c r="A163" s="1122"/>
      <c r="B163" s="754" t="s">
        <v>1180</v>
      </c>
      <c r="C163" s="789"/>
      <c r="D163" s="820"/>
      <c r="E163" s="767"/>
      <c r="F163" s="768"/>
      <c r="G163" s="769"/>
      <c r="H163" s="768"/>
      <c r="I163" s="770"/>
      <c r="J163" s="758"/>
      <c r="K163" s="760"/>
      <c r="L163" s="760"/>
      <c r="M163" s="760"/>
      <c r="N163" s="760"/>
      <c r="O163" s="759"/>
      <c r="P163" s="759"/>
      <c r="Q163" s="759"/>
      <c r="R163" s="759"/>
      <c r="S163" s="759"/>
      <c r="T163" s="759"/>
      <c r="U163" s="759"/>
      <c r="V163" s="759"/>
      <c r="W163" s="759"/>
      <c r="X163" s="759"/>
      <c r="Y163" s="759"/>
      <c r="Z163" s="759"/>
      <c r="AA163" s="755"/>
      <c r="AB163" s="755"/>
      <c r="AC163" s="773"/>
      <c r="AD163" s="802"/>
      <c r="AF163" s="821"/>
      <c r="AG163" s="802"/>
      <c r="AH163" s="805"/>
      <c r="AI163" s="805"/>
      <c r="AJ163" s="822"/>
      <c r="AK163" s="805"/>
      <c r="AL163" s="806"/>
      <c r="AM163" s="805"/>
      <c r="AN163" s="805"/>
      <c r="AO163" s="807"/>
      <c r="AP163" s="805"/>
      <c r="AQ163" s="805"/>
      <c r="AR163" s="807"/>
      <c r="AS163" s="807"/>
      <c r="AT163" s="805"/>
      <c r="AU163" s="805"/>
      <c r="AV163" s="807"/>
      <c r="AW163" s="802"/>
      <c r="AX163" s="802"/>
      <c r="AY163" s="802"/>
      <c r="AZ163" s="802"/>
      <c r="BA163" s="802"/>
    </row>
    <row r="164" spans="1:53" s="803" customFormat="1" ht="12.75" customHeight="1" x14ac:dyDescent="0.25">
      <c r="A164" s="1122"/>
      <c r="B164" s="774" t="s">
        <v>1178</v>
      </c>
      <c r="C164" s="784"/>
      <c r="D164" s="820"/>
      <c r="E164" s="767" t="s">
        <v>1442</v>
      </c>
      <c r="F164" s="768" t="s">
        <v>1443</v>
      </c>
      <c r="G164" s="769">
        <v>419.5</v>
      </c>
      <c r="H164" s="768">
        <v>1E-3</v>
      </c>
      <c r="I164" s="770">
        <f t="shared" si="5"/>
        <v>0.41949999999999998</v>
      </c>
      <c r="J164" s="758"/>
      <c r="K164" s="760"/>
      <c r="L164" s="760"/>
      <c r="M164" s="760"/>
      <c r="N164" s="760"/>
      <c r="O164" s="759"/>
      <c r="P164" s="759"/>
      <c r="Q164" s="759"/>
      <c r="R164" s="759"/>
      <c r="S164" s="759"/>
      <c r="T164" s="759"/>
      <c r="U164" s="759"/>
      <c r="V164" s="759"/>
      <c r="W164" s="759"/>
      <c r="X164" s="759"/>
      <c r="Y164" s="759"/>
      <c r="Z164" s="759"/>
      <c r="AA164" s="755"/>
      <c r="AB164" s="755"/>
      <c r="AC164" s="773"/>
      <c r="AD164" s="802"/>
      <c r="AF164" s="821"/>
      <c r="AG164" s="802"/>
      <c r="AH164" s="805"/>
      <c r="AI164" s="805"/>
      <c r="AJ164" s="827"/>
      <c r="AK164" s="805"/>
      <c r="AL164" s="806"/>
      <c r="AM164" s="805"/>
      <c r="AN164" s="805"/>
      <c r="AO164" s="807"/>
      <c r="AP164" s="805"/>
      <c r="AQ164" s="805"/>
      <c r="AR164" s="807"/>
      <c r="AS164" s="807"/>
      <c r="AT164" s="805"/>
      <c r="AU164" s="805"/>
      <c r="AV164" s="807"/>
      <c r="AW164" s="802"/>
      <c r="AX164" s="802"/>
      <c r="AY164" s="802"/>
      <c r="AZ164" s="802"/>
      <c r="BA164" s="802"/>
    </row>
    <row r="165" spans="1:53" s="803" customFormat="1" ht="12.75" customHeight="1" x14ac:dyDescent="0.25">
      <c r="A165" s="1122"/>
      <c r="B165" s="754" t="s">
        <v>1179</v>
      </c>
      <c r="C165" s="784">
        <v>2.2999999999999998</v>
      </c>
      <c r="D165" s="820"/>
      <c r="E165" s="767" t="s">
        <v>1444</v>
      </c>
      <c r="F165" s="768" t="s">
        <v>1443</v>
      </c>
      <c r="G165" s="769">
        <v>872</v>
      </c>
      <c r="H165" s="768">
        <v>2E-3</v>
      </c>
      <c r="I165" s="770">
        <f t="shared" si="5"/>
        <v>1.744</v>
      </c>
      <c r="J165" s="758"/>
      <c r="K165" s="760"/>
      <c r="L165" s="760"/>
      <c r="M165" s="760"/>
      <c r="N165" s="760"/>
      <c r="O165" s="759"/>
      <c r="P165" s="759"/>
      <c r="Q165" s="759"/>
      <c r="R165" s="759"/>
      <c r="S165" s="759"/>
      <c r="T165" s="759"/>
      <c r="U165" s="759"/>
      <c r="V165" s="759"/>
      <c r="W165" s="759"/>
      <c r="X165" s="759"/>
      <c r="Y165" s="759"/>
      <c r="Z165" s="759"/>
      <c r="AA165" s="755"/>
      <c r="AB165" s="755"/>
      <c r="AC165" s="773"/>
      <c r="AD165" s="802"/>
      <c r="AF165" s="821"/>
      <c r="AG165" s="802"/>
      <c r="AH165" s="805"/>
      <c r="AI165" s="805"/>
      <c r="AJ165" s="827"/>
      <c r="AK165" s="805"/>
      <c r="AL165" s="806"/>
      <c r="AM165" s="805"/>
      <c r="AN165" s="805"/>
      <c r="AO165" s="807"/>
      <c r="AP165" s="805"/>
      <c r="AQ165" s="805"/>
      <c r="AR165" s="807"/>
      <c r="AS165" s="807"/>
      <c r="AT165" s="805"/>
      <c r="AU165" s="805"/>
      <c r="AV165" s="807"/>
      <c r="AW165" s="802"/>
      <c r="AX165" s="802"/>
      <c r="AY165" s="802"/>
      <c r="AZ165" s="802"/>
      <c r="BA165" s="802"/>
    </row>
    <row r="166" spans="1:53" s="803" customFormat="1" ht="12.75" customHeight="1" x14ac:dyDescent="0.25">
      <c r="A166" s="1122"/>
      <c r="B166" s="782" t="s">
        <v>1181</v>
      </c>
      <c r="C166" s="788">
        <f>C161*C164+C162*C165</f>
        <v>53.808297139231286</v>
      </c>
      <c r="D166" s="820"/>
      <c r="E166" s="767"/>
      <c r="F166" s="781"/>
      <c r="G166" s="769"/>
      <c r="H166" s="768"/>
      <c r="I166" s="770"/>
      <c r="J166" s="758"/>
      <c r="K166" s="828"/>
      <c r="L166" s="760"/>
      <c r="M166" s="760"/>
      <c r="N166" s="760"/>
      <c r="O166" s="759"/>
      <c r="P166" s="759"/>
      <c r="Q166" s="759"/>
      <c r="R166" s="759"/>
      <c r="S166" s="759"/>
      <c r="T166" s="759"/>
      <c r="U166" s="759"/>
      <c r="V166" s="759"/>
      <c r="W166" s="759"/>
      <c r="X166" s="759"/>
      <c r="Y166" s="759"/>
      <c r="Z166" s="759"/>
      <c r="AA166" s="755"/>
      <c r="AB166" s="755"/>
      <c r="AC166" s="773"/>
      <c r="AD166" s="802"/>
      <c r="AF166" s="821"/>
      <c r="AG166" s="802"/>
      <c r="AH166" s="805"/>
      <c r="AI166" s="805"/>
      <c r="AJ166" s="822"/>
      <c r="AK166" s="805"/>
      <c r="AL166" s="806"/>
      <c r="AM166" s="805"/>
      <c r="AN166" s="805"/>
      <c r="AO166" s="807"/>
      <c r="AP166" s="805"/>
      <c r="AQ166" s="805"/>
      <c r="AR166" s="807"/>
      <c r="AS166" s="807"/>
      <c r="AT166" s="805"/>
      <c r="AU166" s="805"/>
      <c r="AV166" s="807"/>
      <c r="AW166" s="802"/>
      <c r="AX166" s="802"/>
      <c r="AY166" s="802"/>
      <c r="AZ166" s="802"/>
      <c r="BA166" s="802"/>
    </row>
    <row r="167" spans="1:53" s="803" customFormat="1" ht="12.75" customHeight="1" x14ac:dyDescent="0.25">
      <c r="A167" s="1122"/>
      <c r="B167" s="782"/>
      <c r="C167" s="784"/>
      <c r="D167" s="829"/>
      <c r="E167" s="767"/>
      <c r="F167" s="781"/>
      <c r="G167" s="769"/>
      <c r="H167" s="768"/>
      <c r="I167" s="770"/>
      <c r="J167" s="758"/>
      <c r="K167" s="828"/>
      <c r="L167" s="760"/>
      <c r="M167" s="760"/>
      <c r="N167" s="760"/>
      <c r="O167" s="759"/>
      <c r="P167" s="759"/>
      <c r="Q167" s="759"/>
      <c r="R167" s="759"/>
      <c r="S167" s="759"/>
      <c r="T167" s="759"/>
      <c r="U167" s="759"/>
      <c r="V167" s="759"/>
      <c r="W167" s="759"/>
      <c r="X167" s="759"/>
      <c r="Y167" s="759"/>
      <c r="Z167" s="759"/>
      <c r="AA167" s="755"/>
      <c r="AB167" s="755"/>
      <c r="AC167" s="773"/>
      <c r="AD167" s="802"/>
      <c r="AF167" s="821"/>
      <c r="AG167" s="802"/>
      <c r="AH167" s="805"/>
      <c r="AI167" s="805"/>
      <c r="AJ167" s="827"/>
      <c r="AK167" s="805"/>
      <c r="AL167" s="806"/>
      <c r="AM167" s="805"/>
      <c r="AN167" s="805"/>
      <c r="AO167" s="807"/>
      <c r="AP167" s="805"/>
      <c r="AQ167" s="805"/>
      <c r="AR167" s="807"/>
      <c r="AS167" s="807"/>
      <c r="AT167" s="805"/>
      <c r="AU167" s="805"/>
      <c r="AV167" s="807"/>
      <c r="AW167" s="802"/>
      <c r="AX167" s="802"/>
      <c r="AY167" s="802"/>
      <c r="AZ167" s="802"/>
      <c r="BA167" s="802"/>
    </row>
    <row r="168" spans="1:53" s="803" customFormat="1" ht="56.25" customHeight="1" x14ac:dyDescent="0.25">
      <c r="A168" s="1122" t="s">
        <v>2211</v>
      </c>
      <c r="B168" s="788" t="s">
        <v>2208</v>
      </c>
      <c r="C168" s="788"/>
      <c r="D168" s="800"/>
      <c r="E168" s="791" t="s">
        <v>488</v>
      </c>
      <c r="F168" s="792" t="s">
        <v>837</v>
      </c>
      <c r="G168" s="788" t="s">
        <v>489</v>
      </c>
      <c r="H168" s="791" t="s">
        <v>1170</v>
      </c>
      <c r="I168" s="792" t="s">
        <v>838</v>
      </c>
      <c r="J168" s="793" t="s">
        <v>1171</v>
      </c>
      <c r="K168" s="793" t="s">
        <v>490</v>
      </c>
      <c r="L168" s="794" t="s">
        <v>489</v>
      </c>
      <c r="M168" s="793" t="s">
        <v>1172</v>
      </c>
      <c r="N168" s="792" t="s">
        <v>838</v>
      </c>
      <c r="O168" s="793" t="s">
        <v>1171</v>
      </c>
      <c r="P168" s="793" t="s">
        <v>826</v>
      </c>
      <c r="Q168" s="793" t="s">
        <v>1173</v>
      </c>
      <c r="R168" s="793" t="s">
        <v>1174</v>
      </c>
      <c r="S168" s="793" t="s">
        <v>839</v>
      </c>
      <c r="T168" s="793" t="s">
        <v>1171</v>
      </c>
      <c r="U168" s="793" t="s">
        <v>1392</v>
      </c>
      <c r="V168" s="793" t="s">
        <v>841</v>
      </c>
      <c r="W168" s="795" t="s">
        <v>1173</v>
      </c>
      <c r="X168" s="793" t="s">
        <v>1394</v>
      </c>
      <c r="Y168" s="793" t="s">
        <v>839</v>
      </c>
      <c r="Z168" s="796"/>
      <c r="AA168" s="755"/>
      <c r="AB168" s="755"/>
      <c r="AC168" s="773"/>
      <c r="AD168" s="802"/>
      <c r="AF168" s="804"/>
      <c r="AG168" s="802"/>
      <c r="AH168" s="805"/>
      <c r="AI168" s="805"/>
      <c r="AJ168" s="805"/>
      <c r="AK168" s="805"/>
      <c r="AL168" s="806"/>
      <c r="AM168" s="805"/>
      <c r="AN168" s="805"/>
      <c r="AO168" s="807"/>
      <c r="AP168" s="805"/>
      <c r="AQ168" s="808"/>
      <c r="AR168" s="808"/>
      <c r="AS168" s="808"/>
      <c r="AT168" s="805"/>
      <c r="AU168" s="805"/>
      <c r="AV168" s="807"/>
      <c r="AW168" s="802"/>
      <c r="AX168" s="802"/>
      <c r="AY168" s="802"/>
      <c r="AZ168" s="802"/>
      <c r="BA168" s="802"/>
    </row>
    <row r="169" spans="1:53" s="803" customFormat="1" ht="12" customHeight="1" x14ac:dyDescent="0.25">
      <c r="A169" s="1122"/>
      <c r="B169" s="752" t="s">
        <v>1175</v>
      </c>
      <c r="C169" s="788">
        <f>C176</f>
        <v>60.826770679131023</v>
      </c>
      <c r="D169" s="800">
        <f>C169*$D$5</f>
        <v>12.287007677184468</v>
      </c>
      <c r="E169" s="754" t="s">
        <v>1176</v>
      </c>
      <c r="F169" s="810"/>
      <c r="G169" s="756"/>
      <c r="H169" s="756"/>
      <c r="I169" s="757">
        <f>SUM(I170:I177)</f>
        <v>2.1736</v>
      </c>
      <c r="J169" s="758" t="s">
        <v>1176</v>
      </c>
      <c r="K169" s="811"/>
      <c r="L169" s="759"/>
      <c r="M169" s="759"/>
      <c r="N169" s="760">
        <f>SUM(N170:N177)</f>
        <v>0.2082191901875188</v>
      </c>
      <c r="O169" s="759" t="s">
        <v>1176</v>
      </c>
      <c r="P169" s="759"/>
      <c r="Q169" s="812"/>
      <c r="R169" s="813"/>
      <c r="S169" s="760">
        <f>SUM(S170:S177)</f>
        <v>19.011737597426698</v>
      </c>
      <c r="T169" s="760"/>
      <c r="U169" s="760"/>
      <c r="V169" s="760"/>
      <c r="W169" s="760"/>
      <c r="X169" s="760"/>
      <c r="Y169" s="760">
        <f>SUM(Y170:Y177)</f>
        <v>4.2472967570827658</v>
      </c>
      <c r="Z169" s="762">
        <f>(C169+D169+I169+N169+S169+Y169)*$Z$5</f>
        <v>128.39955700417522</v>
      </c>
      <c r="AA169" s="763">
        <f>C169+D169+I169+N169+S169+Y169+Z169</f>
        <v>227.15418890518771</v>
      </c>
      <c r="AB169" s="764">
        <v>0.25</v>
      </c>
      <c r="AC169" s="765">
        <f>AA169*(1+AB169)</f>
        <v>283.94273613148465</v>
      </c>
      <c r="AD169" s="814"/>
      <c r="AF169" s="804"/>
      <c r="AG169" s="802"/>
      <c r="AH169" s="805"/>
      <c r="AI169" s="808"/>
      <c r="AJ169" s="815"/>
      <c r="AK169" s="816"/>
      <c r="AL169" s="806"/>
      <c r="AM169" s="817"/>
      <c r="AN169" s="818"/>
      <c r="AO169" s="817"/>
      <c r="AP169" s="808"/>
      <c r="AQ169" s="808"/>
      <c r="AR169" s="808"/>
      <c r="AS169" s="808"/>
      <c r="AT169" s="808"/>
      <c r="AU169" s="817"/>
      <c r="AV169" s="817"/>
      <c r="AW169" s="819"/>
      <c r="AX169" s="802"/>
      <c r="AY169" s="802"/>
      <c r="AZ169" s="802"/>
      <c r="BA169" s="802"/>
    </row>
    <row r="170" spans="1:53" s="803" customFormat="1" ht="12.75" customHeight="1" x14ac:dyDescent="0.25">
      <c r="A170" s="1122"/>
      <c r="B170" s="766" t="s">
        <v>1177</v>
      </c>
      <c r="C170" s="788"/>
      <c r="D170" s="820"/>
      <c r="E170" s="767" t="s">
        <v>1437</v>
      </c>
      <c r="F170" s="768" t="s">
        <v>1438</v>
      </c>
      <c r="G170" s="769">
        <v>0.74</v>
      </c>
      <c r="H170" s="768">
        <v>0.01</v>
      </c>
      <c r="I170" s="770">
        <f t="shared" ref="I170:I171" si="6">G170*H170</f>
        <v>7.4000000000000003E-3</v>
      </c>
      <c r="J170" s="758" t="s">
        <v>1291</v>
      </c>
      <c r="K170" s="771">
        <v>2</v>
      </c>
      <c r="L170" s="772">
        <v>750</v>
      </c>
      <c r="M170" s="771">
        <v>2</v>
      </c>
      <c r="N170" s="790">
        <f>L170/'Исп. коэффициенты'!E46*C175</f>
        <v>0.17949930188579208</v>
      </c>
      <c r="O170" s="759" t="s">
        <v>2209</v>
      </c>
      <c r="P170" s="759">
        <v>87500</v>
      </c>
      <c r="Q170" s="759">
        <v>19.670000000000002</v>
      </c>
      <c r="R170" s="759">
        <f>P170*Q170%</f>
        <v>17211.25</v>
      </c>
      <c r="S170" s="759">
        <f>R170/'Исп. коэффициенты'!F46</f>
        <v>19.011737597426698</v>
      </c>
      <c r="T170" s="755" t="s">
        <v>1435</v>
      </c>
      <c r="U170" s="756">
        <v>6785401.3499999996</v>
      </c>
      <c r="V170" s="785">
        <f>'Исп. коэффициенты'!E124</f>
        <v>2978.5</v>
      </c>
      <c r="W170" s="761">
        <f>'Исп. коэффициенты'!D124</f>
        <v>1.3599999999999999E-2</v>
      </c>
      <c r="X170" s="760">
        <f>U170*W170</f>
        <v>92281.45835999999</v>
      </c>
      <c r="Y170" s="759">
        <f>X170/'Исп. коэффициенты'!E46/2</f>
        <v>4.2472967570827658</v>
      </c>
      <c r="Z170" s="759"/>
      <c r="AA170" s="755"/>
      <c r="AB170" s="755"/>
      <c r="AC170" s="773"/>
      <c r="AD170" s="802"/>
      <c r="AF170" s="821"/>
      <c r="AG170" s="802"/>
      <c r="AH170" s="805"/>
      <c r="AI170" s="805"/>
      <c r="AJ170" s="822"/>
      <c r="AK170" s="805"/>
      <c r="AL170" s="806"/>
      <c r="AM170" s="805"/>
      <c r="AN170" s="805"/>
      <c r="AO170" s="807"/>
      <c r="AP170" s="805"/>
      <c r="AQ170" s="805"/>
      <c r="AR170" s="807"/>
      <c r="AS170" s="807"/>
      <c r="AT170" s="808"/>
      <c r="AU170" s="805"/>
      <c r="AV170" s="807"/>
      <c r="AW170" s="802"/>
      <c r="AX170" s="802"/>
      <c r="AY170" s="802"/>
      <c r="AZ170" s="802"/>
      <c r="BA170" s="802"/>
    </row>
    <row r="171" spans="1:53" s="803" customFormat="1" x14ac:dyDescent="0.25">
      <c r="A171" s="1122"/>
      <c r="B171" s="774" t="s">
        <v>1178</v>
      </c>
      <c r="C171" s="753"/>
      <c r="D171" s="820"/>
      <c r="E171" s="767" t="s">
        <v>1439</v>
      </c>
      <c r="F171" s="768" t="s">
        <v>1438</v>
      </c>
      <c r="G171" s="769">
        <v>0.27</v>
      </c>
      <c r="H171" s="768">
        <v>0.01</v>
      </c>
      <c r="I171" s="775">
        <f t="shared" si="6"/>
        <v>2.7000000000000001E-3</v>
      </c>
      <c r="J171" s="758" t="s">
        <v>1445</v>
      </c>
      <c r="K171" s="760">
        <v>2</v>
      </c>
      <c r="L171" s="776">
        <v>95</v>
      </c>
      <c r="M171" s="771">
        <v>2</v>
      </c>
      <c r="N171" s="790">
        <f>L171/'Исп. коэффициенты'!E46*C175</f>
        <v>2.2736578238866996E-2</v>
      </c>
      <c r="O171" s="759"/>
      <c r="P171" s="759"/>
      <c r="Q171" s="759"/>
      <c r="R171" s="759"/>
      <c r="S171" s="759"/>
      <c r="T171" s="759"/>
      <c r="U171" s="759"/>
      <c r="V171" s="759"/>
      <c r="W171" s="759"/>
      <c r="X171" s="759"/>
      <c r="Y171" s="759"/>
      <c r="Z171" s="759"/>
      <c r="AA171" s="755"/>
      <c r="AB171" s="755"/>
      <c r="AC171" s="773"/>
      <c r="AD171" s="802"/>
      <c r="AF171" s="821"/>
      <c r="AG171" s="802"/>
      <c r="AH171" s="805"/>
      <c r="AI171" s="805"/>
      <c r="AJ171" s="822"/>
      <c r="AK171" s="805"/>
      <c r="AL171" s="806"/>
      <c r="AM171" s="824"/>
      <c r="AN171" s="805"/>
      <c r="AO171" s="807"/>
      <c r="AP171" s="805"/>
      <c r="AQ171" s="805"/>
      <c r="AR171" s="807"/>
      <c r="AS171" s="807"/>
      <c r="AT171" s="805"/>
      <c r="AU171" s="805"/>
      <c r="AV171" s="807"/>
      <c r="AW171" s="802"/>
      <c r="AX171" s="802"/>
      <c r="AY171" s="802"/>
      <c r="AZ171" s="802"/>
      <c r="BA171" s="802"/>
    </row>
    <row r="172" spans="1:53" s="803" customFormat="1" ht="12.75" customHeight="1" x14ac:dyDescent="0.25">
      <c r="A172" s="1122"/>
      <c r="B172" s="754" t="s">
        <v>1179</v>
      </c>
      <c r="C172" s="788">
        <f>C152</f>
        <v>23.394911799665778</v>
      </c>
      <c r="D172" s="820"/>
      <c r="E172" s="767"/>
      <c r="F172" s="768"/>
      <c r="G172" s="769"/>
      <c r="H172" s="769"/>
      <c r="I172" s="770"/>
      <c r="J172" s="758" t="s">
        <v>1513</v>
      </c>
      <c r="K172" s="760">
        <v>2</v>
      </c>
      <c r="L172" s="760">
        <v>25</v>
      </c>
      <c r="M172" s="771">
        <v>0.5</v>
      </c>
      <c r="N172" s="790">
        <f>L172/'Исп. коэффициенты'!E46*C175</f>
        <v>5.983310062859736E-3</v>
      </c>
      <c r="O172" s="759"/>
      <c r="P172" s="759"/>
      <c r="Q172" s="759"/>
      <c r="R172" s="759"/>
      <c r="S172" s="759"/>
      <c r="T172" s="759"/>
      <c r="U172" s="759"/>
      <c r="V172" s="759"/>
      <c r="W172" s="759"/>
      <c r="X172" s="759"/>
      <c r="Y172" s="759"/>
      <c r="Z172" s="759"/>
      <c r="AA172" s="755"/>
      <c r="AB172" s="755"/>
      <c r="AC172" s="773"/>
      <c r="AD172" s="802"/>
      <c r="AF172" s="821"/>
      <c r="AG172" s="802"/>
      <c r="AH172" s="805"/>
      <c r="AI172" s="805"/>
      <c r="AJ172" s="822"/>
      <c r="AK172" s="805"/>
      <c r="AL172" s="806"/>
      <c r="AM172" s="805"/>
      <c r="AN172" s="805"/>
      <c r="AO172" s="807"/>
      <c r="AP172" s="805"/>
      <c r="AQ172" s="805"/>
      <c r="AR172" s="807"/>
      <c r="AS172" s="807"/>
      <c r="AT172" s="805"/>
      <c r="AU172" s="805"/>
      <c r="AV172" s="807"/>
      <c r="AW172" s="802"/>
      <c r="AX172" s="802"/>
      <c r="AY172" s="802"/>
      <c r="AZ172" s="802"/>
      <c r="BA172" s="802"/>
    </row>
    <row r="173" spans="1:53" s="803" customFormat="1" ht="12.75" customHeight="1" x14ac:dyDescent="0.25">
      <c r="A173" s="1122"/>
      <c r="B173" s="754" t="s">
        <v>1180</v>
      </c>
      <c r="C173" s="789"/>
      <c r="D173" s="820"/>
      <c r="E173" s="767"/>
      <c r="F173" s="768"/>
      <c r="G173" s="769"/>
      <c r="H173" s="768"/>
      <c r="I173" s="770"/>
      <c r="J173" s="758"/>
      <c r="K173" s="760"/>
      <c r="L173" s="760"/>
      <c r="M173" s="760"/>
      <c r="N173" s="760"/>
      <c r="O173" s="759"/>
      <c r="P173" s="759"/>
      <c r="Q173" s="759"/>
      <c r="R173" s="759"/>
      <c r="S173" s="759"/>
      <c r="T173" s="759"/>
      <c r="U173" s="759"/>
      <c r="V173" s="759"/>
      <c r="W173" s="759"/>
      <c r="X173" s="759"/>
      <c r="Y173" s="759"/>
      <c r="Z173" s="759"/>
      <c r="AA173" s="755"/>
      <c r="AB173" s="755"/>
      <c r="AC173" s="773"/>
      <c r="AD173" s="802"/>
      <c r="AF173" s="821"/>
      <c r="AG173" s="802"/>
      <c r="AH173" s="805"/>
      <c r="AI173" s="805"/>
      <c r="AJ173" s="822"/>
      <c r="AK173" s="805"/>
      <c r="AL173" s="806"/>
      <c r="AM173" s="805"/>
      <c r="AN173" s="805"/>
      <c r="AO173" s="807"/>
      <c r="AP173" s="805"/>
      <c r="AQ173" s="805"/>
      <c r="AR173" s="807"/>
      <c r="AS173" s="807"/>
      <c r="AT173" s="805"/>
      <c r="AU173" s="805"/>
      <c r="AV173" s="807"/>
      <c r="AW173" s="802"/>
      <c r="AX173" s="802"/>
      <c r="AY173" s="802"/>
      <c r="AZ173" s="802"/>
      <c r="BA173" s="802"/>
    </row>
    <row r="174" spans="1:53" s="803" customFormat="1" ht="12.75" customHeight="1" x14ac:dyDescent="0.25">
      <c r="A174" s="1122"/>
      <c r="B174" s="774" t="s">
        <v>1178</v>
      </c>
      <c r="C174" s="784"/>
      <c r="D174" s="820"/>
      <c r="E174" s="767" t="s">
        <v>1442</v>
      </c>
      <c r="F174" s="768" t="s">
        <v>1443</v>
      </c>
      <c r="G174" s="769">
        <v>419.5</v>
      </c>
      <c r="H174" s="768">
        <v>1E-3</v>
      </c>
      <c r="I174" s="770">
        <f t="shared" ref="I174:I175" si="7">G174*H174</f>
        <v>0.41949999999999998</v>
      </c>
      <c r="J174" s="758"/>
      <c r="K174" s="760"/>
      <c r="L174" s="760"/>
      <c r="M174" s="760"/>
      <c r="N174" s="760"/>
      <c r="O174" s="759"/>
      <c r="P174" s="759"/>
      <c r="Q174" s="759"/>
      <c r="R174" s="759"/>
      <c r="S174" s="759"/>
      <c r="T174" s="759"/>
      <c r="U174" s="759"/>
      <c r="V174" s="759"/>
      <c r="W174" s="759"/>
      <c r="X174" s="759"/>
      <c r="Y174" s="759"/>
      <c r="Z174" s="759"/>
      <c r="AA174" s="755"/>
      <c r="AB174" s="755"/>
      <c r="AC174" s="773"/>
      <c r="AD174" s="802"/>
      <c r="AF174" s="821"/>
      <c r="AG174" s="802"/>
      <c r="AH174" s="805"/>
      <c r="AI174" s="805"/>
      <c r="AJ174" s="827"/>
      <c r="AK174" s="805"/>
      <c r="AL174" s="806"/>
      <c r="AM174" s="805"/>
      <c r="AN174" s="805"/>
      <c r="AO174" s="807"/>
      <c r="AP174" s="805"/>
      <c r="AQ174" s="805"/>
      <c r="AR174" s="807"/>
      <c r="AS174" s="807"/>
      <c r="AT174" s="805"/>
      <c r="AU174" s="805"/>
      <c r="AV174" s="807"/>
      <c r="AW174" s="802"/>
      <c r="AX174" s="802"/>
      <c r="AY174" s="802"/>
      <c r="AZ174" s="802"/>
      <c r="BA174" s="802"/>
    </row>
    <row r="175" spans="1:53" s="803" customFormat="1" ht="12.75" customHeight="1" x14ac:dyDescent="0.25">
      <c r="A175" s="1122"/>
      <c r="B175" s="754" t="s">
        <v>1179</v>
      </c>
      <c r="C175" s="784">
        <v>2.6</v>
      </c>
      <c r="D175" s="820"/>
      <c r="E175" s="767" t="s">
        <v>1444</v>
      </c>
      <c r="F175" s="768" t="s">
        <v>1443</v>
      </c>
      <c r="G175" s="769">
        <v>872</v>
      </c>
      <c r="H175" s="768">
        <v>2E-3</v>
      </c>
      <c r="I175" s="770">
        <f t="shared" si="7"/>
        <v>1.744</v>
      </c>
      <c r="J175" s="758"/>
      <c r="K175" s="760"/>
      <c r="L175" s="760"/>
      <c r="M175" s="760"/>
      <c r="N175" s="760"/>
      <c r="O175" s="759"/>
      <c r="P175" s="759"/>
      <c r="Q175" s="759"/>
      <c r="R175" s="759"/>
      <c r="S175" s="759"/>
      <c r="T175" s="759"/>
      <c r="U175" s="759"/>
      <c r="V175" s="759"/>
      <c r="W175" s="759"/>
      <c r="X175" s="759"/>
      <c r="Y175" s="759"/>
      <c r="Z175" s="759"/>
      <c r="AA175" s="755"/>
      <c r="AB175" s="755"/>
      <c r="AC175" s="773"/>
      <c r="AD175" s="802"/>
      <c r="AF175" s="821"/>
      <c r="AG175" s="802"/>
      <c r="AH175" s="805"/>
      <c r="AI175" s="805"/>
      <c r="AJ175" s="827"/>
      <c r="AK175" s="805"/>
      <c r="AL175" s="806"/>
      <c r="AM175" s="805"/>
      <c r="AN175" s="805"/>
      <c r="AO175" s="807"/>
      <c r="AP175" s="805"/>
      <c r="AQ175" s="805"/>
      <c r="AR175" s="807"/>
      <c r="AS175" s="807"/>
      <c r="AT175" s="805"/>
      <c r="AU175" s="805"/>
      <c r="AV175" s="807"/>
      <c r="AW175" s="802"/>
      <c r="AX175" s="802"/>
      <c r="AY175" s="802"/>
      <c r="AZ175" s="802"/>
      <c r="BA175" s="802"/>
    </row>
    <row r="176" spans="1:53" s="803" customFormat="1" ht="12.75" customHeight="1" x14ac:dyDescent="0.25">
      <c r="A176" s="1122"/>
      <c r="B176" s="782" t="s">
        <v>1181</v>
      </c>
      <c r="C176" s="788">
        <f>C171*C174+C172*C175</f>
        <v>60.826770679131023</v>
      </c>
      <c r="D176" s="820"/>
      <c r="E176" s="767"/>
      <c r="F176" s="781"/>
      <c r="G176" s="769"/>
      <c r="H176" s="768"/>
      <c r="I176" s="770"/>
      <c r="J176" s="758"/>
      <c r="K176" s="828"/>
      <c r="L176" s="760"/>
      <c r="M176" s="760"/>
      <c r="N176" s="760"/>
      <c r="O176" s="759"/>
      <c r="P176" s="759"/>
      <c r="Q176" s="759"/>
      <c r="R176" s="759"/>
      <c r="S176" s="759"/>
      <c r="T176" s="759"/>
      <c r="U176" s="759"/>
      <c r="V176" s="759"/>
      <c r="W176" s="759"/>
      <c r="X176" s="759"/>
      <c r="Y176" s="759"/>
      <c r="Z176" s="759"/>
      <c r="AA176" s="755"/>
      <c r="AB176" s="755"/>
      <c r="AC176" s="773"/>
      <c r="AD176" s="802"/>
      <c r="AF176" s="821"/>
      <c r="AG176" s="802"/>
      <c r="AH176" s="805"/>
      <c r="AI176" s="805"/>
      <c r="AJ176" s="822"/>
      <c r="AK176" s="805"/>
      <c r="AL176" s="806"/>
      <c r="AM176" s="805"/>
      <c r="AN176" s="805"/>
      <c r="AO176" s="807"/>
      <c r="AP176" s="805"/>
      <c r="AQ176" s="805"/>
      <c r="AR176" s="807"/>
      <c r="AS176" s="807"/>
      <c r="AT176" s="805"/>
      <c r="AU176" s="805"/>
      <c r="AV176" s="807"/>
      <c r="AW176" s="802"/>
      <c r="AX176" s="802"/>
      <c r="AY176" s="802"/>
      <c r="AZ176" s="802"/>
      <c r="BA176" s="802"/>
    </row>
    <row r="177" spans="1:53" s="803" customFormat="1" ht="12.75" customHeight="1" x14ac:dyDescent="0.25">
      <c r="A177" s="1122"/>
      <c r="B177" s="782"/>
      <c r="C177" s="784"/>
      <c r="D177" s="829"/>
      <c r="E177" s="767"/>
      <c r="F177" s="781"/>
      <c r="G177" s="769"/>
      <c r="H177" s="768"/>
      <c r="I177" s="770"/>
      <c r="J177" s="758"/>
      <c r="K177" s="828"/>
      <c r="L177" s="760"/>
      <c r="M177" s="760"/>
      <c r="N177" s="760"/>
      <c r="O177" s="759"/>
      <c r="P177" s="759"/>
      <c r="Q177" s="759"/>
      <c r="R177" s="759"/>
      <c r="S177" s="759"/>
      <c r="T177" s="759"/>
      <c r="U177" s="759"/>
      <c r="V177" s="759"/>
      <c r="W177" s="759"/>
      <c r="X177" s="759"/>
      <c r="Y177" s="759"/>
      <c r="Z177" s="759"/>
      <c r="AA177" s="755"/>
      <c r="AB177" s="755"/>
      <c r="AC177" s="773"/>
      <c r="AD177" s="802"/>
      <c r="AF177" s="821"/>
      <c r="AG177" s="802"/>
      <c r="AH177" s="805"/>
      <c r="AI177" s="805"/>
      <c r="AJ177" s="827"/>
      <c r="AK177" s="805"/>
      <c r="AL177" s="806"/>
      <c r="AM177" s="805"/>
      <c r="AN177" s="805"/>
      <c r="AO177" s="807"/>
      <c r="AP177" s="805"/>
      <c r="AQ177" s="805"/>
      <c r="AR177" s="807"/>
      <c r="AS177" s="807"/>
      <c r="AT177" s="805"/>
      <c r="AU177" s="805"/>
      <c r="AV177" s="807"/>
      <c r="AW177" s="802"/>
      <c r="AX177" s="802"/>
      <c r="AY177" s="802"/>
      <c r="AZ177" s="802"/>
      <c r="BA177" s="802"/>
    </row>
    <row r="178" spans="1:53" s="803" customFormat="1" ht="56.25" customHeight="1" x14ac:dyDescent="0.25">
      <c r="A178" s="1122" t="s">
        <v>2212</v>
      </c>
      <c r="B178" s="788" t="s">
        <v>2208</v>
      </c>
      <c r="C178" s="788"/>
      <c r="D178" s="800"/>
      <c r="E178" s="791" t="s">
        <v>488</v>
      </c>
      <c r="F178" s="792" t="s">
        <v>837</v>
      </c>
      <c r="G178" s="788" t="s">
        <v>489</v>
      </c>
      <c r="H178" s="791" t="s">
        <v>1170</v>
      </c>
      <c r="I178" s="792" t="s">
        <v>838</v>
      </c>
      <c r="J178" s="793" t="s">
        <v>1171</v>
      </c>
      <c r="K178" s="793" t="s">
        <v>490</v>
      </c>
      <c r="L178" s="794" t="s">
        <v>489</v>
      </c>
      <c r="M178" s="793" t="s">
        <v>1172</v>
      </c>
      <c r="N178" s="792" t="s">
        <v>838</v>
      </c>
      <c r="O178" s="793" t="s">
        <v>1171</v>
      </c>
      <c r="P178" s="793" t="s">
        <v>826</v>
      </c>
      <c r="Q178" s="793" t="s">
        <v>1173</v>
      </c>
      <c r="R178" s="793" t="s">
        <v>1174</v>
      </c>
      <c r="S178" s="793" t="s">
        <v>839</v>
      </c>
      <c r="T178" s="793" t="s">
        <v>1171</v>
      </c>
      <c r="U178" s="793" t="s">
        <v>1392</v>
      </c>
      <c r="V178" s="793" t="s">
        <v>841</v>
      </c>
      <c r="W178" s="795" t="s">
        <v>1173</v>
      </c>
      <c r="X178" s="793" t="s">
        <v>1394</v>
      </c>
      <c r="Y178" s="793" t="s">
        <v>839</v>
      </c>
      <c r="Z178" s="796"/>
      <c r="AA178" s="755"/>
      <c r="AB178" s="755"/>
      <c r="AC178" s="773"/>
      <c r="AD178" s="802"/>
      <c r="AF178" s="804"/>
      <c r="AG178" s="802"/>
      <c r="AH178" s="805"/>
      <c r="AI178" s="805"/>
      <c r="AJ178" s="805"/>
      <c r="AK178" s="805"/>
      <c r="AL178" s="806"/>
      <c r="AM178" s="805"/>
      <c r="AN178" s="805"/>
      <c r="AO178" s="807"/>
      <c r="AP178" s="805"/>
      <c r="AQ178" s="808"/>
      <c r="AR178" s="808"/>
      <c r="AS178" s="808"/>
      <c r="AT178" s="805"/>
      <c r="AU178" s="805"/>
      <c r="AV178" s="807"/>
      <c r="AW178" s="802"/>
      <c r="AX178" s="802"/>
      <c r="AY178" s="802"/>
      <c r="AZ178" s="802"/>
      <c r="BA178" s="802"/>
    </row>
    <row r="179" spans="1:53" s="803" customFormat="1" ht="12" customHeight="1" x14ac:dyDescent="0.25">
      <c r="A179" s="1122"/>
      <c r="B179" s="752" t="s">
        <v>1175</v>
      </c>
      <c r="C179" s="788">
        <f>C186</f>
        <v>23.394911799665778</v>
      </c>
      <c r="D179" s="800">
        <f>C179*$D$5</f>
        <v>4.7257721835324871</v>
      </c>
      <c r="E179" s="754" t="s">
        <v>1176</v>
      </c>
      <c r="F179" s="810"/>
      <c r="G179" s="756"/>
      <c r="H179" s="756"/>
      <c r="I179" s="757">
        <f>SUM(I180:I187)</f>
        <v>2.1736</v>
      </c>
      <c r="J179" s="758" t="s">
        <v>1176</v>
      </c>
      <c r="K179" s="811"/>
      <c r="L179" s="759"/>
      <c r="M179" s="759"/>
      <c r="N179" s="760">
        <f>SUM(N180:N187)</f>
        <v>8.0084303918276464E-2</v>
      </c>
      <c r="O179" s="759" t="s">
        <v>1176</v>
      </c>
      <c r="P179" s="759"/>
      <c r="Q179" s="812"/>
      <c r="R179" s="813"/>
      <c r="S179" s="760">
        <f>SUM(S180:S187)</f>
        <v>19.011737597426698</v>
      </c>
      <c r="T179" s="760"/>
      <c r="U179" s="760"/>
      <c r="V179" s="760"/>
      <c r="W179" s="760"/>
      <c r="X179" s="760"/>
      <c r="Y179" s="760">
        <f>SUM(Y180:Y187)</f>
        <v>4.2472967570827658</v>
      </c>
      <c r="Z179" s="762">
        <f>(C179+D179+I179+N179+S179+Y179)*$Z$5</f>
        <v>69.733490037349199</v>
      </c>
      <c r="AA179" s="763">
        <f>C179+D179+I179+N179+S179+Y179+Z179</f>
        <v>123.3668926789752</v>
      </c>
      <c r="AB179" s="764">
        <v>0.25</v>
      </c>
      <c r="AC179" s="765">
        <f>AA179*(1+AB179)</f>
        <v>154.20861584871901</v>
      </c>
      <c r="AD179" s="814"/>
      <c r="AF179" s="804"/>
      <c r="AG179" s="802"/>
      <c r="AH179" s="805"/>
      <c r="AI179" s="808"/>
      <c r="AJ179" s="815"/>
      <c r="AK179" s="816"/>
      <c r="AL179" s="806"/>
      <c r="AM179" s="817"/>
      <c r="AN179" s="818"/>
      <c r="AO179" s="817"/>
      <c r="AP179" s="808"/>
      <c r="AQ179" s="808"/>
      <c r="AR179" s="808"/>
      <c r="AS179" s="808"/>
      <c r="AT179" s="808"/>
      <c r="AU179" s="817"/>
      <c r="AV179" s="817"/>
      <c r="AW179" s="819"/>
      <c r="AX179" s="802"/>
      <c r="AY179" s="802"/>
      <c r="AZ179" s="802"/>
      <c r="BA179" s="802"/>
    </row>
    <row r="180" spans="1:53" s="803" customFormat="1" ht="12.75" customHeight="1" x14ac:dyDescent="0.25">
      <c r="A180" s="1122"/>
      <c r="B180" s="766" t="s">
        <v>1177</v>
      </c>
      <c r="C180" s="788"/>
      <c r="D180" s="820"/>
      <c r="E180" s="767" t="s">
        <v>1437</v>
      </c>
      <c r="F180" s="768" t="s">
        <v>1438</v>
      </c>
      <c r="G180" s="769">
        <v>0.74</v>
      </c>
      <c r="H180" s="768">
        <v>0.01</v>
      </c>
      <c r="I180" s="770">
        <f t="shared" ref="I180:I181" si="8">G180*H180</f>
        <v>7.4000000000000003E-3</v>
      </c>
      <c r="J180" s="758" t="s">
        <v>1291</v>
      </c>
      <c r="K180" s="771">
        <v>2</v>
      </c>
      <c r="L180" s="772">
        <v>750</v>
      </c>
      <c r="M180" s="771">
        <v>2</v>
      </c>
      <c r="N180" s="790">
        <f>L180/'Исп. коэффициенты'!E46*C185</f>
        <v>6.903819303299695E-2</v>
      </c>
      <c r="O180" s="759" t="s">
        <v>2209</v>
      </c>
      <c r="P180" s="759">
        <v>87500</v>
      </c>
      <c r="Q180" s="759">
        <v>19.670000000000002</v>
      </c>
      <c r="R180" s="759">
        <f>P180*Q180%</f>
        <v>17211.25</v>
      </c>
      <c r="S180" s="759">
        <f>R180/'Исп. коэффициенты'!F46</f>
        <v>19.011737597426698</v>
      </c>
      <c r="T180" s="755" t="s">
        <v>1435</v>
      </c>
      <c r="U180" s="756">
        <v>6785401.3499999996</v>
      </c>
      <c r="V180" s="785">
        <f>'Исп. коэффициенты'!E124</f>
        <v>2978.5</v>
      </c>
      <c r="W180" s="761">
        <f>'Исп. коэффициенты'!D124</f>
        <v>1.3599999999999999E-2</v>
      </c>
      <c r="X180" s="760">
        <f>U180*W180</f>
        <v>92281.45835999999</v>
      </c>
      <c r="Y180" s="759">
        <f>X180/'Исп. коэффициенты'!E46/2</f>
        <v>4.2472967570827658</v>
      </c>
      <c r="Z180" s="759"/>
      <c r="AA180" s="755"/>
      <c r="AB180" s="755"/>
      <c r="AC180" s="773"/>
      <c r="AD180" s="802"/>
      <c r="AF180" s="821"/>
      <c r="AG180" s="802"/>
      <c r="AH180" s="805"/>
      <c r="AI180" s="805"/>
      <c r="AJ180" s="822"/>
      <c r="AK180" s="805"/>
      <c r="AL180" s="806"/>
      <c r="AM180" s="805"/>
      <c r="AN180" s="805"/>
      <c r="AO180" s="807"/>
      <c r="AP180" s="805"/>
      <c r="AQ180" s="805"/>
      <c r="AR180" s="807"/>
      <c r="AS180" s="807"/>
      <c r="AT180" s="808"/>
      <c r="AU180" s="805"/>
      <c r="AV180" s="807"/>
      <c r="AW180" s="802"/>
      <c r="AX180" s="802"/>
      <c r="AY180" s="802"/>
      <c r="AZ180" s="802"/>
      <c r="BA180" s="802"/>
    </row>
    <row r="181" spans="1:53" s="803" customFormat="1" x14ac:dyDescent="0.25">
      <c r="A181" s="1122"/>
      <c r="B181" s="774" t="s">
        <v>1178</v>
      </c>
      <c r="C181" s="753"/>
      <c r="D181" s="820"/>
      <c r="E181" s="767" t="s">
        <v>1439</v>
      </c>
      <c r="F181" s="768" t="s">
        <v>1438</v>
      </c>
      <c r="G181" s="769">
        <v>0.27</v>
      </c>
      <c r="H181" s="768">
        <v>0.01</v>
      </c>
      <c r="I181" s="775">
        <f t="shared" si="8"/>
        <v>2.7000000000000001E-3</v>
      </c>
      <c r="J181" s="758" t="s">
        <v>1445</v>
      </c>
      <c r="K181" s="760">
        <v>2</v>
      </c>
      <c r="L181" s="776">
        <v>95</v>
      </c>
      <c r="M181" s="771">
        <v>2</v>
      </c>
      <c r="N181" s="790">
        <f>L181/'Исп. коэффициенты'!E46*C185</f>
        <v>8.7448377841796137E-3</v>
      </c>
      <c r="O181" s="759"/>
      <c r="P181" s="759"/>
      <c r="Q181" s="759"/>
      <c r="R181" s="759"/>
      <c r="S181" s="759"/>
      <c r="T181" s="759"/>
      <c r="U181" s="759"/>
      <c r="V181" s="759"/>
      <c r="W181" s="759"/>
      <c r="X181" s="759"/>
      <c r="Y181" s="759"/>
      <c r="Z181" s="759"/>
      <c r="AA181" s="755"/>
      <c r="AB181" s="755"/>
      <c r="AC181" s="773"/>
      <c r="AD181" s="802"/>
      <c r="AF181" s="821"/>
      <c r="AG181" s="802"/>
      <c r="AH181" s="805"/>
      <c r="AI181" s="805"/>
      <c r="AJ181" s="822"/>
      <c r="AK181" s="805"/>
      <c r="AL181" s="806"/>
      <c r="AM181" s="824"/>
      <c r="AN181" s="805"/>
      <c r="AO181" s="807"/>
      <c r="AP181" s="805"/>
      <c r="AQ181" s="805"/>
      <c r="AR181" s="807"/>
      <c r="AS181" s="807"/>
      <c r="AT181" s="805"/>
      <c r="AU181" s="805"/>
      <c r="AV181" s="807"/>
      <c r="AW181" s="802"/>
      <c r="AX181" s="802"/>
      <c r="AY181" s="802"/>
      <c r="AZ181" s="802"/>
      <c r="BA181" s="802"/>
    </row>
    <row r="182" spans="1:53" s="803" customFormat="1" ht="12.75" customHeight="1" x14ac:dyDescent="0.25">
      <c r="A182" s="1122"/>
      <c r="B182" s="754" t="s">
        <v>1179</v>
      </c>
      <c r="C182" s="788">
        <f>C162</f>
        <v>23.394911799665778</v>
      </c>
      <c r="D182" s="820"/>
      <c r="E182" s="767"/>
      <c r="F182" s="768"/>
      <c r="G182" s="769"/>
      <c r="H182" s="769"/>
      <c r="I182" s="770"/>
      <c r="J182" s="758" t="s">
        <v>1513</v>
      </c>
      <c r="K182" s="760">
        <v>2</v>
      </c>
      <c r="L182" s="760">
        <v>25</v>
      </c>
      <c r="M182" s="771">
        <v>0.5</v>
      </c>
      <c r="N182" s="790">
        <f>L182/'Исп. коэффициенты'!E46*C185</f>
        <v>2.3012731010998984E-3</v>
      </c>
      <c r="O182" s="759"/>
      <c r="P182" s="759"/>
      <c r="Q182" s="759"/>
      <c r="R182" s="759"/>
      <c r="S182" s="759"/>
      <c r="T182" s="759"/>
      <c r="U182" s="759"/>
      <c r="V182" s="759"/>
      <c r="W182" s="759"/>
      <c r="X182" s="759"/>
      <c r="Y182" s="759"/>
      <c r="Z182" s="759"/>
      <c r="AA182" s="755"/>
      <c r="AB182" s="755"/>
      <c r="AC182" s="773"/>
      <c r="AD182" s="802"/>
      <c r="AF182" s="821"/>
      <c r="AG182" s="802"/>
      <c r="AH182" s="805"/>
      <c r="AI182" s="805"/>
      <c r="AJ182" s="822"/>
      <c r="AK182" s="805"/>
      <c r="AL182" s="806"/>
      <c r="AM182" s="805"/>
      <c r="AN182" s="805"/>
      <c r="AO182" s="807"/>
      <c r="AP182" s="805"/>
      <c r="AQ182" s="805"/>
      <c r="AR182" s="807"/>
      <c r="AS182" s="807"/>
      <c r="AT182" s="805"/>
      <c r="AU182" s="805"/>
      <c r="AV182" s="807"/>
      <c r="AW182" s="802"/>
      <c r="AX182" s="802"/>
      <c r="AY182" s="802"/>
      <c r="AZ182" s="802"/>
      <c r="BA182" s="802"/>
    </row>
    <row r="183" spans="1:53" s="803" customFormat="1" ht="12.75" customHeight="1" x14ac:dyDescent="0.25">
      <c r="A183" s="1122"/>
      <c r="B183" s="754" t="s">
        <v>1180</v>
      </c>
      <c r="C183" s="789"/>
      <c r="D183" s="820"/>
      <c r="E183" s="767"/>
      <c r="F183" s="768"/>
      <c r="G183" s="769"/>
      <c r="H183" s="768"/>
      <c r="I183" s="770"/>
      <c r="J183" s="758"/>
      <c r="K183" s="760"/>
      <c r="L183" s="760"/>
      <c r="M183" s="760"/>
      <c r="N183" s="760"/>
      <c r="O183" s="759"/>
      <c r="P183" s="759"/>
      <c r="Q183" s="759"/>
      <c r="R183" s="759"/>
      <c r="S183" s="759"/>
      <c r="T183" s="759"/>
      <c r="U183" s="759"/>
      <c r="V183" s="759"/>
      <c r="W183" s="759"/>
      <c r="X183" s="759"/>
      <c r="Y183" s="759"/>
      <c r="Z183" s="759"/>
      <c r="AA183" s="755"/>
      <c r="AB183" s="755"/>
      <c r="AC183" s="773"/>
      <c r="AD183" s="802"/>
      <c r="AF183" s="821"/>
      <c r="AG183" s="802"/>
      <c r="AH183" s="805"/>
      <c r="AI183" s="805"/>
      <c r="AJ183" s="822"/>
      <c r="AK183" s="805"/>
      <c r="AL183" s="806"/>
      <c r="AM183" s="805"/>
      <c r="AN183" s="805"/>
      <c r="AO183" s="807"/>
      <c r="AP183" s="805"/>
      <c r="AQ183" s="805"/>
      <c r="AR183" s="807"/>
      <c r="AS183" s="807"/>
      <c r="AT183" s="805"/>
      <c r="AU183" s="805"/>
      <c r="AV183" s="807"/>
      <c r="AW183" s="802"/>
      <c r="AX183" s="802"/>
      <c r="AY183" s="802"/>
      <c r="AZ183" s="802"/>
      <c r="BA183" s="802"/>
    </row>
    <row r="184" spans="1:53" s="803" customFormat="1" ht="12.75" customHeight="1" x14ac:dyDescent="0.25">
      <c r="A184" s="1122"/>
      <c r="B184" s="774" t="s">
        <v>1178</v>
      </c>
      <c r="C184" s="784"/>
      <c r="D184" s="820"/>
      <c r="E184" s="767" t="s">
        <v>1442</v>
      </c>
      <c r="F184" s="768" t="s">
        <v>1443</v>
      </c>
      <c r="G184" s="769">
        <v>419.5</v>
      </c>
      <c r="H184" s="768">
        <v>1E-3</v>
      </c>
      <c r="I184" s="770">
        <f t="shared" ref="I184:I185" si="9">G184*H184</f>
        <v>0.41949999999999998</v>
      </c>
      <c r="J184" s="758"/>
      <c r="K184" s="760"/>
      <c r="L184" s="760"/>
      <c r="M184" s="760"/>
      <c r="N184" s="760"/>
      <c r="O184" s="759"/>
      <c r="P184" s="759"/>
      <c r="Q184" s="759"/>
      <c r="R184" s="759"/>
      <c r="S184" s="759"/>
      <c r="T184" s="759"/>
      <c r="U184" s="759"/>
      <c r="V184" s="759"/>
      <c r="W184" s="759"/>
      <c r="X184" s="759"/>
      <c r="Y184" s="759"/>
      <c r="Z184" s="759"/>
      <c r="AA184" s="755"/>
      <c r="AB184" s="755"/>
      <c r="AC184" s="773"/>
      <c r="AD184" s="802"/>
      <c r="AF184" s="821"/>
      <c r="AG184" s="802"/>
      <c r="AH184" s="805"/>
      <c r="AI184" s="805"/>
      <c r="AJ184" s="827"/>
      <c r="AK184" s="805"/>
      <c r="AL184" s="806"/>
      <c r="AM184" s="805"/>
      <c r="AN184" s="805"/>
      <c r="AO184" s="807"/>
      <c r="AP184" s="805"/>
      <c r="AQ184" s="805"/>
      <c r="AR184" s="807"/>
      <c r="AS184" s="807"/>
      <c r="AT184" s="805"/>
      <c r="AU184" s="805"/>
      <c r="AV184" s="807"/>
      <c r="AW184" s="802"/>
      <c r="AX184" s="802"/>
      <c r="AY184" s="802"/>
      <c r="AZ184" s="802"/>
      <c r="BA184" s="802"/>
    </row>
    <row r="185" spans="1:53" s="803" customFormat="1" ht="12.75" customHeight="1" x14ac:dyDescent="0.25">
      <c r="A185" s="1122"/>
      <c r="B185" s="754" t="s">
        <v>1179</v>
      </c>
      <c r="C185" s="784">
        <v>1</v>
      </c>
      <c r="D185" s="820"/>
      <c r="E185" s="767" t="s">
        <v>1444</v>
      </c>
      <c r="F185" s="768" t="s">
        <v>1443</v>
      </c>
      <c r="G185" s="769">
        <v>872</v>
      </c>
      <c r="H185" s="768">
        <v>2E-3</v>
      </c>
      <c r="I185" s="770">
        <f t="shared" si="9"/>
        <v>1.744</v>
      </c>
      <c r="J185" s="758"/>
      <c r="K185" s="760"/>
      <c r="L185" s="760"/>
      <c r="M185" s="760"/>
      <c r="N185" s="760"/>
      <c r="O185" s="759"/>
      <c r="P185" s="759"/>
      <c r="Q185" s="759"/>
      <c r="R185" s="759"/>
      <c r="S185" s="759"/>
      <c r="T185" s="759"/>
      <c r="U185" s="759"/>
      <c r="V185" s="759"/>
      <c r="W185" s="759"/>
      <c r="X185" s="759"/>
      <c r="Y185" s="759"/>
      <c r="Z185" s="759"/>
      <c r="AA185" s="755"/>
      <c r="AB185" s="755"/>
      <c r="AC185" s="773"/>
      <c r="AD185" s="802"/>
      <c r="AF185" s="821"/>
      <c r="AG185" s="802"/>
      <c r="AH185" s="805"/>
      <c r="AI185" s="805"/>
      <c r="AJ185" s="827"/>
      <c r="AK185" s="805"/>
      <c r="AL185" s="806"/>
      <c r="AM185" s="805"/>
      <c r="AN185" s="805"/>
      <c r="AO185" s="807"/>
      <c r="AP185" s="805"/>
      <c r="AQ185" s="805"/>
      <c r="AR185" s="807"/>
      <c r="AS185" s="807"/>
      <c r="AT185" s="805"/>
      <c r="AU185" s="805"/>
      <c r="AV185" s="807"/>
      <c r="AW185" s="802"/>
      <c r="AX185" s="802"/>
      <c r="AY185" s="802"/>
      <c r="AZ185" s="802"/>
      <c r="BA185" s="802"/>
    </row>
    <row r="186" spans="1:53" s="803" customFormat="1" ht="12.75" customHeight="1" x14ac:dyDescent="0.25">
      <c r="A186" s="1122"/>
      <c r="B186" s="782" t="s">
        <v>1181</v>
      </c>
      <c r="C186" s="788">
        <f>C181*C184+C182*C185</f>
        <v>23.394911799665778</v>
      </c>
      <c r="D186" s="820"/>
      <c r="E186" s="767"/>
      <c r="F186" s="781"/>
      <c r="G186" s="769"/>
      <c r="H186" s="768"/>
      <c r="I186" s="770"/>
      <c r="J186" s="758"/>
      <c r="K186" s="828"/>
      <c r="L186" s="760"/>
      <c r="M186" s="760"/>
      <c r="N186" s="760"/>
      <c r="O186" s="759"/>
      <c r="P186" s="759"/>
      <c r="Q186" s="759"/>
      <c r="R186" s="759"/>
      <c r="S186" s="759"/>
      <c r="T186" s="759"/>
      <c r="U186" s="759"/>
      <c r="V186" s="759"/>
      <c r="W186" s="759"/>
      <c r="X186" s="759"/>
      <c r="Y186" s="759"/>
      <c r="Z186" s="759"/>
      <c r="AA186" s="755"/>
      <c r="AB186" s="755"/>
      <c r="AC186" s="773"/>
      <c r="AD186" s="802"/>
      <c r="AF186" s="821"/>
      <c r="AG186" s="802"/>
      <c r="AH186" s="805"/>
      <c r="AI186" s="805"/>
      <c r="AJ186" s="822"/>
      <c r="AK186" s="805"/>
      <c r="AL186" s="806"/>
      <c r="AM186" s="805"/>
      <c r="AN186" s="805"/>
      <c r="AO186" s="807"/>
      <c r="AP186" s="805"/>
      <c r="AQ186" s="805"/>
      <c r="AR186" s="807"/>
      <c r="AS186" s="807"/>
      <c r="AT186" s="805"/>
      <c r="AU186" s="805"/>
      <c r="AV186" s="807"/>
      <c r="AW186" s="802"/>
      <c r="AX186" s="802"/>
      <c r="AY186" s="802"/>
      <c r="AZ186" s="802"/>
      <c r="BA186" s="802"/>
    </row>
    <row r="187" spans="1:53" s="803" customFormat="1" ht="12.75" customHeight="1" x14ac:dyDescent="0.25">
      <c r="A187" s="1122"/>
      <c r="B187" s="782"/>
      <c r="C187" s="784"/>
      <c r="D187" s="829"/>
      <c r="E187" s="767"/>
      <c r="F187" s="781"/>
      <c r="G187" s="769"/>
      <c r="H187" s="768"/>
      <c r="I187" s="770"/>
      <c r="J187" s="758"/>
      <c r="K187" s="828"/>
      <c r="L187" s="760"/>
      <c r="M187" s="760"/>
      <c r="N187" s="760"/>
      <c r="O187" s="759"/>
      <c r="P187" s="759"/>
      <c r="Q187" s="759"/>
      <c r="R187" s="759"/>
      <c r="S187" s="759"/>
      <c r="T187" s="759"/>
      <c r="U187" s="759"/>
      <c r="V187" s="759"/>
      <c r="W187" s="759"/>
      <c r="X187" s="759"/>
      <c r="Y187" s="759"/>
      <c r="Z187" s="759"/>
      <c r="AA187" s="755"/>
      <c r="AB187" s="755"/>
      <c r="AC187" s="773"/>
      <c r="AD187" s="802"/>
      <c r="AF187" s="821"/>
      <c r="AG187" s="802"/>
      <c r="AH187" s="805"/>
      <c r="AI187" s="805"/>
      <c r="AJ187" s="827"/>
      <c r="AK187" s="805"/>
      <c r="AL187" s="806"/>
      <c r="AM187" s="805"/>
      <c r="AN187" s="805"/>
      <c r="AO187" s="807"/>
      <c r="AP187" s="805"/>
      <c r="AQ187" s="805"/>
      <c r="AR187" s="807"/>
      <c r="AS187" s="807"/>
      <c r="AT187" s="805"/>
      <c r="AU187" s="805"/>
      <c r="AV187" s="807"/>
      <c r="AW187" s="802"/>
      <c r="AX187" s="802"/>
      <c r="AY187" s="802"/>
      <c r="AZ187" s="802"/>
      <c r="BA187" s="802"/>
    </row>
    <row r="188" spans="1:53" s="803" customFormat="1" ht="56.25" customHeight="1" x14ac:dyDescent="0.25">
      <c r="A188" s="1122" t="s">
        <v>2213</v>
      </c>
      <c r="B188" s="788" t="s">
        <v>2208</v>
      </c>
      <c r="C188" s="788"/>
      <c r="D188" s="800"/>
      <c r="E188" s="791" t="s">
        <v>488</v>
      </c>
      <c r="F188" s="792" t="s">
        <v>837</v>
      </c>
      <c r="G188" s="788" t="s">
        <v>489</v>
      </c>
      <c r="H188" s="791" t="s">
        <v>1170</v>
      </c>
      <c r="I188" s="792" t="s">
        <v>838</v>
      </c>
      <c r="J188" s="793" t="s">
        <v>1171</v>
      </c>
      <c r="K188" s="793" t="s">
        <v>490</v>
      </c>
      <c r="L188" s="794" t="s">
        <v>489</v>
      </c>
      <c r="M188" s="793" t="s">
        <v>1172</v>
      </c>
      <c r="N188" s="792" t="s">
        <v>838</v>
      </c>
      <c r="O188" s="793" t="s">
        <v>1171</v>
      </c>
      <c r="P188" s="793" t="s">
        <v>826</v>
      </c>
      <c r="Q188" s="793" t="s">
        <v>1173</v>
      </c>
      <c r="R188" s="793" t="s">
        <v>1174</v>
      </c>
      <c r="S188" s="793" t="s">
        <v>839</v>
      </c>
      <c r="T188" s="793" t="s">
        <v>1171</v>
      </c>
      <c r="U188" s="793" t="s">
        <v>1392</v>
      </c>
      <c r="V188" s="793" t="s">
        <v>841</v>
      </c>
      <c r="W188" s="795" t="s">
        <v>1173</v>
      </c>
      <c r="X188" s="793" t="s">
        <v>1394</v>
      </c>
      <c r="Y188" s="793" t="s">
        <v>839</v>
      </c>
      <c r="Z188" s="796"/>
      <c r="AA188" s="755"/>
      <c r="AB188" s="755"/>
      <c r="AC188" s="773"/>
      <c r="AD188" s="802"/>
      <c r="AF188" s="804"/>
      <c r="AG188" s="802"/>
      <c r="AH188" s="805"/>
      <c r="AI188" s="805"/>
      <c r="AJ188" s="805"/>
      <c r="AK188" s="805"/>
      <c r="AL188" s="806"/>
      <c r="AM188" s="805"/>
      <c r="AN188" s="805"/>
      <c r="AO188" s="807"/>
      <c r="AP188" s="805"/>
      <c r="AQ188" s="808"/>
      <c r="AR188" s="808"/>
      <c r="AS188" s="808"/>
      <c r="AT188" s="805"/>
      <c r="AU188" s="805"/>
      <c r="AV188" s="807"/>
      <c r="AW188" s="802"/>
      <c r="AX188" s="802"/>
      <c r="AY188" s="802"/>
      <c r="AZ188" s="802"/>
      <c r="BA188" s="802"/>
    </row>
    <row r="189" spans="1:53" s="803" customFormat="1" ht="12" customHeight="1" x14ac:dyDescent="0.25">
      <c r="A189" s="1122"/>
      <c r="B189" s="752" t="s">
        <v>1175</v>
      </c>
      <c r="C189" s="788">
        <f>C196</f>
        <v>86.56117365876338</v>
      </c>
      <c r="D189" s="800">
        <f>C189*$D$5</f>
        <v>17.485357079070205</v>
      </c>
      <c r="E189" s="754" t="s">
        <v>1176</v>
      </c>
      <c r="F189" s="810"/>
      <c r="G189" s="756"/>
      <c r="H189" s="756"/>
      <c r="I189" s="757">
        <f>SUM(I190:I197)</f>
        <v>2.1736</v>
      </c>
      <c r="J189" s="758" t="s">
        <v>1176</v>
      </c>
      <c r="K189" s="811"/>
      <c r="L189" s="759"/>
      <c r="M189" s="759"/>
      <c r="N189" s="760">
        <f>SUM(N190:N197)</f>
        <v>0.29631192449762289</v>
      </c>
      <c r="O189" s="759" t="s">
        <v>1176</v>
      </c>
      <c r="P189" s="759"/>
      <c r="Q189" s="812"/>
      <c r="R189" s="813"/>
      <c r="S189" s="760">
        <f>SUM(S190:S197)</f>
        <v>19.011737597426698</v>
      </c>
      <c r="T189" s="760"/>
      <c r="U189" s="760"/>
      <c r="V189" s="760"/>
      <c r="W189" s="760"/>
      <c r="X189" s="760"/>
      <c r="Y189" s="760">
        <f>SUM(Y190:Y197)</f>
        <v>4.2472967570827658</v>
      </c>
      <c r="Z189" s="762">
        <f>(C189+D189+I189+N189+S189+Y189)*$Z$5</f>
        <v>168.73247804386813</v>
      </c>
      <c r="AA189" s="763">
        <f>C189+D189+I189+N189+S189+Y189+Z189</f>
        <v>298.50795506070881</v>
      </c>
      <c r="AB189" s="764">
        <v>0.25</v>
      </c>
      <c r="AC189" s="765">
        <f>AA189*(1+AB189)</f>
        <v>373.13494382588601</v>
      </c>
      <c r="AD189" s="814"/>
      <c r="AF189" s="804"/>
      <c r="AG189" s="802"/>
      <c r="AH189" s="805"/>
      <c r="AI189" s="808"/>
      <c r="AJ189" s="815"/>
      <c r="AK189" s="816"/>
      <c r="AL189" s="806"/>
      <c r="AM189" s="817"/>
      <c r="AN189" s="818"/>
      <c r="AO189" s="817"/>
      <c r="AP189" s="808"/>
      <c r="AQ189" s="808"/>
      <c r="AR189" s="808"/>
      <c r="AS189" s="808"/>
      <c r="AT189" s="808"/>
      <c r="AU189" s="817"/>
      <c r="AV189" s="817"/>
      <c r="AW189" s="819"/>
      <c r="AX189" s="802"/>
      <c r="AY189" s="802"/>
      <c r="AZ189" s="802"/>
      <c r="BA189" s="802"/>
    </row>
    <row r="190" spans="1:53" s="803" customFormat="1" ht="12.75" customHeight="1" x14ac:dyDescent="0.25">
      <c r="A190" s="1122"/>
      <c r="B190" s="766" t="s">
        <v>1177</v>
      </c>
      <c r="C190" s="788"/>
      <c r="D190" s="820"/>
      <c r="E190" s="767" t="s">
        <v>1437</v>
      </c>
      <c r="F190" s="768" t="s">
        <v>1438</v>
      </c>
      <c r="G190" s="769">
        <v>0.74</v>
      </c>
      <c r="H190" s="768">
        <v>0.01</v>
      </c>
      <c r="I190" s="770">
        <f t="shared" ref="I190:I191" si="10">G190*H190</f>
        <v>7.4000000000000003E-3</v>
      </c>
      <c r="J190" s="758" t="s">
        <v>1291</v>
      </c>
      <c r="K190" s="771">
        <v>2</v>
      </c>
      <c r="L190" s="772">
        <v>750</v>
      </c>
      <c r="M190" s="771">
        <v>2</v>
      </c>
      <c r="N190" s="790">
        <f>L190/'Исп. коэффициенты'!E46*C195</f>
        <v>0.25544131422208871</v>
      </c>
      <c r="O190" s="759" t="s">
        <v>2209</v>
      </c>
      <c r="P190" s="759">
        <v>87500</v>
      </c>
      <c r="Q190" s="759">
        <v>19.670000000000002</v>
      </c>
      <c r="R190" s="759">
        <f>P190*Q190%</f>
        <v>17211.25</v>
      </c>
      <c r="S190" s="759">
        <f>R190/'Исп. коэффициенты'!F46</f>
        <v>19.011737597426698</v>
      </c>
      <c r="T190" s="755" t="s">
        <v>1435</v>
      </c>
      <c r="U190" s="756">
        <v>6785401.3499999996</v>
      </c>
      <c r="V190" s="785">
        <f>'Исп. коэффициенты'!E124</f>
        <v>2978.5</v>
      </c>
      <c r="W190" s="761">
        <f>'Исп. коэффициенты'!D124</f>
        <v>1.3599999999999999E-2</v>
      </c>
      <c r="X190" s="760">
        <f>U190*W190</f>
        <v>92281.45835999999</v>
      </c>
      <c r="Y190" s="759">
        <f>X190/'Исп. коэффициенты'!E46/2</f>
        <v>4.2472967570827658</v>
      </c>
      <c r="Z190" s="759"/>
      <c r="AA190" s="755"/>
      <c r="AB190" s="755"/>
      <c r="AC190" s="773"/>
      <c r="AD190" s="802"/>
      <c r="AF190" s="821"/>
      <c r="AG190" s="802"/>
      <c r="AH190" s="805"/>
      <c r="AI190" s="805"/>
      <c r="AJ190" s="822"/>
      <c r="AK190" s="805"/>
      <c r="AL190" s="806"/>
      <c r="AM190" s="805"/>
      <c r="AN190" s="805"/>
      <c r="AO190" s="807"/>
      <c r="AP190" s="805"/>
      <c r="AQ190" s="805"/>
      <c r="AR190" s="807"/>
      <c r="AS190" s="807"/>
      <c r="AT190" s="808"/>
      <c r="AU190" s="805"/>
      <c r="AV190" s="807"/>
      <c r="AW190" s="802"/>
      <c r="AX190" s="802"/>
      <c r="AY190" s="802"/>
      <c r="AZ190" s="802"/>
      <c r="BA190" s="802"/>
    </row>
    <row r="191" spans="1:53" s="803" customFormat="1" x14ac:dyDescent="0.25">
      <c r="A191" s="1122"/>
      <c r="B191" s="774" t="s">
        <v>1178</v>
      </c>
      <c r="C191" s="753"/>
      <c r="D191" s="820"/>
      <c r="E191" s="767" t="s">
        <v>1439</v>
      </c>
      <c r="F191" s="768" t="s">
        <v>1438</v>
      </c>
      <c r="G191" s="769">
        <v>0.27</v>
      </c>
      <c r="H191" s="768">
        <v>0.01</v>
      </c>
      <c r="I191" s="775">
        <f t="shared" si="10"/>
        <v>2.7000000000000001E-3</v>
      </c>
      <c r="J191" s="758" t="s">
        <v>1445</v>
      </c>
      <c r="K191" s="760">
        <v>2</v>
      </c>
      <c r="L191" s="776">
        <v>95</v>
      </c>
      <c r="M191" s="771">
        <v>2</v>
      </c>
      <c r="N191" s="790">
        <f>L191/'Исп. коэффициенты'!E46*C195</f>
        <v>3.2355899801464569E-2</v>
      </c>
      <c r="O191" s="759"/>
      <c r="P191" s="759"/>
      <c r="Q191" s="759"/>
      <c r="R191" s="759"/>
      <c r="S191" s="759"/>
      <c r="T191" s="759"/>
      <c r="U191" s="759"/>
      <c r="V191" s="759"/>
      <c r="W191" s="759"/>
      <c r="X191" s="759"/>
      <c r="Y191" s="759"/>
      <c r="Z191" s="759"/>
      <c r="AA191" s="755"/>
      <c r="AB191" s="755"/>
      <c r="AC191" s="773"/>
      <c r="AD191" s="802"/>
      <c r="AF191" s="821"/>
      <c r="AG191" s="802"/>
      <c r="AH191" s="805"/>
      <c r="AI191" s="805"/>
      <c r="AJ191" s="822"/>
      <c r="AK191" s="805"/>
      <c r="AL191" s="806"/>
      <c r="AM191" s="824"/>
      <c r="AN191" s="805"/>
      <c r="AO191" s="807"/>
      <c r="AP191" s="805"/>
      <c r="AQ191" s="805"/>
      <c r="AR191" s="807"/>
      <c r="AS191" s="807"/>
      <c r="AT191" s="805"/>
      <c r="AU191" s="805"/>
      <c r="AV191" s="807"/>
      <c r="AW191" s="802"/>
      <c r="AX191" s="802"/>
      <c r="AY191" s="802"/>
      <c r="AZ191" s="802"/>
      <c r="BA191" s="802"/>
    </row>
    <row r="192" spans="1:53" s="803" customFormat="1" ht="12.75" customHeight="1" x14ac:dyDescent="0.25">
      <c r="A192" s="1122"/>
      <c r="B192" s="754" t="s">
        <v>1179</v>
      </c>
      <c r="C192" s="788">
        <f>C172</f>
        <v>23.394911799665778</v>
      </c>
      <c r="D192" s="820"/>
      <c r="E192" s="767"/>
      <c r="F192" s="768"/>
      <c r="G192" s="769"/>
      <c r="H192" s="769"/>
      <c r="I192" s="770"/>
      <c r="J192" s="758" t="s">
        <v>1513</v>
      </c>
      <c r="K192" s="760">
        <v>2</v>
      </c>
      <c r="L192" s="760">
        <v>25</v>
      </c>
      <c r="M192" s="771">
        <v>0.5</v>
      </c>
      <c r="N192" s="790">
        <f>L192/'Исп. коэффициенты'!E46*C195</f>
        <v>8.5147104740696238E-3</v>
      </c>
      <c r="O192" s="759"/>
      <c r="P192" s="759"/>
      <c r="Q192" s="759"/>
      <c r="R192" s="759"/>
      <c r="S192" s="759"/>
      <c r="T192" s="759"/>
      <c r="U192" s="759"/>
      <c r="V192" s="759"/>
      <c r="W192" s="759"/>
      <c r="X192" s="759"/>
      <c r="Y192" s="759"/>
      <c r="Z192" s="759"/>
      <c r="AA192" s="755"/>
      <c r="AB192" s="755"/>
      <c r="AC192" s="773"/>
      <c r="AD192" s="802"/>
      <c r="AF192" s="821"/>
      <c r="AG192" s="802"/>
      <c r="AH192" s="805"/>
      <c r="AI192" s="805"/>
      <c r="AJ192" s="822"/>
      <c r="AK192" s="805"/>
      <c r="AL192" s="806"/>
      <c r="AM192" s="805"/>
      <c r="AN192" s="805"/>
      <c r="AO192" s="807"/>
      <c r="AP192" s="805"/>
      <c r="AQ192" s="805"/>
      <c r="AR192" s="807"/>
      <c r="AS192" s="807"/>
      <c r="AT192" s="805"/>
      <c r="AU192" s="805"/>
      <c r="AV192" s="807"/>
      <c r="AW192" s="802"/>
      <c r="AX192" s="802"/>
      <c r="AY192" s="802"/>
      <c r="AZ192" s="802"/>
      <c r="BA192" s="802"/>
    </row>
    <row r="193" spans="1:53" s="803" customFormat="1" ht="12.75" customHeight="1" x14ac:dyDescent="0.25">
      <c r="A193" s="1122"/>
      <c r="B193" s="754" t="s">
        <v>1180</v>
      </c>
      <c r="C193" s="789"/>
      <c r="D193" s="820"/>
      <c r="E193" s="767"/>
      <c r="F193" s="768"/>
      <c r="G193" s="769"/>
      <c r="H193" s="768"/>
      <c r="I193" s="770"/>
      <c r="J193" s="758"/>
      <c r="K193" s="760"/>
      <c r="L193" s="760"/>
      <c r="M193" s="760"/>
      <c r="N193" s="760"/>
      <c r="O193" s="759"/>
      <c r="P193" s="759"/>
      <c r="Q193" s="759"/>
      <c r="R193" s="759"/>
      <c r="S193" s="759"/>
      <c r="T193" s="759"/>
      <c r="U193" s="759"/>
      <c r="V193" s="759"/>
      <c r="W193" s="759"/>
      <c r="X193" s="759"/>
      <c r="Y193" s="759"/>
      <c r="Z193" s="759"/>
      <c r="AA193" s="755"/>
      <c r="AB193" s="755"/>
      <c r="AC193" s="773"/>
      <c r="AD193" s="802"/>
      <c r="AF193" s="821"/>
      <c r="AG193" s="802"/>
      <c r="AH193" s="805"/>
      <c r="AI193" s="805"/>
      <c r="AJ193" s="822"/>
      <c r="AK193" s="805"/>
      <c r="AL193" s="806"/>
      <c r="AM193" s="805"/>
      <c r="AN193" s="805"/>
      <c r="AO193" s="807"/>
      <c r="AP193" s="805"/>
      <c r="AQ193" s="805"/>
      <c r="AR193" s="807"/>
      <c r="AS193" s="807"/>
      <c r="AT193" s="805"/>
      <c r="AU193" s="805"/>
      <c r="AV193" s="807"/>
      <c r="AW193" s="802"/>
      <c r="AX193" s="802"/>
      <c r="AY193" s="802"/>
      <c r="AZ193" s="802"/>
      <c r="BA193" s="802"/>
    </row>
    <row r="194" spans="1:53" s="803" customFormat="1" ht="12.75" customHeight="1" x14ac:dyDescent="0.25">
      <c r="A194" s="1122"/>
      <c r="B194" s="774" t="s">
        <v>1178</v>
      </c>
      <c r="C194" s="784"/>
      <c r="D194" s="820"/>
      <c r="E194" s="767" t="s">
        <v>1442</v>
      </c>
      <c r="F194" s="768" t="s">
        <v>1443</v>
      </c>
      <c r="G194" s="769">
        <v>419.5</v>
      </c>
      <c r="H194" s="768">
        <v>1E-3</v>
      </c>
      <c r="I194" s="770">
        <f t="shared" ref="I194:I195" si="11">G194*H194</f>
        <v>0.41949999999999998</v>
      </c>
      <c r="J194" s="758"/>
      <c r="K194" s="760"/>
      <c r="L194" s="760"/>
      <c r="M194" s="760"/>
      <c r="N194" s="760"/>
      <c r="O194" s="759"/>
      <c r="P194" s="759"/>
      <c r="Q194" s="759"/>
      <c r="R194" s="759"/>
      <c r="S194" s="759"/>
      <c r="T194" s="759"/>
      <c r="U194" s="759"/>
      <c r="V194" s="759"/>
      <c r="W194" s="759"/>
      <c r="X194" s="759"/>
      <c r="Y194" s="759"/>
      <c r="Z194" s="759"/>
      <c r="AA194" s="755"/>
      <c r="AB194" s="755"/>
      <c r="AC194" s="773"/>
      <c r="AD194" s="802"/>
      <c r="AF194" s="821"/>
      <c r="AG194" s="802"/>
      <c r="AH194" s="805"/>
      <c r="AI194" s="805"/>
      <c r="AJ194" s="827"/>
      <c r="AK194" s="805"/>
      <c r="AL194" s="806"/>
      <c r="AM194" s="805"/>
      <c r="AN194" s="805"/>
      <c r="AO194" s="807"/>
      <c r="AP194" s="805"/>
      <c r="AQ194" s="805"/>
      <c r="AR194" s="807"/>
      <c r="AS194" s="807"/>
      <c r="AT194" s="805"/>
      <c r="AU194" s="805"/>
      <c r="AV194" s="807"/>
      <c r="AW194" s="802"/>
      <c r="AX194" s="802"/>
      <c r="AY194" s="802"/>
      <c r="AZ194" s="802"/>
      <c r="BA194" s="802"/>
    </row>
    <row r="195" spans="1:53" s="803" customFormat="1" ht="12.75" customHeight="1" x14ac:dyDescent="0.25">
      <c r="A195" s="1122"/>
      <c r="B195" s="754" t="s">
        <v>1179</v>
      </c>
      <c r="C195" s="784">
        <v>3.7</v>
      </c>
      <c r="D195" s="820"/>
      <c r="E195" s="767" t="s">
        <v>1444</v>
      </c>
      <c r="F195" s="768" t="s">
        <v>1443</v>
      </c>
      <c r="G195" s="769">
        <v>872</v>
      </c>
      <c r="H195" s="768">
        <v>2E-3</v>
      </c>
      <c r="I195" s="770">
        <f t="shared" si="11"/>
        <v>1.744</v>
      </c>
      <c r="J195" s="758"/>
      <c r="K195" s="760"/>
      <c r="L195" s="760"/>
      <c r="M195" s="760"/>
      <c r="N195" s="760"/>
      <c r="O195" s="759"/>
      <c r="P195" s="759"/>
      <c r="Q195" s="759"/>
      <c r="R195" s="759"/>
      <c r="S195" s="759"/>
      <c r="T195" s="759"/>
      <c r="U195" s="759"/>
      <c r="V195" s="759"/>
      <c r="W195" s="759"/>
      <c r="X195" s="759"/>
      <c r="Y195" s="759"/>
      <c r="Z195" s="759"/>
      <c r="AA195" s="755"/>
      <c r="AB195" s="755"/>
      <c r="AC195" s="773"/>
      <c r="AD195" s="802"/>
      <c r="AF195" s="821"/>
      <c r="AG195" s="802"/>
      <c r="AH195" s="805"/>
      <c r="AI195" s="805"/>
      <c r="AJ195" s="827"/>
      <c r="AK195" s="805"/>
      <c r="AL195" s="806"/>
      <c r="AM195" s="805"/>
      <c r="AN195" s="805"/>
      <c r="AO195" s="807"/>
      <c r="AP195" s="805"/>
      <c r="AQ195" s="805"/>
      <c r="AR195" s="807"/>
      <c r="AS195" s="807"/>
      <c r="AT195" s="805"/>
      <c r="AU195" s="805"/>
      <c r="AV195" s="807"/>
      <c r="AW195" s="802"/>
      <c r="AX195" s="802"/>
      <c r="AY195" s="802"/>
      <c r="AZ195" s="802"/>
      <c r="BA195" s="802"/>
    </row>
    <row r="196" spans="1:53" s="803" customFormat="1" ht="12.75" customHeight="1" x14ac:dyDescent="0.25">
      <c r="A196" s="1122"/>
      <c r="B196" s="782" t="s">
        <v>1181</v>
      </c>
      <c r="C196" s="788">
        <f>C191*C194+C192*C195</f>
        <v>86.56117365876338</v>
      </c>
      <c r="D196" s="820"/>
      <c r="E196" s="767"/>
      <c r="F196" s="781"/>
      <c r="G196" s="769"/>
      <c r="H196" s="768"/>
      <c r="I196" s="770"/>
      <c r="J196" s="758"/>
      <c r="K196" s="828"/>
      <c r="L196" s="760"/>
      <c r="M196" s="760"/>
      <c r="N196" s="760"/>
      <c r="O196" s="759"/>
      <c r="P196" s="759"/>
      <c r="Q196" s="759"/>
      <c r="R196" s="759"/>
      <c r="S196" s="759"/>
      <c r="T196" s="759"/>
      <c r="U196" s="759"/>
      <c r="V196" s="759"/>
      <c r="W196" s="759"/>
      <c r="X196" s="759"/>
      <c r="Y196" s="759"/>
      <c r="Z196" s="759"/>
      <c r="AA196" s="755"/>
      <c r="AB196" s="755"/>
      <c r="AC196" s="773"/>
      <c r="AD196" s="802"/>
      <c r="AF196" s="821"/>
      <c r="AG196" s="802"/>
      <c r="AH196" s="805"/>
      <c r="AI196" s="805"/>
      <c r="AJ196" s="822"/>
      <c r="AK196" s="805"/>
      <c r="AL196" s="806"/>
      <c r="AM196" s="805"/>
      <c r="AN196" s="805"/>
      <c r="AO196" s="807"/>
      <c r="AP196" s="805"/>
      <c r="AQ196" s="805"/>
      <c r="AR196" s="807"/>
      <c r="AS196" s="807"/>
      <c r="AT196" s="805"/>
      <c r="AU196" s="805"/>
      <c r="AV196" s="807"/>
      <c r="AW196" s="802"/>
      <c r="AX196" s="802"/>
      <c r="AY196" s="802"/>
      <c r="AZ196" s="802"/>
      <c r="BA196" s="802"/>
    </row>
    <row r="197" spans="1:53" s="803" customFormat="1" ht="12.75" customHeight="1" x14ac:dyDescent="0.25">
      <c r="A197" s="1122"/>
      <c r="B197" s="782"/>
      <c r="C197" s="784"/>
      <c r="D197" s="829"/>
      <c r="E197" s="767"/>
      <c r="F197" s="781"/>
      <c r="G197" s="769"/>
      <c r="H197" s="768"/>
      <c r="I197" s="770"/>
      <c r="J197" s="758"/>
      <c r="K197" s="828"/>
      <c r="L197" s="760"/>
      <c r="M197" s="760"/>
      <c r="N197" s="760"/>
      <c r="O197" s="759"/>
      <c r="P197" s="759"/>
      <c r="Q197" s="759"/>
      <c r="R197" s="759"/>
      <c r="S197" s="759"/>
      <c r="T197" s="759"/>
      <c r="U197" s="759"/>
      <c r="V197" s="759"/>
      <c r="W197" s="759"/>
      <c r="X197" s="759"/>
      <c r="Y197" s="759"/>
      <c r="Z197" s="759"/>
      <c r="AA197" s="755"/>
      <c r="AB197" s="755"/>
      <c r="AC197" s="773"/>
      <c r="AD197" s="802"/>
      <c r="AF197" s="821"/>
      <c r="AG197" s="802"/>
      <c r="AH197" s="805"/>
      <c r="AI197" s="805"/>
      <c r="AJ197" s="827"/>
      <c r="AK197" s="805"/>
      <c r="AL197" s="806"/>
      <c r="AM197" s="805"/>
      <c r="AN197" s="805"/>
      <c r="AO197" s="807"/>
      <c r="AP197" s="805"/>
      <c r="AQ197" s="805"/>
      <c r="AR197" s="807"/>
      <c r="AS197" s="807"/>
      <c r="AT197" s="805"/>
      <c r="AU197" s="805"/>
      <c r="AV197" s="807"/>
      <c r="AW197" s="802"/>
      <c r="AX197" s="802"/>
      <c r="AY197" s="802"/>
      <c r="AZ197" s="802"/>
      <c r="BA197" s="802"/>
    </row>
    <row r="198" spans="1:53" s="803" customFormat="1" ht="56.25" customHeight="1" x14ac:dyDescent="0.25">
      <c r="A198" s="1122" t="s">
        <v>2215</v>
      </c>
      <c r="B198" s="788" t="s">
        <v>2216</v>
      </c>
      <c r="C198" s="788"/>
      <c r="D198" s="800"/>
      <c r="E198" s="791" t="s">
        <v>488</v>
      </c>
      <c r="F198" s="792" t="s">
        <v>837</v>
      </c>
      <c r="G198" s="788" t="s">
        <v>489</v>
      </c>
      <c r="H198" s="791" t="s">
        <v>1170</v>
      </c>
      <c r="I198" s="792" t="s">
        <v>838</v>
      </c>
      <c r="J198" s="793" t="s">
        <v>1171</v>
      </c>
      <c r="K198" s="793" t="s">
        <v>490</v>
      </c>
      <c r="L198" s="794" t="s">
        <v>489</v>
      </c>
      <c r="M198" s="793" t="s">
        <v>1172</v>
      </c>
      <c r="N198" s="792" t="s">
        <v>838</v>
      </c>
      <c r="O198" s="793" t="s">
        <v>1171</v>
      </c>
      <c r="P198" s="793" t="s">
        <v>826</v>
      </c>
      <c r="Q198" s="793" t="s">
        <v>1173</v>
      </c>
      <c r="R198" s="793" t="s">
        <v>1174</v>
      </c>
      <c r="S198" s="793" t="s">
        <v>839</v>
      </c>
      <c r="T198" s="793" t="s">
        <v>1171</v>
      </c>
      <c r="U198" s="793" t="s">
        <v>1392</v>
      </c>
      <c r="V198" s="793" t="s">
        <v>841</v>
      </c>
      <c r="W198" s="795" t="s">
        <v>1173</v>
      </c>
      <c r="X198" s="793" t="s">
        <v>1394</v>
      </c>
      <c r="Y198" s="793" t="s">
        <v>839</v>
      </c>
      <c r="Z198" s="796"/>
      <c r="AA198" s="755"/>
      <c r="AB198" s="755"/>
      <c r="AC198" s="773"/>
      <c r="AD198" s="802"/>
      <c r="AF198" s="804"/>
      <c r="AG198" s="802"/>
      <c r="AH198" s="805"/>
      <c r="AI198" s="805"/>
      <c r="AJ198" s="805"/>
      <c r="AK198" s="805"/>
      <c r="AL198" s="806"/>
      <c r="AM198" s="805"/>
      <c r="AN198" s="805"/>
      <c r="AO198" s="807"/>
      <c r="AP198" s="805"/>
      <c r="AQ198" s="808"/>
      <c r="AR198" s="808"/>
      <c r="AS198" s="808"/>
      <c r="AT198" s="805"/>
      <c r="AU198" s="805"/>
      <c r="AV198" s="807"/>
      <c r="AW198" s="802"/>
      <c r="AX198" s="802"/>
      <c r="AY198" s="802"/>
      <c r="AZ198" s="802"/>
      <c r="BA198" s="802"/>
    </row>
    <row r="199" spans="1:53" s="803" customFormat="1" ht="12" customHeight="1" x14ac:dyDescent="0.25">
      <c r="A199" s="1122"/>
      <c r="B199" s="752" t="s">
        <v>1175</v>
      </c>
      <c r="C199" s="788">
        <f>C206</f>
        <v>70.184735398997333</v>
      </c>
      <c r="D199" s="800">
        <f>C199*$D$5</f>
        <v>14.177316550597462</v>
      </c>
      <c r="E199" s="754" t="s">
        <v>1176</v>
      </c>
      <c r="F199" s="810"/>
      <c r="G199" s="756"/>
      <c r="H199" s="756"/>
      <c r="I199" s="757">
        <f>SUM(I200:I207)</f>
        <v>2.1736</v>
      </c>
      <c r="J199" s="758" t="s">
        <v>1176</v>
      </c>
      <c r="K199" s="811"/>
      <c r="L199" s="759"/>
      <c r="M199" s="759"/>
      <c r="N199" s="760">
        <f>SUM(N200:N207)</f>
        <v>0.24025291175482938</v>
      </c>
      <c r="O199" s="759" t="s">
        <v>1176</v>
      </c>
      <c r="P199" s="759"/>
      <c r="Q199" s="812"/>
      <c r="R199" s="813"/>
      <c r="S199" s="760">
        <f>SUM(S200:S207)</f>
        <v>15.817765681059013</v>
      </c>
      <c r="T199" s="760"/>
      <c r="U199" s="760"/>
      <c r="V199" s="760"/>
      <c r="W199" s="760"/>
      <c r="X199" s="760"/>
      <c r="Y199" s="760">
        <f>SUM(Y200:Y207)</f>
        <v>4.2472967570827658</v>
      </c>
      <c r="Z199" s="762">
        <f>(C199+D199+I199+N199+S199+Y199)*$Z$5</f>
        <v>138.9133107690883</v>
      </c>
      <c r="AA199" s="763">
        <f>C199+D199+I199+N199+S199+Y199+Z199</f>
        <v>245.75427806857971</v>
      </c>
      <c r="AB199" s="764">
        <v>0.25</v>
      </c>
      <c r="AC199" s="765">
        <f>AA199*(1+AB199)</f>
        <v>307.19284758572462</v>
      </c>
      <c r="AD199" s="814"/>
      <c r="AF199" s="804"/>
      <c r="AG199" s="802"/>
      <c r="AH199" s="805"/>
      <c r="AI199" s="808"/>
      <c r="AJ199" s="815"/>
      <c r="AK199" s="816"/>
      <c r="AL199" s="806"/>
      <c r="AM199" s="817"/>
      <c r="AN199" s="818"/>
      <c r="AO199" s="817"/>
      <c r="AP199" s="808"/>
      <c r="AQ199" s="808"/>
      <c r="AR199" s="808"/>
      <c r="AS199" s="808"/>
      <c r="AT199" s="808"/>
      <c r="AU199" s="817"/>
      <c r="AV199" s="817"/>
      <c r="AW199" s="819"/>
      <c r="AX199" s="802"/>
      <c r="AY199" s="802"/>
      <c r="AZ199" s="802"/>
      <c r="BA199" s="802"/>
    </row>
    <row r="200" spans="1:53" s="803" customFormat="1" ht="12.75" customHeight="1" x14ac:dyDescent="0.25">
      <c r="A200" s="1122"/>
      <c r="B200" s="766" t="s">
        <v>1177</v>
      </c>
      <c r="C200" s="788"/>
      <c r="D200" s="820"/>
      <c r="E200" s="767" t="s">
        <v>1437</v>
      </c>
      <c r="F200" s="768" t="s">
        <v>1438</v>
      </c>
      <c r="G200" s="769">
        <v>0.74</v>
      </c>
      <c r="H200" s="768">
        <v>0.01</v>
      </c>
      <c r="I200" s="770">
        <f t="shared" ref="I200:I201" si="12">G200*H200</f>
        <v>7.4000000000000003E-3</v>
      </c>
      <c r="J200" s="758" t="s">
        <v>1291</v>
      </c>
      <c r="K200" s="771">
        <v>2</v>
      </c>
      <c r="L200" s="772">
        <v>750</v>
      </c>
      <c r="M200" s="771">
        <v>2</v>
      </c>
      <c r="N200" s="790">
        <f>L200/'Исп. коэффициенты'!E46*C205</f>
        <v>0.20711457909899084</v>
      </c>
      <c r="O200" s="759" t="s">
        <v>2217</v>
      </c>
      <c r="P200" s="759">
        <v>72800</v>
      </c>
      <c r="Q200" s="759">
        <v>19.670000000000002</v>
      </c>
      <c r="R200" s="759">
        <f>P200*Q200%</f>
        <v>14319.76</v>
      </c>
      <c r="S200" s="759">
        <f>R200/'Исп. коэффициенты'!F46</f>
        <v>15.817765681059013</v>
      </c>
      <c r="T200" s="755" t="s">
        <v>1435</v>
      </c>
      <c r="U200" s="756">
        <v>6785401.3499999996</v>
      </c>
      <c r="V200" s="785">
        <f>'Исп. коэффициенты'!E124</f>
        <v>2978.5</v>
      </c>
      <c r="W200" s="761">
        <f>'Исп. коэффициенты'!D124</f>
        <v>1.3599999999999999E-2</v>
      </c>
      <c r="X200" s="760">
        <f>U200*W200</f>
        <v>92281.45835999999</v>
      </c>
      <c r="Y200" s="759">
        <f>X200/'Исп. коэффициенты'!E46/2</f>
        <v>4.2472967570827658</v>
      </c>
      <c r="Z200" s="759"/>
      <c r="AA200" s="755"/>
      <c r="AB200" s="755"/>
      <c r="AC200" s="773"/>
      <c r="AD200" s="802"/>
      <c r="AF200" s="821"/>
      <c r="AG200" s="802"/>
      <c r="AH200" s="805"/>
      <c r="AI200" s="805"/>
      <c r="AJ200" s="822"/>
      <c r="AK200" s="805"/>
      <c r="AL200" s="806"/>
      <c r="AM200" s="805"/>
      <c r="AN200" s="805"/>
      <c r="AO200" s="807"/>
      <c r="AP200" s="805"/>
      <c r="AQ200" s="805"/>
      <c r="AR200" s="807"/>
      <c r="AS200" s="807"/>
      <c r="AT200" s="808"/>
      <c r="AU200" s="805"/>
      <c r="AV200" s="807"/>
      <c r="AW200" s="802"/>
      <c r="AX200" s="802"/>
      <c r="AY200" s="802"/>
      <c r="AZ200" s="802"/>
      <c r="BA200" s="802"/>
    </row>
    <row r="201" spans="1:53" s="803" customFormat="1" x14ac:dyDescent="0.25">
      <c r="A201" s="1122"/>
      <c r="B201" s="774" t="s">
        <v>1178</v>
      </c>
      <c r="C201" s="753"/>
      <c r="D201" s="820"/>
      <c r="E201" s="767" t="s">
        <v>1439</v>
      </c>
      <c r="F201" s="768" t="s">
        <v>1438</v>
      </c>
      <c r="G201" s="769">
        <v>0.27</v>
      </c>
      <c r="H201" s="768">
        <v>0.01</v>
      </c>
      <c r="I201" s="775">
        <f t="shared" si="12"/>
        <v>2.7000000000000001E-3</v>
      </c>
      <c r="J201" s="758" t="s">
        <v>1445</v>
      </c>
      <c r="K201" s="760">
        <v>2</v>
      </c>
      <c r="L201" s="776">
        <v>95</v>
      </c>
      <c r="M201" s="771">
        <v>2</v>
      </c>
      <c r="N201" s="790">
        <f>L201/'Исп. коэффициенты'!E46*C205</f>
        <v>2.6234513352538839E-2</v>
      </c>
      <c r="O201" s="759"/>
      <c r="P201" s="759"/>
      <c r="Q201" s="759"/>
      <c r="R201" s="759"/>
      <c r="S201" s="759"/>
      <c r="T201" s="759"/>
      <c r="U201" s="759"/>
      <c r="V201" s="759"/>
      <c r="W201" s="759"/>
      <c r="X201" s="759"/>
      <c r="Y201" s="759"/>
      <c r="Z201" s="759"/>
      <c r="AA201" s="755"/>
      <c r="AB201" s="755"/>
      <c r="AC201" s="773"/>
      <c r="AD201" s="802"/>
      <c r="AF201" s="821"/>
      <c r="AG201" s="802"/>
      <c r="AH201" s="805"/>
      <c r="AI201" s="805"/>
      <c r="AJ201" s="822"/>
      <c r="AK201" s="805"/>
      <c r="AL201" s="806"/>
      <c r="AM201" s="824"/>
      <c r="AN201" s="805"/>
      <c r="AO201" s="807"/>
      <c r="AP201" s="805"/>
      <c r="AQ201" s="805"/>
      <c r="AR201" s="807"/>
      <c r="AS201" s="807"/>
      <c r="AT201" s="805"/>
      <c r="AU201" s="805"/>
      <c r="AV201" s="807"/>
      <c r="AW201" s="802"/>
      <c r="AX201" s="802"/>
      <c r="AY201" s="802"/>
      <c r="AZ201" s="802"/>
      <c r="BA201" s="802"/>
    </row>
    <row r="202" spans="1:53" s="803" customFormat="1" ht="12.75" customHeight="1" x14ac:dyDescent="0.25">
      <c r="A202" s="1122"/>
      <c r="B202" s="754" t="s">
        <v>1179</v>
      </c>
      <c r="C202" s="788">
        <f>C182</f>
        <v>23.394911799665778</v>
      </c>
      <c r="D202" s="820"/>
      <c r="E202" s="767"/>
      <c r="F202" s="768"/>
      <c r="G202" s="769"/>
      <c r="H202" s="769"/>
      <c r="I202" s="770"/>
      <c r="J202" s="758" t="s">
        <v>1513</v>
      </c>
      <c r="K202" s="760">
        <v>2</v>
      </c>
      <c r="L202" s="760">
        <v>25</v>
      </c>
      <c r="M202" s="771">
        <v>0.5</v>
      </c>
      <c r="N202" s="790">
        <f>L202/'Исп. коэффициенты'!E46*C205</f>
        <v>6.9038193032996947E-3</v>
      </c>
      <c r="O202" s="759"/>
      <c r="P202" s="759"/>
      <c r="Q202" s="759"/>
      <c r="R202" s="759"/>
      <c r="S202" s="759"/>
      <c r="T202" s="759"/>
      <c r="U202" s="759"/>
      <c r="V202" s="759"/>
      <c r="W202" s="759"/>
      <c r="X202" s="759"/>
      <c r="Y202" s="759"/>
      <c r="Z202" s="759"/>
      <c r="AA202" s="755"/>
      <c r="AB202" s="755"/>
      <c r="AC202" s="773"/>
      <c r="AD202" s="802"/>
      <c r="AF202" s="821"/>
      <c r="AG202" s="802"/>
      <c r="AH202" s="805"/>
      <c r="AI202" s="805"/>
      <c r="AJ202" s="822"/>
      <c r="AK202" s="805"/>
      <c r="AL202" s="806"/>
      <c r="AM202" s="805"/>
      <c r="AN202" s="805"/>
      <c r="AO202" s="807"/>
      <c r="AP202" s="805"/>
      <c r="AQ202" s="805"/>
      <c r="AR202" s="807"/>
      <c r="AS202" s="807"/>
      <c r="AT202" s="805"/>
      <c r="AU202" s="805"/>
      <c r="AV202" s="807"/>
      <c r="AW202" s="802"/>
      <c r="AX202" s="802"/>
      <c r="AY202" s="802"/>
      <c r="AZ202" s="802"/>
      <c r="BA202" s="802"/>
    </row>
    <row r="203" spans="1:53" s="803" customFormat="1" ht="12.75" customHeight="1" x14ac:dyDescent="0.25">
      <c r="A203" s="1122"/>
      <c r="B203" s="754" t="s">
        <v>1180</v>
      </c>
      <c r="C203" s="789"/>
      <c r="D203" s="820"/>
      <c r="E203" s="767"/>
      <c r="F203" s="768"/>
      <c r="G203" s="769"/>
      <c r="H203" s="768"/>
      <c r="I203" s="770"/>
      <c r="J203" s="758"/>
      <c r="K203" s="760"/>
      <c r="L203" s="760"/>
      <c r="M203" s="760"/>
      <c r="N203" s="760"/>
      <c r="O203" s="759"/>
      <c r="P203" s="759"/>
      <c r="Q203" s="759"/>
      <c r="R203" s="759"/>
      <c r="S203" s="759"/>
      <c r="T203" s="759"/>
      <c r="U203" s="759"/>
      <c r="V203" s="759"/>
      <c r="W203" s="759"/>
      <c r="X203" s="759"/>
      <c r="Y203" s="759"/>
      <c r="Z203" s="759"/>
      <c r="AA203" s="755"/>
      <c r="AB203" s="755"/>
      <c r="AC203" s="773"/>
      <c r="AD203" s="802"/>
      <c r="AF203" s="821"/>
      <c r="AG203" s="802"/>
      <c r="AH203" s="805"/>
      <c r="AI203" s="805"/>
      <c r="AJ203" s="822"/>
      <c r="AK203" s="805"/>
      <c r="AL203" s="806"/>
      <c r="AM203" s="805"/>
      <c r="AN203" s="805"/>
      <c r="AO203" s="807"/>
      <c r="AP203" s="805"/>
      <c r="AQ203" s="805"/>
      <c r="AR203" s="807"/>
      <c r="AS203" s="807"/>
      <c r="AT203" s="805"/>
      <c r="AU203" s="805"/>
      <c r="AV203" s="807"/>
      <c r="AW203" s="802"/>
      <c r="AX203" s="802"/>
      <c r="AY203" s="802"/>
      <c r="AZ203" s="802"/>
      <c r="BA203" s="802"/>
    </row>
    <row r="204" spans="1:53" s="803" customFormat="1" ht="12.75" customHeight="1" x14ac:dyDescent="0.25">
      <c r="A204" s="1122"/>
      <c r="B204" s="774" t="s">
        <v>1178</v>
      </c>
      <c r="C204" s="784"/>
      <c r="D204" s="820"/>
      <c r="E204" s="767" t="s">
        <v>1442</v>
      </c>
      <c r="F204" s="768" t="s">
        <v>1443</v>
      </c>
      <c r="G204" s="769">
        <v>419.5</v>
      </c>
      <c r="H204" s="768">
        <v>1E-3</v>
      </c>
      <c r="I204" s="770">
        <f t="shared" ref="I204:I205" si="13">G204*H204</f>
        <v>0.41949999999999998</v>
      </c>
      <c r="J204" s="758"/>
      <c r="K204" s="760"/>
      <c r="L204" s="760"/>
      <c r="M204" s="760"/>
      <c r="N204" s="760"/>
      <c r="O204" s="759"/>
      <c r="P204" s="759"/>
      <c r="Q204" s="759"/>
      <c r="R204" s="759"/>
      <c r="S204" s="759"/>
      <c r="T204" s="759"/>
      <c r="U204" s="759"/>
      <c r="V204" s="759"/>
      <c r="W204" s="759"/>
      <c r="X204" s="759"/>
      <c r="Y204" s="759"/>
      <c r="Z204" s="759"/>
      <c r="AA204" s="755"/>
      <c r="AB204" s="755"/>
      <c r="AC204" s="773"/>
      <c r="AD204" s="802"/>
      <c r="AF204" s="821"/>
      <c r="AG204" s="802"/>
      <c r="AH204" s="805"/>
      <c r="AI204" s="805"/>
      <c r="AJ204" s="827"/>
      <c r="AK204" s="805"/>
      <c r="AL204" s="806"/>
      <c r="AM204" s="805"/>
      <c r="AN204" s="805"/>
      <c r="AO204" s="807"/>
      <c r="AP204" s="805"/>
      <c r="AQ204" s="805"/>
      <c r="AR204" s="807"/>
      <c r="AS204" s="807"/>
      <c r="AT204" s="805"/>
      <c r="AU204" s="805"/>
      <c r="AV204" s="807"/>
      <c r="AW204" s="802"/>
      <c r="AX204" s="802"/>
      <c r="AY204" s="802"/>
      <c r="AZ204" s="802"/>
      <c r="BA204" s="802"/>
    </row>
    <row r="205" spans="1:53" s="803" customFormat="1" ht="12.75" customHeight="1" x14ac:dyDescent="0.25">
      <c r="A205" s="1122"/>
      <c r="B205" s="754" t="s">
        <v>1179</v>
      </c>
      <c r="C205" s="784">
        <v>3</v>
      </c>
      <c r="D205" s="820"/>
      <c r="E205" s="767" t="s">
        <v>1444</v>
      </c>
      <c r="F205" s="768" t="s">
        <v>1443</v>
      </c>
      <c r="G205" s="769">
        <v>872</v>
      </c>
      <c r="H205" s="768">
        <v>2E-3</v>
      </c>
      <c r="I205" s="770">
        <f t="shared" si="13"/>
        <v>1.744</v>
      </c>
      <c r="J205" s="758"/>
      <c r="K205" s="760"/>
      <c r="L205" s="760"/>
      <c r="M205" s="760"/>
      <c r="N205" s="760"/>
      <c r="O205" s="759"/>
      <c r="P205" s="759"/>
      <c r="Q205" s="759"/>
      <c r="R205" s="759"/>
      <c r="S205" s="759"/>
      <c r="T205" s="759"/>
      <c r="U205" s="759"/>
      <c r="V205" s="759"/>
      <c r="W205" s="759"/>
      <c r="X205" s="759"/>
      <c r="Y205" s="759"/>
      <c r="Z205" s="759"/>
      <c r="AA205" s="755"/>
      <c r="AB205" s="755"/>
      <c r="AC205" s="773"/>
      <c r="AD205" s="802"/>
      <c r="AF205" s="821"/>
      <c r="AG205" s="802"/>
      <c r="AH205" s="805"/>
      <c r="AI205" s="805"/>
      <c r="AJ205" s="827"/>
      <c r="AK205" s="805"/>
      <c r="AL205" s="806"/>
      <c r="AM205" s="805"/>
      <c r="AN205" s="805"/>
      <c r="AO205" s="807"/>
      <c r="AP205" s="805"/>
      <c r="AQ205" s="805"/>
      <c r="AR205" s="807"/>
      <c r="AS205" s="807"/>
      <c r="AT205" s="805"/>
      <c r="AU205" s="805"/>
      <c r="AV205" s="807"/>
      <c r="AW205" s="802"/>
      <c r="AX205" s="802"/>
      <c r="AY205" s="802"/>
      <c r="AZ205" s="802"/>
      <c r="BA205" s="802"/>
    </row>
    <row r="206" spans="1:53" s="803" customFormat="1" ht="12.75" customHeight="1" x14ac:dyDescent="0.25">
      <c r="A206" s="1122"/>
      <c r="B206" s="782" t="s">
        <v>1181</v>
      </c>
      <c r="C206" s="788">
        <f>C201*C204+C202*C205</f>
        <v>70.184735398997333</v>
      </c>
      <c r="D206" s="820"/>
      <c r="E206" s="767"/>
      <c r="F206" s="781"/>
      <c r="G206" s="769"/>
      <c r="H206" s="768"/>
      <c r="I206" s="770"/>
      <c r="J206" s="758"/>
      <c r="K206" s="828"/>
      <c r="L206" s="760"/>
      <c r="M206" s="760"/>
      <c r="N206" s="760"/>
      <c r="O206" s="759"/>
      <c r="P206" s="759"/>
      <c r="Q206" s="759"/>
      <c r="R206" s="759"/>
      <c r="S206" s="759"/>
      <c r="T206" s="759"/>
      <c r="U206" s="759"/>
      <c r="V206" s="759"/>
      <c r="W206" s="759"/>
      <c r="X206" s="759"/>
      <c r="Y206" s="759"/>
      <c r="Z206" s="759"/>
      <c r="AA206" s="755"/>
      <c r="AB206" s="755"/>
      <c r="AC206" s="773"/>
      <c r="AD206" s="802"/>
      <c r="AF206" s="821"/>
      <c r="AG206" s="802"/>
      <c r="AH206" s="805"/>
      <c r="AI206" s="805"/>
      <c r="AJ206" s="822"/>
      <c r="AK206" s="805"/>
      <c r="AL206" s="806"/>
      <c r="AM206" s="805"/>
      <c r="AN206" s="805"/>
      <c r="AO206" s="807"/>
      <c r="AP206" s="805"/>
      <c r="AQ206" s="805"/>
      <c r="AR206" s="807"/>
      <c r="AS206" s="807"/>
      <c r="AT206" s="805"/>
      <c r="AU206" s="805"/>
      <c r="AV206" s="807"/>
      <c r="AW206" s="802"/>
      <c r="AX206" s="802"/>
      <c r="AY206" s="802"/>
      <c r="AZ206" s="802"/>
      <c r="BA206" s="802"/>
    </row>
    <row r="207" spans="1:53" s="803" customFormat="1" ht="12.75" customHeight="1" x14ac:dyDescent="0.25">
      <c r="A207" s="1122"/>
      <c r="B207" s="782"/>
      <c r="C207" s="784"/>
      <c r="D207" s="829"/>
      <c r="E207" s="767"/>
      <c r="F207" s="781"/>
      <c r="G207" s="769"/>
      <c r="H207" s="768"/>
      <c r="I207" s="770"/>
      <c r="J207" s="758"/>
      <c r="K207" s="828"/>
      <c r="L207" s="760"/>
      <c r="M207" s="760"/>
      <c r="N207" s="760"/>
      <c r="O207" s="759"/>
      <c r="P207" s="759"/>
      <c r="Q207" s="759"/>
      <c r="R207" s="759"/>
      <c r="S207" s="759"/>
      <c r="T207" s="759"/>
      <c r="U207" s="759"/>
      <c r="V207" s="759"/>
      <c r="W207" s="759"/>
      <c r="X207" s="759"/>
      <c r="Y207" s="759"/>
      <c r="Z207" s="759"/>
      <c r="AA207" s="755"/>
      <c r="AB207" s="755"/>
      <c r="AC207" s="773"/>
      <c r="AD207" s="802"/>
      <c r="AF207" s="821"/>
      <c r="AG207" s="802"/>
      <c r="AH207" s="805"/>
      <c r="AI207" s="805"/>
      <c r="AJ207" s="827"/>
      <c r="AK207" s="805"/>
      <c r="AL207" s="806"/>
      <c r="AM207" s="805"/>
      <c r="AN207" s="805"/>
      <c r="AO207" s="807"/>
      <c r="AP207" s="805"/>
      <c r="AQ207" s="805"/>
      <c r="AR207" s="807"/>
      <c r="AS207" s="807"/>
      <c r="AT207" s="805"/>
      <c r="AU207" s="805"/>
      <c r="AV207" s="807"/>
      <c r="AW207" s="802"/>
      <c r="AX207" s="802"/>
      <c r="AY207" s="802"/>
      <c r="AZ207" s="802"/>
      <c r="BA207" s="802"/>
    </row>
    <row r="208" spans="1:53" s="803" customFormat="1" ht="12.75" customHeight="1" x14ac:dyDescent="0.25">
      <c r="A208" s="841"/>
      <c r="B208" s="842"/>
      <c r="C208" s="843"/>
      <c r="D208" s="844"/>
      <c r="E208" s="845"/>
      <c r="F208" s="846"/>
      <c r="G208" s="847"/>
      <c r="H208" s="848"/>
      <c r="I208" s="849"/>
      <c r="J208" s="850"/>
      <c r="K208" s="851"/>
      <c r="L208" s="852"/>
      <c r="M208" s="852"/>
      <c r="N208" s="852"/>
      <c r="O208" s="853"/>
      <c r="P208" s="853"/>
      <c r="Q208" s="853"/>
      <c r="R208" s="853"/>
      <c r="S208" s="853"/>
      <c r="T208" s="853"/>
      <c r="U208" s="853"/>
      <c r="V208" s="853"/>
      <c r="W208" s="853"/>
      <c r="X208" s="853"/>
      <c r="Y208" s="853"/>
      <c r="Z208" s="853"/>
      <c r="AA208" s="854"/>
      <c r="AB208" s="854"/>
      <c r="AC208" s="855"/>
      <c r="AD208" s="802"/>
      <c r="AF208" s="821"/>
      <c r="AG208" s="802"/>
      <c r="AH208" s="805"/>
      <c r="AI208" s="805"/>
      <c r="AJ208" s="827"/>
      <c r="AK208" s="805"/>
      <c r="AL208" s="806"/>
      <c r="AM208" s="805"/>
      <c r="AN208" s="805"/>
      <c r="AO208" s="807"/>
      <c r="AP208" s="805"/>
      <c r="AQ208" s="805"/>
      <c r="AR208" s="807"/>
      <c r="AS208" s="807"/>
      <c r="AT208" s="805"/>
      <c r="AU208" s="805"/>
      <c r="AV208" s="807"/>
      <c r="AW208" s="802"/>
      <c r="AX208" s="802"/>
      <c r="AY208" s="802"/>
      <c r="AZ208" s="802"/>
      <c r="BA208" s="802"/>
    </row>
    <row r="209" spans="1:53" ht="23.25" customHeight="1" x14ac:dyDescent="0.25">
      <c r="A209" s="1059" t="s">
        <v>116</v>
      </c>
      <c r="B209" s="1060"/>
      <c r="C209" s="1060"/>
      <c r="D209" s="1060"/>
      <c r="E209" s="1060"/>
      <c r="F209" s="1060"/>
      <c r="G209" s="1060"/>
      <c r="H209" s="1060"/>
      <c r="I209" s="1060"/>
      <c r="J209" s="1060"/>
      <c r="K209" s="1060"/>
      <c r="L209" s="1060"/>
      <c r="M209" s="1060"/>
      <c r="N209" s="1060"/>
      <c r="O209" s="1060"/>
      <c r="P209" s="1060"/>
      <c r="Q209" s="1060"/>
      <c r="R209" s="1060"/>
      <c r="S209" s="1060"/>
      <c r="T209" s="1060"/>
      <c r="U209" s="1060"/>
      <c r="V209" s="1060"/>
      <c r="W209" s="1060"/>
      <c r="X209" s="1060"/>
      <c r="Y209" s="1060"/>
      <c r="Z209" s="1060"/>
      <c r="AA209" s="1060"/>
      <c r="AB209" s="1060"/>
      <c r="AC209" s="1061"/>
      <c r="AD209" s="56"/>
      <c r="AF209" s="151"/>
      <c r="AJ209" s="146"/>
    </row>
    <row r="210" spans="1:53" s="803" customFormat="1" ht="56.25" customHeight="1" x14ac:dyDescent="0.25">
      <c r="A210" s="1122" t="s">
        <v>117</v>
      </c>
      <c r="B210" s="788"/>
      <c r="C210" s="788"/>
      <c r="D210" s="800"/>
      <c r="E210" s="791" t="s">
        <v>488</v>
      </c>
      <c r="F210" s="792" t="s">
        <v>837</v>
      </c>
      <c r="G210" s="788" t="s">
        <v>489</v>
      </c>
      <c r="H210" s="791" t="s">
        <v>1170</v>
      </c>
      <c r="I210" s="792" t="s">
        <v>838</v>
      </c>
      <c r="J210" s="793" t="s">
        <v>1171</v>
      </c>
      <c r="K210" s="793" t="s">
        <v>490</v>
      </c>
      <c r="L210" s="794" t="s">
        <v>489</v>
      </c>
      <c r="M210" s="793" t="s">
        <v>1172</v>
      </c>
      <c r="N210" s="792" t="s">
        <v>838</v>
      </c>
      <c r="O210" s="793" t="s">
        <v>1171</v>
      </c>
      <c r="P210" s="793" t="s">
        <v>826</v>
      </c>
      <c r="Q210" s="793" t="s">
        <v>1173</v>
      </c>
      <c r="R210" s="793" t="s">
        <v>1174</v>
      </c>
      <c r="S210" s="793" t="s">
        <v>839</v>
      </c>
      <c r="T210" s="793" t="s">
        <v>1171</v>
      </c>
      <c r="U210" s="793" t="s">
        <v>1392</v>
      </c>
      <c r="V210" s="793" t="s">
        <v>841</v>
      </c>
      <c r="W210" s="795" t="s">
        <v>1173</v>
      </c>
      <c r="X210" s="793" t="s">
        <v>1394</v>
      </c>
      <c r="Y210" s="793" t="s">
        <v>839</v>
      </c>
      <c r="Z210" s="796"/>
      <c r="AA210" s="755"/>
      <c r="AB210" s="755"/>
      <c r="AC210" s="755"/>
      <c r="AD210" s="802"/>
      <c r="AF210" s="804"/>
      <c r="AG210" s="802"/>
      <c r="AH210" s="805"/>
      <c r="AI210" s="805"/>
      <c r="AJ210" s="805"/>
      <c r="AK210" s="805"/>
      <c r="AL210" s="806"/>
      <c r="AM210" s="805"/>
      <c r="AN210" s="805"/>
      <c r="AO210" s="807"/>
      <c r="AP210" s="805"/>
      <c r="AQ210" s="808"/>
      <c r="AR210" s="808"/>
      <c r="AS210" s="808"/>
      <c r="AT210" s="805"/>
      <c r="AU210" s="805"/>
      <c r="AV210" s="807"/>
      <c r="AW210" s="802"/>
      <c r="AX210" s="802"/>
      <c r="AY210" s="802"/>
      <c r="AZ210" s="802"/>
      <c r="BA210" s="802"/>
    </row>
    <row r="211" spans="1:53" s="803" customFormat="1" ht="12" customHeight="1" x14ac:dyDescent="0.25">
      <c r="A211" s="1122"/>
      <c r="B211" s="752" t="s">
        <v>1175</v>
      </c>
      <c r="C211" s="788">
        <f>C218</f>
        <v>82.579593851769374</v>
      </c>
      <c r="D211" s="800">
        <f>C211*$D$5</f>
        <v>16.681077958057415</v>
      </c>
      <c r="E211" s="809" t="s">
        <v>1176</v>
      </c>
      <c r="F211" s="810"/>
      <c r="G211" s="756"/>
      <c r="H211" s="756"/>
      <c r="I211" s="757">
        <f>SUM(I212:I219)</f>
        <v>19.86</v>
      </c>
      <c r="J211" s="758" t="s">
        <v>1176</v>
      </c>
      <c r="K211" s="811"/>
      <c r="L211" s="759"/>
      <c r="M211" s="759"/>
      <c r="N211" s="790">
        <f>SUM(N212:N219)</f>
        <v>0.27087412012613399</v>
      </c>
      <c r="O211" s="759" t="s">
        <v>1176</v>
      </c>
      <c r="P211" s="759"/>
      <c r="Q211" s="812"/>
      <c r="R211" s="813"/>
      <c r="S211" s="760">
        <f>SUM(S212:S219)</f>
        <v>0</v>
      </c>
      <c r="T211" s="760"/>
      <c r="U211" s="760"/>
      <c r="V211" s="760"/>
      <c r="W211" s="760"/>
      <c r="X211" s="760"/>
      <c r="Y211" s="790">
        <f>SUM(Y212:Y219)</f>
        <v>9.5772639223070755</v>
      </c>
      <c r="Z211" s="762">
        <f>(C211+D211+I211+N211+S211+Y211)*$Z$5</f>
        <v>167.68365932429867</v>
      </c>
      <c r="AA211" s="763">
        <f>C211+D211+I211+N211+S211+Y211+Z211</f>
        <v>296.65246917655867</v>
      </c>
      <c r="AB211" s="764">
        <v>0.25</v>
      </c>
      <c r="AC211" s="765">
        <f>AA211*(1+AB211)</f>
        <v>370.81558647069835</v>
      </c>
      <c r="AD211" s="814"/>
      <c r="AF211" s="804"/>
      <c r="AG211" s="802"/>
      <c r="AH211" s="805"/>
      <c r="AI211" s="808"/>
      <c r="AJ211" s="815"/>
      <c r="AK211" s="816"/>
      <c r="AL211" s="806"/>
      <c r="AM211" s="817"/>
      <c r="AN211" s="818"/>
      <c r="AO211" s="817"/>
      <c r="AP211" s="808"/>
      <c r="AQ211" s="808"/>
      <c r="AR211" s="808"/>
      <c r="AS211" s="808"/>
      <c r="AT211" s="808"/>
      <c r="AU211" s="817"/>
      <c r="AV211" s="817"/>
      <c r="AW211" s="819"/>
      <c r="AX211" s="802"/>
      <c r="AY211" s="802"/>
      <c r="AZ211" s="802"/>
      <c r="BA211" s="802"/>
    </row>
    <row r="212" spans="1:53" s="803" customFormat="1" ht="12.75" customHeight="1" x14ac:dyDescent="0.25">
      <c r="A212" s="1122"/>
      <c r="B212" s="766" t="s">
        <v>1177</v>
      </c>
      <c r="C212" s="788"/>
      <c r="D212" s="820"/>
      <c r="E212" s="767" t="s">
        <v>1437</v>
      </c>
      <c r="F212" s="768" t="s">
        <v>1438</v>
      </c>
      <c r="G212" s="769">
        <v>0.3</v>
      </c>
      <c r="H212" s="768">
        <v>10</v>
      </c>
      <c r="I212" s="770">
        <f>G212*H212</f>
        <v>3</v>
      </c>
      <c r="J212" s="758" t="s">
        <v>1291</v>
      </c>
      <c r="K212" s="760">
        <v>2</v>
      </c>
      <c r="L212" s="760">
        <v>750</v>
      </c>
      <c r="M212" s="760">
        <v>2</v>
      </c>
      <c r="N212" s="790">
        <f>L212/'Исп. коэффициенты'!E33*(C216+C217)</f>
        <v>0.23351217252252929</v>
      </c>
      <c r="O212" s="759" t="s">
        <v>119</v>
      </c>
      <c r="P212" s="759">
        <v>0</v>
      </c>
      <c r="Q212" s="759">
        <v>20</v>
      </c>
      <c r="R212" s="759">
        <f>P212*Q212%</f>
        <v>0</v>
      </c>
      <c r="S212" s="759">
        <f>R212/'Исп. коэффициенты'!E33*C216</f>
        <v>0</v>
      </c>
      <c r="T212" s="755" t="s">
        <v>1435</v>
      </c>
      <c r="U212" s="756">
        <v>6785401.3499999996</v>
      </c>
      <c r="V212" s="785">
        <f>'Исп. коэффициенты'!E124</f>
        <v>2978.5</v>
      </c>
      <c r="W212" s="761">
        <f>'Исп. коэффициенты'!D124</f>
        <v>1.3599999999999999E-2</v>
      </c>
      <c r="X212" s="760">
        <f>U212*W212</f>
        <v>92281.45835999999</v>
      </c>
      <c r="Y212" s="759">
        <f>X212/'Исп. коэффициенты'!E33</f>
        <v>9.5772639223070755</v>
      </c>
      <c r="Z212" s="759"/>
      <c r="AA212" s="755"/>
      <c r="AB212" s="755"/>
      <c r="AC212" s="755"/>
      <c r="AD212" s="802"/>
      <c r="AF212" s="821"/>
      <c r="AG212" s="802"/>
      <c r="AH212" s="805"/>
      <c r="AI212" s="805"/>
      <c r="AJ212" s="822"/>
      <c r="AK212" s="805"/>
      <c r="AL212" s="806"/>
      <c r="AM212" s="805"/>
      <c r="AN212" s="805"/>
      <c r="AO212" s="807"/>
      <c r="AP212" s="805"/>
      <c r="AQ212" s="805"/>
      <c r="AR212" s="807"/>
      <c r="AS212" s="807"/>
      <c r="AT212" s="808"/>
      <c r="AU212" s="805"/>
      <c r="AV212" s="807"/>
      <c r="AW212" s="802"/>
      <c r="AX212" s="802"/>
      <c r="AY212" s="802"/>
      <c r="AZ212" s="802"/>
      <c r="BA212" s="802"/>
    </row>
    <row r="213" spans="1:53" s="803" customFormat="1" x14ac:dyDescent="0.25">
      <c r="A213" s="1122"/>
      <c r="B213" s="774" t="s">
        <v>1178</v>
      </c>
      <c r="C213" s="753">
        <f>'Заработная плата'!M76</f>
        <v>33.667709452234185</v>
      </c>
      <c r="D213" s="820"/>
      <c r="E213" s="767" t="s">
        <v>2112</v>
      </c>
      <c r="F213" s="768" t="s">
        <v>1</v>
      </c>
      <c r="G213" s="769">
        <v>0.47</v>
      </c>
      <c r="H213" s="768">
        <v>10</v>
      </c>
      <c r="I213" s="775">
        <f>G213*H213</f>
        <v>4.6999999999999993</v>
      </c>
      <c r="J213" s="758" t="s">
        <v>1445</v>
      </c>
      <c r="K213" s="760">
        <v>2</v>
      </c>
      <c r="L213" s="760">
        <v>95</v>
      </c>
      <c r="M213" s="760">
        <v>2</v>
      </c>
      <c r="N213" s="790">
        <f>L213/'Исп. коэффициенты'!E33*(C216+C217)</f>
        <v>2.957820851952038E-2</v>
      </c>
      <c r="O213" s="759"/>
      <c r="P213" s="759"/>
      <c r="Q213" s="759"/>
      <c r="R213" s="759"/>
      <c r="S213" s="759"/>
      <c r="T213" s="759"/>
      <c r="U213" s="759"/>
      <c r="V213" s="759"/>
      <c r="W213" s="759"/>
      <c r="X213" s="759"/>
      <c r="Y213" s="759"/>
      <c r="Z213" s="759"/>
      <c r="AA213" s="755"/>
      <c r="AB213" s="755"/>
      <c r="AC213" s="755"/>
      <c r="AD213" s="802"/>
      <c r="AF213" s="821"/>
      <c r="AG213" s="802"/>
      <c r="AH213" s="805"/>
      <c r="AI213" s="805"/>
      <c r="AJ213" s="822"/>
      <c r="AK213" s="805"/>
      <c r="AL213" s="806"/>
      <c r="AM213" s="824"/>
      <c r="AN213" s="805"/>
      <c r="AO213" s="807"/>
      <c r="AP213" s="805"/>
      <c r="AQ213" s="805"/>
      <c r="AR213" s="807"/>
      <c r="AS213" s="807"/>
      <c r="AT213" s="805"/>
      <c r="AU213" s="805"/>
      <c r="AV213" s="807"/>
      <c r="AW213" s="802"/>
      <c r="AX213" s="802"/>
      <c r="AY213" s="802"/>
      <c r="AZ213" s="802"/>
      <c r="BA213" s="802"/>
    </row>
    <row r="214" spans="1:53" s="803" customFormat="1" ht="12.75" customHeight="1" x14ac:dyDescent="0.25">
      <c r="A214" s="1122"/>
      <c r="B214" s="754" t="s">
        <v>1179</v>
      </c>
      <c r="C214" s="788">
        <f>'Заработная плата'!M97</f>
        <v>19.495759833054819</v>
      </c>
      <c r="D214" s="820"/>
      <c r="E214" s="767" t="s">
        <v>1598</v>
      </c>
      <c r="F214" s="768" t="s">
        <v>1441</v>
      </c>
      <c r="G214" s="769">
        <v>5.36</v>
      </c>
      <c r="H214" s="769">
        <v>1</v>
      </c>
      <c r="I214" s="770">
        <f>G214*H214</f>
        <v>5.36</v>
      </c>
      <c r="J214" s="758" t="s">
        <v>1513</v>
      </c>
      <c r="K214" s="760">
        <v>2</v>
      </c>
      <c r="L214" s="760">
        <v>25</v>
      </c>
      <c r="M214" s="760">
        <v>0.5</v>
      </c>
      <c r="N214" s="790">
        <f>L214/'Исп. коэффициенты'!E33*(C216+C217)</f>
        <v>7.7837390840843103E-3</v>
      </c>
      <c r="O214" s="759"/>
      <c r="P214" s="759"/>
      <c r="Q214" s="759"/>
      <c r="R214" s="759"/>
      <c r="S214" s="759"/>
      <c r="T214" s="759"/>
      <c r="U214" s="759"/>
      <c r="V214" s="759"/>
      <c r="W214" s="759"/>
      <c r="X214" s="759"/>
      <c r="Y214" s="759"/>
      <c r="Z214" s="759"/>
      <c r="AA214" s="755"/>
      <c r="AB214" s="755"/>
      <c r="AC214" s="755"/>
      <c r="AD214" s="802"/>
      <c r="AF214" s="821"/>
      <c r="AG214" s="802"/>
      <c r="AH214" s="805"/>
      <c r="AI214" s="805"/>
      <c r="AJ214" s="822"/>
      <c r="AK214" s="805"/>
      <c r="AL214" s="806"/>
      <c r="AM214" s="805"/>
      <c r="AN214" s="805"/>
      <c r="AO214" s="807"/>
      <c r="AP214" s="805"/>
      <c r="AQ214" s="805"/>
      <c r="AR214" s="807"/>
      <c r="AS214" s="807"/>
      <c r="AT214" s="805"/>
      <c r="AU214" s="805"/>
      <c r="AV214" s="807"/>
      <c r="AW214" s="802"/>
      <c r="AX214" s="802"/>
      <c r="AY214" s="802"/>
      <c r="AZ214" s="802"/>
      <c r="BA214" s="802"/>
    </row>
    <row r="215" spans="1:53" s="803" customFormat="1" ht="12.75" customHeight="1" x14ac:dyDescent="0.25">
      <c r="A215" s="1122"/>
      <c r="B215" s="754" t="s">
        <v>1180</v>
      </c>
      <c r="C215" s="789"/>
      <c r="D215" s="820"/>
      <c r="E215" s="767" t="s">
        <v>2113</v>
      </c>
      <c r="F215" s="768" t="s">
        <v>1</v>
      </c>
      <c r="G215" s="769">
        <v>0.17</v>
      </c>
      <c r="H215" s="768">
        <v>40</v>
      </c>
      <c r="I215" s="770">
        <f>G215*H215</f>
        <v>6.8000000000000007</v>
      </c>
      <c r="J215" s="758"/>
      <c r="K215" s="760"/>
      <c r="L215" s="760"/>
      <c r="M215" s="760"/>
      <c r="N215" s="760"/>
      <c r="O215" s="759"/>
      <c r="P215" s="759"/>
      <c r="Q215" s="759"/>
      <c r="R215" s="759"/>
      <c r="S215" s="759"/>
      <c r="T215" s="759"/>
      <c r="U215" s="759"/>
      <c r="V215" s="759"/>
      <c r="W215" s="759"/>
      <c r="X215" s="759"/>
      <c r="Y215" s="759"/>
      <c r="Z215" s="759"/>
      <c r="AA215" s="755"/>
      <c r="AB215" s="755"/>
      <c r="AC215" s="755"/>
      <c r="AD215" s="802"/>
      <c r="AF215" s="821"/>
      <c r="AG215" s="802"/>
      <c r="AH215" s="805"/>
      <c r="AI215" s="805"/>
      <c r="AJ215" s="822"/>
      <c r="AK215" s="805"/>
      <c r="AL215" s="806"/>
      <c r="AM215" s="805"/>
      <c r="AN215" s="805"/>
      <c r="AO215" s="807"/>
      <c r="AP215" s="805"/>
      <c r="AQ215" s="805"/>
      <c r="AR215" s="807"/>
      <c r="AS215" s="807"/>
      <c r="AT215" s="805"/>
      <c r="AU215" s="805"/>
      <c r="AV215" s="807"/>
      <c r="AW215" s="802"/>
      <c r="AX215" s="802"/>
      <c r="AY215" s="802"/>
      <c r="AZ215" s="802"/>
      <c r="BA215" s="802"/>
    </row>
    <row r="216" spans="1:53" s="803" customFormat="1" ht="12.75" customHeight="1" x14ac:dyDescent="0.25">
      <c r="A216" s="1122"/>
      <c r="B216" s="774" t="s">
        <v>1178</v>
      </c>
      <c r="C216" s="784">
        <v>1.7</v>
      </c>
      <c r="D216" s="820"/>
      <c r="E216" s="767"/>
      <c r="F216" s="768"/>
      <c r="G216" s="769"/>
      <c r="H216" s="768"/>
      <c r="I216" s="770"/>
      <c r="J216" s="758"/>
      <c r="K216" s="760"/>
      <c r="L216" s="760"/>
      <c r="M216" s="760"/>
      <c r="N216" s="760"/>
      <c r="O216" s="759"/>
      <c r="P216" s="759"/>
      <c r="Q216" s="759"/>
      <c r="R216" s="759"/>
      <c r="S216" s="759"/>
      <c r="T216" s="759"/>
      <c r="U216" s="759"/>
      <c r="V216" s="759"/>
      <c r="W216" s="759"/>
      <c r="X216" s="759"/>
      <c r="Y216" s="759"/>
      <c r="Z216" s="759"/>
      <c r="AA216" s="755"/>
      <c r="AB216" s="755"/>
      <c r="AC216" s="755"/>
      <c r="AD216" s="802"/>
      <c r="AF216" s="821"/>
      <c r="AG216" s="802"/>
      <c r="AH216" s="805"/>
      <c r="AI216" s="805"/>
      <c r="AJ216" s="827"/>
      <c r="AK216" s="805"/>
      <c r="AL216" s="806"/>
      <c r="AM216" s="805"/>
      <c r="AN216" s="805"/>
      <c r="AO216" s="807"/>
      <c r="AP216" s="805"/>
      <c r="AQ216" s="805"/>
      <c r="AR216" s="807"/>
      <c r="AS216" s="807"/>
      <c r="AT216" s="805"/>
      <c r="AU216" s="805"/>
      <c r="AV216" s="807"/>
      <c r="AW216" s="802"/>
      <c r="AX216" s="802"/>
      <c r="AY216" s="802"/>
      <c r="AZ216" s="802"/>
      <c r="BA216" s="802"/>
    </row>
    <row r="217" spans="1:53" s="803" customFormat="1" ht="12.75" customHeight="1" x14ac:dyDescent="0.25">
      <c r="A217" s="1122"/>
      <c r="B217" s="754" t="s">
        <v>1179</v>
      </c>
      <c r="C217" s="784">
        <v>1.3</v>
      </c>
      <c r="D217" s="820"/>
      <c r="E217" s="767"/>
      <c r="F217" s="768"/>
      <c r="G217" s="769"/>
      <c r="H217" s="768"/>
      <c r="I217" s="770"/>
      <c r="J217" s="758"/>
      <c r="K217" s="760"/>
      <c r="L217" s="760"/>
      <c r="M217" s="760"/>
      <c r="N217" s="760"/>
      <c r="O217" s="759"/>
      <c r="P217" s="759"/>
      <c r="Q217" s="759"/>
      <c r="R217" s="759"/>
      <c r="S217" s="759"/>
      <c r="T217" s="759"/>
      <c r="U217" s="759"/>
      <c r="V217" s="759"/>
      <c r="W217" s="759"/>
      <c r="X217" s="759"/>
      <c r="Y217" s="759"/>
      <c r="Z217" s="759"/>
      <c r="AA217" s="755"/>
      <c r="AB217" s="755"/>
      <c r="AC217" s="755"/>
      <c r="AD217" s="802"/>
      <c r="AF217" s="821"/>
      <c r="AG217" s="802"/>
      <c r="AH217" s="805"/>
      <c r="AI217" s="805"/>
      <c r="AJ217" s="827"/>
      <c r="AK217" s="805"/>
      <c r="AL217" s="806"/>
      <c r="AM217" s="805"/>
      <c r="AN217" s="805"/>
      <c r="AO217" s="807"/>
      <c r="AP217" s="805"/>
      <c r="AQ217" s="805"/>
      <c r="AR217" s="807"/>
      <c r="AS217" s="807"/>
      <c r="AT217" s="805"/>
      <c r="AU217" s="805"/>
      <c r="AV217" s="807"/>
      <c r="AW217" s="802"/>
      <c r="AX217" s="802"/>
      <c r="AY217" s="802"/>
      <c r="AZ217" s="802"/>
      <c r="BA217" s="802"/>
    </row>
    <row r="218" spans="1:53" s="803" customFormat="1" ht="12.75" customHeight="1" x14ac:dyDescent="0.25">
      <c r="A218" s="1122"/>
      <c r="B218" s="782" t="s">
        <v>1181</v>
      </c>
      <c r="C218" s="788">
        <f>C213*C216+C214*C217</f>
        <v>82.579593851769374</v>
      </c>
      <c r="D218" s="820"/>
      <c r="E218" s="767"/>
      <c r="F218" s="781"/>
      <c r="G218" s="769"/>
      <c r="H218" s="768"/>
      <c r="I218" s="770"/>
      <c r="J218" s="758"/>
      <c r="K218" s="828"/>
      <c r="L218" s="760"/>
      <c r="M218" s="760"/>
      <c r="N218" s="760"/>
      <c r="O218" s="759"/>
      <c r="P218" s="759"/>
      <c r="Q218" s="759"/>
      <c r="R218" s="759"/>
      <c r="S218" s="759"/>
      <c r="T218" s="759"/>
      <c r="U218" s="759"/>
      <c r="V218" s="759"/>
      <c r="W218" s="759"/>
      <c r="X218" s="759"/>
      <c r="Y218" s="759"/>
      <c r="Z218" s="759"/>
      <c r="AA218" s="755"/>
      <c r="AB218" s="755"/>
      <c r="AC218" s="755"/>
      <c r="AD218" s="802"/>
      <c r="AF218" s="821"/>
      <c r="AG218" s="802"/>
      <c r="AH218" s="805"/>
      <c r="AI218" s="805"/>
      <c r="AJ218" s="822"/>
      <c r="AK218" s="805"/>
      <c r="AL218" s="806"/>
      <c r="AM218" s="805"/>
      <c r="AN218" s="805"/>
      <c r="AO218" s="807"/>
      <c r="AP218" s="805"/>
      <c r="AQ218" s="805"/>
      <c r="AR218" s="807"/>
      <c r="AS218" s="807"/>
      <c r="AT218" s="805"/>
      <c r="AU218" s="805"/>
      <c r="AV218" s="807"/>
      <c r="AW218" s="802"/>
      <c r="AX218" s="802"/>
      <c r="AY218" s="802"/>
      <c r="AZ218" s="802"/>
      <c r="BA218" s="802"/>
    </row>
    <row r="219" spans="1:53" s="803" customFormat="1" ht="12.75" customHeight="1" x14ac:dyDescent="0.25">
      <c r="A219" s="1122"/>
      <c r="B219" s="782"/>
      <c r="C219" s="784"/>
      <c r="D219" s="829"/>
      <c r="E219" s="767"/>
      <c r="F219" s="781"/>
      <c r="G219" s="769"/>
      <c r="H219" s="768"/>
      <c r="I219" s="770"/>
      <c r="J219" s="758"/>
      <c r="K219" s="828"/>
      <c r="L219" s="760"/>
      <c r="M219" s="760"/>
      <c r="N219" s="760"/>
      <c r="O219" s="759"/>
      <c r="P219" s="759"/>
      <c r="Q219" s="759"/>
      <c r="R219" s="759"/>
      <c r="S219" s="759"/>
      <c r="T219" s="759"/>
      <c r="U219" s="759"/>
      <c r="V219" s="759"/>
      <c r="W219" s="759"/>
      <c r="X219" s="759"/>
      <c r="Y219" s="759"/>
      <c r="Z219" s="759"/>
      <c r="AA219" s="755"/>
      <c r="AB219" s="755"/>
      <c r="AC219" s="755"/>
      <c r="AD219" s="802"/>
      <c r="AF219" s="821"/>
      <c r="AG219" s="802"/>
      <c r="AH219" s="805"/>
      <c r="AI219" s="805"/>
      <c r="AJ219" s="827"/>
      <c r="AK219" s="805"/>
      <c r="AL219" s="806"/>
      <c r="AM219" s="805"/>
      <c r="AN219" s="805"/>
      <c r="AO219" s="807"/>
      <c r="AP219" s="805"/>
      <c r="AQ219" s="805"/>
      <c r="AR219" s="807"/>
      <c r="AS219" s="807"/>
      <c r="AT219" s="805"/>
      <c r="AU219" s="805"/>
      <c r="AV219" s="807"/>
      <c r="AW219" s="802"/>
      <c r="AX219" s="802"/>
      <c r="AY219" s="802"/>
      <c r="AZ219" s="802"/>
      <c r="BA219" s="802"/>
    </row>
    <row r="220" spans="1:53" s="803" customFormat="1" ht="56.25" customHeight="1" x14ac:dyDescent="0.25">
      <c r="A220" s="1122" t="s">
        <v>1799</v>
      </c>
      <c r="B220" s="788" t="s">
        <v>1800</v>
      </c>
      <c r="C220" s="788"/>
      <c r="D220" s="800"/>
      <c r="E220" s="791" t="s">
        <v>488</v>
      </c>
      <c r="F220" s="792" t="s">
        <v>837</v>
      </c>
      <c r="G220" s="788" t="s">
        <v>489</v>
      </c>
      <c r="H220" s="791" t="s">
        <v>1170</v>
      </c>
      <c r="I220" s="792" t="s">
        <v>838</v>
      </c>
      <c r="J220" s="793" t="s">
        <v>1171</v>
      </c>
      <c r="K220" s="793" t="s">
        <v>490</v>
      </c>
      <c r="L220" s="794" t="s">
        <v>489</v>
      </c>
      <c r="M220" s="793" t="s">
        <v>1172</v>
      </c>
      <c r="N220" s="792" t="s">
        <v>838</v>
      </c>
      <c r="O220" s="793" t="s">
        <v>1171</v>
      </c>
      <c r="P220" s="793" t="s">
        <v>826</v>
      </c>
      <c r="Q220" s="793" t="s">
        <v>1173</v>
      </c>
      <c r="R220" s="793" t="s">
        <v>1174</v>
      </c>
      <c r="S220" s="793" t="s">
        <v>839</v>
      </c>
      <c r="T220" s="793" t="s">
        <v>1171</v>
      </c>
      <c r="U220" s="793" t="s">
        <v>1392</v>
      </c>
      <c r="V220" s="793" t="s">
        <v>841</v>
      </c>
      <c r="W220" s="795" t="s">
        <v>1173</v>
      </c>
      <c r="X220" s="793" t="s">
        <v>1394</v>
      </c>
      <c r="Y220" s="793" t="s">
        <v>839</v>
      </c>
      <c r="Z220" s="796"/>
      <c r="AA220" s="755"/>
      <c r="AB220" s="755"/>
      <c r="AC220" s="755"/>
      <c r="AD220" s="802"/>
      <c r="AF220" s="804"/>
      <c r="AG220" s="802"/>
      <c r="AH220" s="805"/>
      <c r="AI220" s="805"/>
      <c r="AJ220" s="805"/>
      <c r="AK220" s="805"/>
      <c r="AL220" s="806"/>
      <c r="AM220" s="805"/>
      <c r="AN220" s="805"/>
      <c r="AO220" s="807"/>
      <c r="AP220" s="805"/>
      <c r="AQ220" s="808"/>
      <c r="AR220" s="808"/>
      <c r="AS220" s="808"/>
      <c r="AT220" s="805"/>
      <c r="AU220" s="805"/>
      <c r="AV220" s="807"/>
      <c r="AW220" s="802"/>
      <c r="AX220" s="802"/>
      <c r="AY220" s="802"/>
      <c r="AZ220" s="802"/>
      <c r="BA220" s="802"/>
    </row>
    <row r="221" spans="1:53" s="803" customFormat="1" ht="12" customHeight="1" x14ac:dyDescent="0.25">
      <c r="A221" s="1122"/>
      <c r="B221" s="752" t="s">
        <v>1175</v>
      </c>
      <c r="C221" s="788">
        <f>C228</f>
        <v>193.1581173081012</v>
      </c>
      <c r="D221" s="800">
        <f>C221*$D$5</f>
        <v>39.017939696236446</v>
      </c>
      <c r="E221" s="809" t="s">
        <v>1176</v>
      </c>
      <c r="F221" s="810"/>
      <c r="G221" s="756"/>
      <c r="H221" s="756"/>
      <c r="I221" s="757">
        <f>SUM(I222:I229)</f>
        <v>19.86</v>
      </c>
      <c r="J221" s="758" t="s">
        <v>1176</v>
      </c>
      <c r="K221" s="811"/>
      <c r="L221" s="759"/>
      <c r="M221" s="759"/>
      <c r="N221" s="790">
        <f>SUM(N222:N229)</f>
        <v>0.63203961362764594</v>
      </c>
      <c r="O221" s="759" t="s">
        <v>1176</v>
      </c>
      <c r="P221" s="759"/>
      <c r="Q221" s="812"/>
      <c r="R221" s="813"/>
      <c r="S221" s="790">
        <f>SUM(S222:S229)</f>
        <v>17.169890587612109</v>
      </c>
      <c r="T221" s="760"/>
      <c r="U221" s="760"/>
      <c r="V221" s="760"/>
      <c r="W221" s="760"/>
      <c r="X221" s="760"/>
      <c r="Y221" s="790">
        <f>SUM(Y222:Y229)</f>
        <v>9.5772639223070755</v>
      </c>
      <c r="Z221" s="762">
        <f>(C221+D221+I221+N221+S221+Y221)*$Z$5</f>
        <v>363.29227069563825</v>
      </c>
      <c r="AA221" s="763">
        <f>C221+D221+I221+N221+S221+Y221+Z221</f>
        <v>642.70752182352271</v>
      </c>
      <c r="AB221" s="764">
        <v>0.25</v>
      </c>
      <c r="AC221" s="765">
        <f>AA221*(1+AB221)</f>
        <v>803.38440227940339</v>
      </c>
      <c r="AD221" s="814"/>
      <c r="AF221" s="804"/>
      <c r="AG221" s="802"/>
      <c r="AH221" s="805"/>
      <c r="AI221" s="808"/>
      <c r="AJ221" s="815"/>
      <c r="AK221" s="816"/>
      <c r="AL221" s="806"/>
      <c r="AM221" s="817"/>
      <c r="AN221" s="818"/>
      <c r="AO221" s="817"/>
      <c r="AP221" s="808"/>
      <c r="AQ221" s="808"/>
      <c r="AR221" s="808"/>
      <c r="AS221" s="808"/>
      <c r="AT221" s="808"/>
      <c r="AU221" s="817"/>
      <c r="AV221" s="817"/>
      <c r="AW221" s="819"/>
      <c r="AX221" s="802"/>
      <c r="AY221" s="802"/>
      <c r="AZ221" s="802"/>
      <c r="BA221" s="802"/>
    </row>
    <row r="222" spans="1:53" s="803" customFormat="1" ht="12.75" customHeight="1" x14ac:dyDescent="0.25">
      <c r="A222" s="1122"/>
      <c r="B222" s="766" t="s">
        <v>1177</v>
      </c>
      <c r="C222" s="788"/>
      <c r="D222" s="820"/>
      <c r="E222" s="767" t="s">
        <v>1437</v>
      </c>
      <c r="F222" s="768" t="s">
        <v>1438</v>
      </c>
      <c r="G222" s="769">
        <v>0.3</v>
      </c>
      <c r="H222" s="768">
        <v>10</v>
      </c>
      <c r="I222" s="770">
        <f>G222*H222</f>
        <v>3</v>
      </c>
      <c r="J222" s="758" t="s">
        <v>1291</v>
      </c>
      <c r="K222" s="760">
        <v>2</v>
      </c>
      <c r="L222" s="760">
        <v>750</v>
      </c>
      <c r="M222" s="760">
        <v>2</v>
      </c>
      <c r="N222" s="790">
        <f>L222/'Исп. коэффициенты'!E33*(C226+C227)</f>
        <v>0.5448617358859017</v>
      </c>
      <c r="O222" s="759" t="s">
        <v>2193</v>
      </c>
      <c r="P222" s="759">
        <v>206800</v>
      </c>
      <c r="Q222" s="759">
        <v>20</v>
      </c>
      <c r="R222" s="759">
        <f>P222*Q222%</f>
        <v>41360</v>
      </c>
      <c r="S222" s="856">
        <f>R222/'Исп. коэффициенты'!E33*C226</f>
        <v>17.169890587612109</v>
      </c>
      <c r="T222" s="755" t="s">
        <v>1435</v>
      </c>
      <c r="U222" s="756">
        <v>6785401.3499999996</v>
      </c>
      <c r="V222" s="785">
        <f>'Исп. коэффициенты'!E124</f>
        <v>2978.5</v>
      </c>
      <c r="W222" s="761">
        <f>'Исп. коэффициенты'!D124</f>
        <v>1.3599999999999999E-2</v>
      </c>
      <c r="X222" s="760">
        <f>U222*W222</f>
        <v>92281.45835999999</v>
      </c>
      <c r="Y222" s="759">
        <f>X222/'Исп. коэффициенты'!E33</f>
        <v>9.5772639223070755</v>
      </c>
      <c r="Z222" s="759"/>
      <c r="AA222" s="755"/>
      <c r="AB222" s="755"/>
      <c r="AC222" s="755"/>
      <c r="AD222" s="802"/>
      <c r="AF222" s="821"/>
      <c r="AG222" s="802"/>
      <c r="AH222" s="805"/>
      <c r="AI222" s="805"/>
      <c r="AJ222" s="822"/>
      <c r="AK222" s="805"/>
      <c r="AL222" s="806"/>
      <c r="AM222" s="805"/>
      <c r="AN222" s="805"/>
      <c r="AO222" s="807"/>
      <c r="AP222" s="805"/>
      <c r="AQ222" s="805"/>
      <c r="AR222" s="807"/>
      <c r="AS222" s="807"/>
      <c r="AT222" s="808"/>
      <c r="AU222" s="805"/>
      <c r="AV222" s="807"/>
      <c r="AW222" s="802"/>
      <c r="AX222" s="802"/>
      <c r="AY222" s="802"/>
      <c r="AZ222" s="802"/>
      <c r="BA222" s="802"/>
    </row>
    <row r="223" spans="1:53" s="803" customFormat="1" x14ac:dyDescent="0.25">
      <c r="A223" s="1122"/>
      <c r="B223" s="774" t="s">
        <v>1178</v>
      </c>
      <c r="C223" s="753">
        <f>C213</f>
        <v>33.667709452234185</v>
      </c>
      <c r="D223" s="820"/>
      <c r="E223" s="767" t="s">
        <v>2112</v>
      </c>
      <c r="F223" s="768" t="s">
        <v>1</v>
      </c>
      <c r="G223" s="769">
        <v>0.47</v>
      </c>
      <c r="H223" s="768">
        <v>10</v>
      </c>
      <c r="I223" s="775">
        <f>G223*H223</f>
        <v>4.6999999999999993</v>
      </c>
      <c r="J223" s="758" t="s">
        <v>1445</v>
      </c>
      <c r="K223" s="760">
        <v>2</v>
      </c>
      <c r="L223" s="760">
        <v>95</v>
      </c>
      <c r="M223" s="760">
        <v>2</v>
      </c>
      <c r="N223" s="790">
        <f>L223/'Исп. коэффициенты'!E33*(C226+C227)</f>
        <v>6.9015819878880877E-2</v>
      </c>
      <c r="O223" s="759"/>
      <c r="P223" s="759"/>
      <c r="Q223" s="759"/>
      <c r="R223" s="759"/>
      <c r="S223" s="759"/>
      <c r="T223" s="759"/>
      <c r="U223" s="759"/>
      <c r="V223" s="759"/>
      <c r="W223" s="759"/>
      <c r="X223" s="759"/>
      <c r="Y223" s="759"/>
      <c r="Z223" s="759"/>
      <c r="AA223" s="755"/>
      <c r="AB223" s="755"/>
      <c r="AC223" s="755"/>
      <c r="AD223" s="802"/>
      <c r="AF223" s="821"/>
      <c r="AG223" s="802"/>
      <c r="AH223" s="805"/>
      <c r="AI223" s="805"/>
      <c r="AJ223" s="822"/>
      <c r="AK223" s="805"/>
      <c r="AL223" s="806"/>
      <c r="AM223" s="824"/>
      <c r="AN223" s="805"/>
      <c r="AO223" s="807"/>
      <c r="AP223" s="805"/>
      <c r="AQ223" s="805"/>
      <c r="AR223" s="807"/>
      <c r="AS223" s="807"/>
      <c r="AT223" s="805"/>
      <c r="AU223" s="805"/>
      <c r="AV223" s="807"/>
      <c r="AW223" s="802"/>
      <c r="AX223" s="802"/>
      <c r="AY223" s="802"/>
      <c r="AZ223" s="802"/>
      <c r="BA223" s="802"/>
    </row>
    <row r="224" spans="1:53" s="803" customFormat="1" ht="12.75" customHeight="1" x14ac:dyDescent="0.25">
      <c r="A224" s="1122"/>
      <c r="B224" s="754" t="s">
        <v>1179</v>
      </c>
      <c r="C224" s="788">
        <f>C214</f>
        <v>19.495759833054819</v>
      </c>
      <c r="D224" s="820"/>
      <c r="E224" s="767" t="s">
        <v>1598</v>
      </c>
      <c r="F224" s="768" t="s">
        <v>1441</v>
      </c>
      <c r="G224" s="769">
        <v>5.36</v>
      </c>
      <c r="H224" s="769">
        <v>1</v>
      </c>
      <c r="I224" s="770">
        <f>G224*H224</f>
        <v>5.36</v>
      </c>
      <c r="J224" s="758" t="s">
        <v>1513</v>
      </c>
      <c r="K224" s="760">
        <v>2</v>
      </c>
      <c r="L224" s="760">
        <v>25</v>
      </c>
      <c r="M224" s="760">
        <v>0.5</v>
      </c>
      <c r="N224" s="790">
        <f>L224/'Исп. коэффициенты'!E33*(C226+C227)</f>
        <v>1.8162057862863391E-2</v>
      </c>
      <c r="O224" s="759"/>
      <c r="P224" s="759"/>
      <c r="Q224" s="759"/>
      <c r="R224" s="759"/>
      <c r="S224" s="759"/>
      <c r="T224" s="759"/>
      <c r="U224" s="759"/>
      <c r="V224" s="759"/>
      <c r="W224" s="759"/>
      <c r="X224" s="759"/>
      <c r="Y224" s="759"/>
      <c r="Z224" s="759"/>
      <c r="AA224" s="755"/>
      <c r="AB224" s="755"/>
      <c r="AC224" s="755"/>
      <c r="AD224" s="802"/>
      <c r="AF224" s="821"/>
      <c r="AG224" s="802"/>
      <c r="AH224" s="805"/>
      <c r="AI224" s="805"/>
      <c r="AJ224" s="822"/>
      <c r="AK224" s="805"/>
      <c r="AL224" s="806"/>
      <c r="AM224" s="805"/>
      <c r="AN224" s="805"/>
      <c r="AO224" s="807"/>
      <c r="AP224" s="805"/>
      <c r="AQ224" s="805"/>
      <c r="AR224" s="807"/>
      <c r="AS224" s="807"/>
      <c r="AT224" s="805"/>
      <c r="AU224" s="805"/>
      <c r="AV224" s="807"/>
      <c r="AW224" s="802"/>
      <c r="AX224" s="802"/>
      <c r="AY224" s="802"/>
      <c r="AZ224" s="802"/>
      <c r="BA224" s="802"/>
    </row>
    <row r="225" spans="1:53" s="803" customFormat="1" ht="12.75" customHeight="1" x14ac:dyDescent="0.25">
      <c r="A225" s="1122"/>
      <c r="B225" s="754" t="s">
        <v>1180</v>
      </c>
      <c r="C225" s="789"/>
      <c r="D225" s="820"/>
      <c r="E225" s="767" t="s">
        <v>2113</v>
      </c>
      <c r="F225" s="768" t="s">
        <v>1</v>
      </c>
      <c r="G225" s="769">
        <v>0.17</v>
      </c>
      <c r="H225" s="768">
        <v>40</v>
      </c>
      <c r="I225" s="770">
        <f>G225*H225</f>
        <v>6.8000000000000007</v>
      </c>
      <c r="J225" s="758"/>
      <c r="K225" s="760"/>
      <c r="L225" s="760"/>
      <c r="M225" s="760"/>
      <c r="N225" s="760"/>
      <c r="O225" s="759"/>
      <c r="P225" s="759"/>
      <c r="Q225" s="759"/>
      <c r="R225" s="759"/>
      <c r="S225" s="759"/>
      <c r="T225" s="759"/>
      <c r="U225" s="759"/>
      <c r="V225" s="759"/>
      <c r="W225" s="759"/>
      <c r="X225" s="759"/>
      <c r="Y225" s="759"/>
      <c r="Z225" s="759"/>
      <c r="AA225" s="755"/>
      <c r="AB225" s="755"/>
      <c r="AC225" s="755"/>
      <c r="AD225" s="802"/>
      <c r="AF225" s="821"/>
      <c r="AG225" s="802"/>
      <c r="AH225" s="805"/>
      <c r="AI225" s="805"/>
      <c r="AJ225" s="822"/>
      <c r="AK225" s="805"/>
      <c r="AL225" s="806"/>
      <c r="AM225" s="805"/>
      <c r="AN225" s="805"/>
      <c r="AO225" s="807"/>
      <c r="AP225" s="805"/>
      <c r="AQ225" s="805"/>
      <c r="AR225" s="807"/>
      <c r="AS225" s="807"/>
      <c r="AT225" s="805"/>
      <c r="AU225" s="805"/>
      <c r="AV225" s="807"/>
      <c r="AW225" s="802"/>
      <c r="AX225" s="802"/>
      <c r="AY225" s="802"/>
      <c r="AZ225" s="802"/>
      <c r="BA225" s="802"/>
    </row>
    <row r="226" spans="1:53" s="803" customFormat="1" ht="12.75" customHeight="1" x14ac:dyDescent="0.25">
      <c r="A226" s="1122"/>
      <c r="B226" s="774" t="s">
        <v>1178</v>
      </c>
      <c r="C226" s="784">
        <v>4</v>
      </c>
      <c r="D226" s="820"/>
      <c r="E226" s="767"/>
      <c r="F226" s="768"/>
      <c r="G226" s="769"/>
      <c r="H226" s="768"/>
      <c r="I226" s="770"/>
      <c r="J226" s="758"/>
      <c r="K226" s="760"/>
      <c r="L226" s="760"/>
      <c r="M226" s="760"/>
      <c r="N226" s="760"/>
      <c r="O226" s="759"/>
      <c r="P226" s="759"/>
      <c r="Q226" s="759"/>
      <c r="R226" s="759"/>
      <c r="S226" s="759"/>
      <c r="T226" s="759"/>
      <c r="U226" s="759"/>
      <c r="V226" s="759"/>
      <c r="W226" s="759"/>
      <c r="X226" s="759"/>
      <c r="Y226" s="759"/>
      <c r="Z226" s="759"/>
      <c r="AA226" s="755"/>
      <c r="AB226" s="755"/>
      <c r="AC226" s="755"/>
      <c r="AD226" s="802"/>
      <c r="AF226" s="821"/>
      <c r="AG226" s="802"/>
      <c r="AH226" s="805"/>
      <c r="AI226" s="805"/>
      <c r="AJ226" s="827"/>
      <c r="AK226" s="805"/>
      <c r="AL226" s="806"/>
      <c r="AM226" s="805"/>
      <c r="AN226" s="805"/>
      <c r="AO226" s="807"/>
      <c r="AP226" s="805"/>
      <c r="AQ226" s="805"/>
      <c r="AR226" s="807"/>
      <c r="AS226" s="807"/>
      <c r="AT226" s="805"/>
      <c r="AU226" s="805"/>
      <c r="AV226" s="807"/>
      <c r="AW226" s="802"/>
      <c r="AX226" s="802"/>
      <c r="AY226" s="802"/>
      <c r="AZ226" s="802"/>
      <c r="BA226" s="802"/>
    </row>
    <row r="227" spans="1:53" s="803" customFormat="1" ht="12.75" customHeight="1" x14ac:dyDescent="0.25">
      <c r="A227" s="1122"/>
      <c r="B227" s="754" t="s">
        <v>1179</v>
      </c>
      <c r="C227" s="784">
        <v>3</v>
      </c>
      <c r="D227" s="820"/>
      <c r="E227" s="767"/>
      <c r="F227" s="768"/>
      <c r="G227" s="769"/>
      <c r="H227" s="768"/>
      <c r="I227" s="770"/>
      <c r="J227" s="758"/>
      <c r="K227" s="760"/>
      <c r="L227" s="760"/>
      <c r="M227" s="760"/>
      <c r="N227" s="760"/>
      <c r="O227" s="759"/>
      <c r="P227" s="759"/>
      <c r="Q227" s="759"/>
      <c r="R227" s="759"/>
      <c r="S227" s="759"/>
      <c r="T227" s="759"/>
      <c r="U227" s="759"/>
      <c r="V227" s="759"/>
      <c r="W227" s="759"/>
      <c r="X227" s="759"/>
      <c r="Y227" s="759"/>
      <c r="Z227" s="759"/>
      <c r="AA227" s="755"/>
      <c r="AB227" s="755"/>
      <c r="AC227" s="755"/>
      <c r="AD227" s="802"/>
      <c r="AF227" s="821"/>
      <c r="AG227" s="802"/>
      <c r="AH227" s="805"/>
      <c r="AI227" s="805"/>
      <c r="AJ227" s="827"/>
      <c r="AK227" s="805"/>
      <c r="AL227" s="806"/>
      <c r="AM227" s="805"/>
      <c r="AN227" s="805"/>
      <c r="AO227" s="807"/>
      <c r="AP227" s="805"/>
      <c r="AQ227" s="805"/>
      <c r="AR227" s="807"/>
      <c r="AS227" s="807"/>
      <c r="AT227" s="805"/>
      <c r="AU227" s="805"/>
      <c r="AV227" s="807"/>
      <c r="AW227" s="802"/>
      <c r="AX227" s="802"/>
      <c r="AY227" s="802"/>
      <c r="AZ227" s="802"/>
      <c r="BA227" s="802"/>
    </row>
    <row r="228" spans="1:53" s="803" customFormat="1" ht="12.75" customHeight="1" x14ac:dyDescent="0.25">
      <c r="A228" s="1122"/>
      <c r="B228" s="782" t="s">
        <v>1181</v>
      </c>
      <c r="C228" s="788">
        <f>C223*C226+C224*C227</f>
        <v>193.1581173081012</v>
      </c>
      <c r="D228" s="820"/>
      <c r="E228" s="767"/>
      <c r="F228" s="781"/>
      <c r="G228" s="769"/>
      <c r="H228" s="768"/>
      <c r="I228" s="770"/>
      <c r="J228" s="758"/>
      <c r="K228" s="828"/>
      <c r="L228" s="760"/>
      <c r="M228" s="760"/>
      <c r="N228" s="760"/>
      <c r="O228" s="759"/>
      <c r="P228" s="759"/>
      <c r="Q228" s="759"/>
      <c r="R228" s="759"/>
      <c r="S228" s="759"/>
      <c r="T228" s="759"/>
      <c r="U228" s="759"/>
      <c r="V228" s="759"/>
      <c r="W228" s="759"/>
      <c r="X228" s="759"/>
      <c r="Y228" s="759"/>
      <c r="Z228" s="759"/>
      <c r="AA228" s="755"/>
      <c r="AB228" s="755"/>
      <c r="AC228" s="755"/>
      <c r="AD228" s="802"/>
      <c r="AF228" s="821"/>
      <c r="AG228" s="802"/>
      <c r="AH228" s="805"/>
      <c r="AI228" s="805"/>
      <c r="AJ228" s="822"/>
      <c r="AK228" s="805"/>
      <c r="AL228" s="806"/>
      <c r="AM228" s="805"/>
      <c r="AN228" s="805"/>
      <c r="AO228" s="807"/>
      <c r="AP228" s="805"/>
      <c r="AQ228" s="805"/>
      <c r="AR228" s="807"/>
      <c r="AS228" s="807"/>
      <c r="AT228" s="805"/>
      <c r="AU228" s="805"/>
      <c r="AV228" s="807"/>
      <c r="AW228" s="802"/>
      <c r="AX228" s="802"/>
      <c r="AY228" s="802"/>
      <c r="AZ228" s="802"/>
      <c r="BA228" s="802"/>
    </row>
    <row r="229" spans="1:53" s="803" customFormat="1" ht="12.75" customHeight="1" x14ac:dyDescent="0.25">
      <c r="A229" s="1122"/>
      <c r="B229" s="782"/>
      <c r="C229" s="784"/>
      <c r="D229" s="829"/>
      <c r="E229" s="767"/>
      <c r="F229" s="781"/>
      <c r="G229" s="769"/>
      <c r="H229" s="768"/>
      <c r="I229" s="770"/>
      <c r="J229" s="758"/>
      <c r="K229" s="828"/>
      <c r="L229" s="760"/>
      <c r="M229" s="760"/>
      <c r="N229" s="760"/>
      <c r="O229" s="759"/>
      <c r="P229" s="759"/>
      <c r="Q229" s="759"/>
      <c r="R229" s="759"/>
      <c r="S229" s="759"/>
      <c r="T229" s="759"/>
      <c r="U229" s="759"/>
      <c r="V229" s="759"/>
      <c r="W229" s="759"/>
      <c r="X229" s="759"/>
      <c r="Y229" s="759"/>
      <c r="Z229" s="759"/>
      <c r="AA229" s="755"/>
      <c r="AB229" s="755"/>
      <c r="AC229" s="755"/>
      <c r="AD229" s="802"/>
      <c r="AF229" s="821"/>
      <c r="AG229" s="802"/>
      <c r="AH229" s="805"/>
      <c r="AI229" s="805"/>
      <c r="AJ229" s="827"/>
      <c r="AK229" s="805"/>
      <c r="AL229" s="806"/>
      <c r="AM229" s="805"/>
      <c r="AN229" s="805"/>
      <c r="AO229" s="807"/>
      <c r="AP229" s="805"/>
      <c r="AQ229" s="805"/>
      <c r="AR229" s="807"/>
      <c r="AS229" s="807"/>
      <c r="AT229" s="805"/>
      <c r="AU229" s="805"/>
      <c r="AV229" s="807"/>
      <c r="AW229" s="802"/>
      <c r="AX229" s="802"/>
      <c r="AY229" s="802"/>
      <c r="AZ229" s="802"/>
      <c r="BA229" s="802"/>
    </row>
    <row r="230" spans="1:53" ht="56.25" customHeight="1" x14ac:dyDescent="0.25">
      <c r="A230" s="1126" t="s">
        <v>1747</v>
      </c>
      <c r="B230" s="687"/>
      <c r="C230" s="687"/>
      <c r="D230" s="684"/>
      <c r="E230" s="52" t="s">
        <v>488</v>
      </c>
      <c r="F230" s="53" t="s">
        <v>837</v>
      </c>
      <c r="G230" s="687" t="s">
        <v>489</v>
      </c>
      <c r="H230" s="52" t="s">
        <v>1170</v>
      </c>
      <c r="I230" s="53" t="s">
        <v>838</v>
      </c>
      <c r="J230" s="47" t="s">
        <v>1171</v>
      </c>
      <c r="K230" s="47" t="s">
        <v>490</v>
      </c>
      <c r="L230" s="54" t="s">
        <v>489</v>
      </c>
      <c r="M230" s="47" t="s">
        <v>1172</v>
      </c>
      <c r="N230" s="53" t="s">
        <v>838</v>
      </c>
      <c r="O230" s="47" t="s">
        <v>1171</v>
      </c>
      <c r="P230" s="47" t="s">
        <v>826</v>
      </c>
      <c r="Q230" s="47" t="s">
        <v>1173</v>
      </c>
      <c r="R230" s="47" t="s">
        <v>1174</v>
      </c>
      <c r="S230" s="47" t="s">
        <v>839</v>
      </c>
      <c r="T230" s="47" t="s">
        <v>1171</v>
      </c>
      <c r="U230" s="47" t="s">
        <v>1392</v>
      </c>
      <c r="V230" s="47" t="s">
        <v>841</v>
      </c>
      <c r="W230" s="231" t="s">
        <v>1173</v>
      </c>
      <c r="X230" s="47" t="s">
        <v>1394</v>
      </c>
      <c r="Y230" s="47" t="s">
        <v>839</v>
      </c>
      <c r="Z230" s="55"/>
      <c r="AA230" s="1"/>
      <c r="AB230" s="1"/>
      <c r="AC230" s="1"/>
      <c r="AD230" s="56"/>
      <c r="AQ230" s="139"/>
      <c r="AR230" s="139"/>
      <c r="AS230" s="139"/>
    </row>
    <row r="231" spans="1:53" ht="12" customHeight="1" x14ac:dyDescent="0.25">
      <c r="A231" s="1126"/>
      <c r="B231" s="36" t="s">
        <v>1175</v>
      </c>
      <c r="C231" s="687">
        <f>C238</f>
        <v>120.49888818975737</v>
      </c>
      <c r="D231" s="684">
        <f>C231*$D$5</f>
        <v>24.340775414330988</v>
      </c>
      <c r="E231" s="227" t="s">
        <v>1176</v>
      </c>
      <c r="F231" s="165"/>
      <c r="G231" s="58"/>
      <c r="H231" s="58"/>
      <c r="I231" s="2">
        <f>SUM(I232:I239)</f>
        <v>19.86</v>
      </c>
      <c r="J231" s="59" t="s">
        <v>1176</v>
      </c>
      <c r="K231" s="169"/>
      <c r="L231" s="60"/>
      <c r="M231" s="60"/>
      <c r="N231" s="399">
        <f>SUM(N232:N239)</f>
        <v>0.361165493501512</v>
      </c>
      <c r="O231" s="60" t="s">
        <v>1176</v>
      </c>
      <c r="P231" s="60"/>
      <c r="Q231" s="62"/>
      <c r="R231" s="63"/>
      <c r="S231" s="399">
        <f>SUM(S232:S239)</f>
        <v>4.3588938870872136</v>
      </c>
      <c r="T231" s="61"/>
      <c r="U231" s="61"/>
      <c r="V231" s="61"/>
      <c r="W231" s="61"/>
      <c r="X231" s="61"/>
      <c r="Y231" s="399">
        <f>SUM(Y232:Y239)</f>
        <v>9.5772639223070755</v>
      </c>
      <c r="Z231" s="64">
        <f>(C231+D231+I231+N231+S231+Y231)*$Z$5</f>
        <v>232.72967942380927</v>
      </c>
      <c r="AA231" s="65">
        <f>C231+D231+I231+N231+S231+Y231+Z231</f>
        <v>411.72666633079348</v>
      </c>
      <c r="AB231" s="66">
        <v>0.25</v>
      </c>
      <c r="AC231" s="244">
        <f>AA231*(1+AB231)</f>
        <v>514.6583329134919</v>
      </c>
      <c r="AD231" s="67"/>
      <c r="AI231" s="139"/>
      <c r="AJ231" s="140"/>
      <c r="AK231" s="141"/>
      <c r="AM231" s="142"/>
      <c r="AN231" s="143"/>
      <c r="AO231" s="142"/>
      <c r="AP231" s="139"/>
      <c r="AQ231" s="139"/>
      <c r="AR231" s="139"/>
      <c r="AS231" s="139"/>
      <c r="AT231" s="139"/>
      <c r="AU231" s="142"/>
      <c r="AV231" s="142"/>
      <c r="AW231" s="144"/>
    </row>
    <row r="232" spans="1:53" ht="12.75" customHeight="1" x14ac:dyDescent="0.25">
      <c r="A232" s="1126"/>
      <c r="B232" s="50" t="s">
        <v>1177</v>
      </c>
      <c r="C232" s="687"/>
      <c r="D232" s="685"/>
      <c r="E232" s="68" t="s">
        <v>1437</v>
      </c>
      <c r="F232" s="69" t="s">
        <v>1438</v>
      </c>
      <c r="G232" s="70">
        <v>0.3</v>
      </c>
      <c r="H232" s="69">
        <v>10</v>
      </c>
      <c r="I232" s="71">
        <f>G232*H232</f>
        <v>3</v>
      </c>
      <c r="J232" s="59" t="s">
        <v>1291</v>
      </c>
      <c r="K232" s="61">
        <v>2</v>
      </c>
      <c r="L232" s="61">
        <v>750</v>
      </c>
      <c r="M232" s="61">
        <v>2</v>
      </c>
      <c r="N232" s="399">
        <f>L232/'Исп. коэффициенты'!E33*(C236+C237)</f>
        <v>0.31134956336337238</v>
      </c>
      <c r="O232" s="60" t="s">
        <v>1793</v>
      </c>
      <c r="P232" s="60">
        <v>70000</v>
      </c>
      <c r="Q232" s="60">
        <v>20</v>
      </c>
      <c r="R232" s="60">
        <f>P232*Q232%</f>
        <v>14000</v>
      </c>
      <c r="S232" s="739">
        <f>R232/'Исп. коэффициенты'!E33*C236</f>
        <v>4.3588938870872136</v>
      </c>
      <c r="T232" s="755" t="s">
        <v>1435</v>
      </c>
      <c r="U232" s="756">
        <v>6785401.3499999996</v>
      </c>
      <c r="V232" s="785">
        <f>'Исп. коэффициенты'!E124</f>
        <v>2978.5</v>
      </c>
      <c r="W232" s="761">
        <f>'Исп. коэффициенты'!D124</f>
        <v>1.3599999999999999E-2</v>
      </c>
      <c r="X232" s="760">
        <f>U232*W232</f>
        <v>92281.45835999999</v>
      </c>
      <c r="Y232" s="759">
        <f>X232/'Исп. коэффициенты'!E33</f>
        <v>9.5772639223070755</v>
      </c>
      <c r="Z232" s="60"/>
      <c r="AA232" s="1"/>
      <c r="AB232" s="1"/>
      <c r="AC232" s="1"/>
      <c r="AD232" s="56"/>
      <c r="AF232" s="151"/>
      <c r="AJ232" s="136"/>
      <c r="AT232" s="139"/>
    </row>
    <row r="233" spans="1:53" x14ac:dyDescent="0.25">
      <c r="A233" s="1126"/>
      <c r="B233" s="74" t="s">
        <v>1178</v>
      </c>
      <c r="C233" s="75">
        <f>C223</f>
        <v>33.667709452234185</v>
      </c>
      <c r="D233" s="685"/>
      <c r="E233" s="68" t="s">
        <v>2112</v>
      </c>
      <c r="F233" s="69" t="s">
        <v>1</v>
      </c>
      <c r="G233" s="70">
        <v>0.47</v>
      </c>
      <c r="H233" s="69">
        <v>10</v>
      </c>
      <c r="I233" s="242">
        <f>G233*H233</f>
        <v>4.6999999999999993</v>
      </c>
      <c r="J233" s="59" t="s">
        <v>1445</v>
      </c>
      <c r="K233" s="61">
        <v>2</v>
      </c>
      <c r="L233" s="61">
        <v>95</v>
      </c>
      <c r="M233" s="61">
        <v>2</v>
      </c>
      <c r="N233" s="399">
        <f>L233/'Исп. коэффициенты'!E33*(C236+C237)</f>
        <v>3.9437611359360504E-2</v>
      </c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1"/>
      <c r="AB233" s="1"/>
      <c r="AC233" s="1"/>
      <c r="AD233" s="56"/>
      <c r="AF233" s="151"/>
      <c r="AJ233" s="136"/>
      <c r="AM233" s="145"/>
    </row>
    <row r="234" spans="1:53" ht="12.75" customHeight="1" x14ac:dyDescent="0.25">
      <c r="A234" s="1126"/>
      <c r="B234" s="57" t="s">
        <v>1179</v>
      </c>
      <c r="C234" s="687">
        <f>C224</f>
        <v>19.495759833054819</v>
      </c>
      <c r="D234" s="685"/>
      <c r="E234" s="68" t="s">
        <v>1598</v>
      </c>
      <c r="F234" s="69" t="s">
        <v>1441</v>
      </c>
      <c r="G234" s="70">
        <v>5.36</v>
      </c>
      <c r="H234" s="70">
        <v>1</v>
      </c>
      <c r="I234" s="71">
        <f>G234*H234</f>
        <v>5.36</v>
      </c>
      <c r="J234" s="59" t="s">
        <v>1513</v>
      </c>
      <c r="K234" s="61">
        <v>2</v>
      </c>
      <c r="L234" s="61">
        <v>25</v>
      </c>
      <c r="M234" s="61">
        <v>0.5</v>
      </c>
      <c r="N234" s="399">
        <f>L234/'Исп. коэффициенты'!E33*(C236+C237)</f>
        <v>1.037831877877908E-2</v>
      </c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1"/>
      <c r="AB234" s="1"/>
      <c r="AC234" s="1"/>
      <c r="AD234" s="56"/>
      <c r="AF234" s="151"/>
      <c r="AJ234" s="136"/>
    </row>
    <row r="235" spans="1:53" ht="12.75" customHeight="1" x14ac:dyDescent="0.25">
      <c r="A235" s="1126"/>
      <c r="B235" s="57" t="s">
        <v>1180</v>
      </c>
      <c r="C235" s="77"/>
      <c r="D235" s="685"/>
      <c r="E235" s="68" t="s">
        <v>2113</v>
      </c>
      <c r="F235" s="69" t="s">
        <v>1</v>
      </c>
      <c r="G235" s="70">
        <v>0.17</v>
      </c>
      <c r="H235" s="69">
        <v>40</v>
      </c>
      <c r="I235" s="71">
        <f>G235*H235</f>
        <v>6.8000000000000007</v>
      </c>
      <c r="J235" s="59"/>
      <c r="K235" s="61"/>
      <c r="L235" s="61"/>
      <c r="M235" s="61"/>
      <c r="N235" s="61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1"/>
      <c r="AB235" s="1"/>
      <c r="AC235" s="1"/>
      <c r="AD235" s="56"/>
      <c r="AF235" s="151"/>
      <c r="AJ235" s="136"/>
    </row>
    <row r="236" spans="1:53" ht="12.75" customHeight="1" x14ac:dyDescent="0.25">
      <c r="A236" s="1126"/>
      <c r="B236" s="74" t="s">
        <v>1178</v>
      </c>
      <c r="C236" s="78">
        <v>3</v>
      </c>
      <c r="D236" s="685"/>
      <c r="E236" s="68"/>
      <c r="F236" s="69"/>
      <c r="G236" s="70"/>
      <c r="H236" s="69"/>
      <c r="I236" s="71"/>
      <c r="J236" s="59"/>
      <c r="K236" s="61"/>
      <c r="L236" s="61"/>
      <c r="M236" s="61"/>
      <c r="N236" s="61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1"/>
      <c r="AB236" s="1"/>
      <c r="AC236" s="1"/>
      <c r="AD236" s="56"/>
      <c r="AF236" s="151"/>
      <c r="AJ236" s="146"/>
    </row>
    <row r="237" spans="1:53" ht="12.75" customHeight="1" x14ac:dyDescent="0.25">
      <c r="A237" s="1126"/>
      <c r="B237" s="57" t="s">
        <v>1179</v>
      </c>
      <c r="C237" s="78">
        <v>1</v>
      </c>
      <c r="D237" s="685"/>
      <c r="E237" s="68"/>
      <c r="F237" s="69"/>
      <c r="G237" s="70"/>
      <c r="H237" s="69"/>
      <c r="I237" s="71"/>
      <c r="J237" s="59"/>
      <c r="K237" s="61"/>
      <c r="L237" s="61"/>
      <c r="M237" s="61"/>
      <c r="N237" s="61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1"/>
      <c r="AB237" s="1"/>
      <c r="AC237" s="1"/>
      <c r="AD237" s="56"/>
      <c r="AF237" s="151"/>
      <c r="AJ237" s="146"/>
    </row>
    <row r="238" spans="1:53" ht="12.75" customHeight="1" x14ac:dyDescent="0.25">
      <c r="A238" s="1126"/>
      <c r="B238" s="79" t="s">
        <v>1181</v>
      </c>
      <c r="C238" s="687">
        <f>C233*C236+C234*C237</f>
        <v>120.49888818975737</v>
      </c>
      <c r="D238" s="685"/>
      <c r="E238" s="68"/>
      <c r="F238" s="166"/>
      <c r="G238" s="70"/>
      <c r="H238" s="69"/>
      <c r="I238" s="71"/>
      <c r="J238" s="59"/>
      <c r="K238" s="170"/>
      <c r="L238" s="61"/>
      <c r="M238" s="61"/>
      <c r="N238" s="61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1"/>
      <c r="AB238" s="1"/>
      <c r="AC238" s="1"/>
      <c r="AD238" s="56"/>
      <c r="AF238" s="151"/>
      <c r="AJ238" s="136"/>
    </row>
    <row r="239" spans="1:53" ht="12.75" customHeight="1" x14ac:dyDescent="0.25">
      <c r="A239" s="1126"/>
      <c r="B239" s="79"/>
      <c r="C239" s="78"/>
      <c r="D239" s="686"/>
      <c r="E239" s="68"/>
      <c r="F239" s="166"/>
      <c r="G239" s="70"/>
      <c r="H239" s="69"/>
      <c r="I239" s="71"/>
      <c r="J239" s="59"/>
      <c r="K239" s="170"/>
      <c r="L239" s="61"/>
      <c r="M239" s="61"/>
      <c r="N239" s="61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1"/>
      <c r="AB239" s="1"/>
      <c r="AC239" s="1"/>
      <c r="AD239" s="56"/>
      <c r="AF239" s="151"/>
      <c r="AJ239" s="146"/>
    </row>
    <row r="240" spans="1:53" ht="56.25" customHeight="1" x14ac:dyDescent="0.25">
      <c r="A240" s="1126" t="s">
        <v>2192</v>
      </c>
      <c r="B240" s="744"/>
      <c r="C240" s="744"/>
      <c r="D240" s="741"/>
      <c r="E240" s="52" t="s">
        <v>488</v>
      </c>
      <c r="F240" s="53" t="s">
        <v>837</v>
      </c>
      <c r="G240" s="744" t="s">
        <v>489</v>
      </c>
      <c r="H240" s="52" t="s">
        <v>1170</v>
      </c>
      <c r="I240" s="53" t="s">
        <v>838</v>
      </c>
      <c r="J240" s="47" t="s">
        <v>1171</v>
      </c>
      <c r="K240" s="47" t="s">
        <v>490</v>
      </c>
      <c r="L240" s="54" t="s">
        <v>489</v>
      </c>
      <c r="M240" s="47" t="s">
        <v>1172</v>
      </c>
      <c r="N240" s="53" t="s">
        <v>838</v>
      </c>
      <c r="O240" s="47" t="s">
        <v>1171</v>
      </c>
      <c r="P240" s="47" t="s">
        <v>826</v>
      </c>
      <c r="Q240" s="47" t="s">
        <v>1173</v>
      </c>
      <c r="R240" s="47" t="s">
        <v>1174</v>
      </c>
      <c r="S240" s="47" t="s">
        <v>839</v>
      </c>
      <c r="T240" s="47" t="s">
        <v>1171</v>
      </c>
      <c r="U240" s="47" t="s">
        <v>1392</v>
      </c>
      <c r="V240" s="47" t="s">
        <v>841</v>
      </c>
      <c r="W240" s="231" t="s">
        <v>1173</v>
      </c>
      <c r="X240" s="47" t="s">
        <v>1394</v>
      </c>
      <c r="Y240" s="47" t="s">
        <v>839</v>
      </c>
      <c r="Z240" s="55"/>
      <c r="AA240" s="1"/>
      <c r="AB240" s="1"/>
      <c r="AC240" s="1"/>
      <c r="AD240" s="56"/>
      <c r="AQ240" s="139"/>
      <c r="AR240" s="139"/>
      <c r="AS240" s="139"/>
    </row>
    <row r="241" spans="1:49" ht="12" customHeight="1" x14ac:dyDescent="0.25">
      <c r="A241" s="1126"/>
      <c r="B241" s="36" t="s">
        <v>1175</v>
      </c>
      <c r="C241" s="744">
        <f>C248</f>
        <v>293.63632792876274</v>
      </c>
      <c r="D241" s="741">
        <f>C241*$D$5</f>
        <v>59.31453824161008</v>
      </c>
      <c r="E241" s="227" t="s">
        <v>1176</v>
      </c>
      <c r="F241" s="165"/>
      <c r="G241" s="58"/>
      <c r="H241" s="58"/>
      <c r="I241" s="2">
        <f>SUM(I242:I249)</f>
        <v>151.22000000000003</v>
      </c>
      <c r="J241" s="59" t="s">
        <v>1176</v>
      </c>
      <c r="K241" s="169"/>
      <c r="L241" s="60"/>
      <c r="M241" s="60"/>
      <c r="N241" s="399">
        <f>SUM(N242:N249)</f>
        <v>0.96611769511654444</v>
      </c>
      <c r="O241" s="60" t="s">
        <v>1176</v>
      </c>
      <c r="P241" s="60"/>
      <c r="Q241" s="62"/>
      <c r="R241" s="63"/>
      <c r="S241" s="399">
        <f>SUM(S242:S249)</f>
        <v>37.424217516277366</v>
      </c>
      <c r="T241" s="61"/>
      <c r="U241" s="61"/>
      <c r="V241" s="61"/>
      <c r="W241" s="61"/>
      <c r="X241" s="61"/>
      <c r="Y241" s="399">
        <f>SUM(Y242:Y249)</f>
        <v>9.5772639223070755</v>
      </c>
      <c r="Z241" s="64">
        <f>(C241+D241+I241+N241+S241+Y241)*$Z$5</f>
        <v>717.88363730695471</v>
      </c>
      <c r="AA241" s="65">
        <f>C241+D241+I241+N241+S241+Y241+Z241</f>
        <v>1270.0221026110285</v>
      </c>
      <c r="AB241" s="66">
        <v>0.25</v>
      </c>
      <c r="AC241" s="244">
        <f>AA241*(1+AB241)</f>
        <v>1587.5276282637856</v>
      </c>
      <c r="AD241" s="67"/>
      <c r="AI241" s="139"/>
      <c r="AJ241" s="140"/>
      <c r="AK241" s="141"/>
      <c r="AM241" s="142"/>
      <c r="AN241" s="143"/>
      <c r="AO241" s="142"/>
      <c r="AP241" s="139"/>
      <c r="AQ241" s="139"/>
      <c r="AR241" s="139"/>
      <c r="AS241" s="139"/>
      <c r="AT241" s="139"/>
      <c r="AU241" s="142"/>
      <c r="AV241" s="142"/>
      <c r="AW241" s="144"/>
    </row>
    <row r="242" spans="1:49" ht="12.75" customHeight="1" x14ac:dyDescent="0.25">
      <c r="A242" s="1126"/>
      <c r="B242" s="50" t="s">
        <v>1177</v>
      </c>
      <c r="C242" s="744"/>
      <c r="D242" s="742"/>
      <c r="E242" s="68" t="s">
        <v>1437</v>
      </c>
      <c r="F242" s="69" t="s">
        <v>1438</v>
      </c>
      <c r="G242" s="70">
        <v>0.3</v>
      </c>
      <c r="H242" s="69">
        <v>10</v>
      </c>
      <c r="I242" s="71">
        <f>G242*H242</f>
        <v>3</v>
      </c>
      <c r="J242" s="59" t="s">
        <v>1291</v>
      </c>
      <c r="K242" s="61">
        <v>2</v>
      </c>
      <c r="L242" s="61">
        <v>750</v>
      </c>
      <c r="M242" s="61">
        <v>2</v>
      </c>
      <c r="N242" s="399">
        <f>L242/'Исп. коэффициенты'!E33*(C246+C247)</f>
        <v>0.83286008199702111</v>
      </c>
      <c r="O242" s="60" t="s">
        <v>2194</v>
      </c>
      <c r="P242" s="60">
        <v>202500</v>
      </c>
      <c r="Q242" s="60">
        <v>20</v>
      </c>
      <c r="R242" s="60">
        <f>P242*Q242%</f>
        <v>40500</v>
      </c>
      <c r="S242" s="739">
        <f>R242/'Исп. коэффициенты'!E33*C246</f>
        <v>25.219314632433168</v>
      </c>
      <c r="T242" s="755" t="s">
        <v>1435</v>
      </c>
      <c r="U242" s="756">
        <v>6785401.3499999996</v>
      </c>
      <c r="V242" s="785">
        <f>'Исп. коэффициенты'!E124</f>
        <v>2978.5</v>
      </c>
      <c r="W242" s="761">
        <f>'Исп. коэффициенты'!D124</f>
        <v>1.3599999999999999E-2</v>
      </c>
      <c r="X242" s="760">
        <f>U242*W242</f>
        <v>92281.45835999999</v>
      </c>
      <c r="Y242" s="759">
        <f>X242/'Исп. коэффициенты'!E33</f>
        <v>9.5772639223070755</v>
      </c>
      <c r="Z242" s="60"/>
      <c r="AA242" s="1"/>
      <c r="AB242" s="1"/>
      <c r="AC242" s="1"/>
      <c r="AD242" s="56"/>
      <c r="AF242" s="151"/>
      <c r="AJ242" s="136"/>
      <c r="AT242" s="139"/>
    </row>
    <row r="243" spans="1:49" x14ac:dyDescent="0.25">
      <c r="A243" s="1126"/>
      <c r="B243" s="74" t="s">
        <v>1178</v>
      </c>
      <c r="C243" s="75">
        <f>C233</f>
        <v>33.667709452234185</v>
      </c>
      <c r="D243" s="742"/>
      <c r="E243" s="68" t="s">
        <v>2112</v>
      </c>
      <c r="F243" s="69" t="s">
        <v>1</v>
      </c>
      <c r="G243" s="70">
        <v>0.47</v>
      </c>
      <c r="H243" s="69">
        <v>10</v>
      </c>
      <c r="I243" s="242">
        <f>G243*H243</f>
        <v>4.6999999999999993</v>
      </c>
      <c r="J243" s="59" t="s">
        <v>1445</v>
      </c>
      <c r="K243" s="61">
        <v>2</v>
      </c>
      <c r="L243" s="61">
        <v>95</v>
      </c>
      <c r="M243" s="61">
        <v>2</v>
      </c>
      <c r="N243" s="399">
        <f>L243/'Исп. коэффициенты'!E33*(C246+C247)</f>
        <v>0.10549561038628934</v>
      </c>
      <c r="O243" s="60" t="s">
        <v>2194</v>
      </c>
      <c r="P243" s="60">
        <v>98000</v>
      </c>
      <c r="Q243" s="60">
        <v>20</v>
      </c>
      <c r="R243" s="60">
        <f>P243*Q243%</f>
        <v>19600</v>
      </c>
      <c r="S243" s="739">
        <f>R243/'Исп. коэффициенты'!E33*C246</f>
        <v>12.204902883844198</v>
      </c>
      <c r="T243" s="60"/>
      <c r="U243" s="60"/>
      <c r="V243" s="60"/>
      <c r="W243" s="60"/>
      <c r="X243" s="60"/>
      <c r="Y243" s="60"/>
      <c r="Z243" s="60"/>
      <c r="AA243" s="1"/>
      <c r="AB243" s="1"/>
      <c r="AC243" s="1"/>
      <c r="AD243" s="56"/>
      <c r="AF243" s="151"/>
      <c r="AJ243" s="136"/>
      <c r="AM243" s="145"/>
    </row>
    <row r="244" spans="1:49" ht="12.75" customHeight="1" x14ac:dyDescent="0.25">
      <c r="A244" s="1126"/>
      <c r="B244" s="57" t="s">
        <v>1179</v>
      </c>
      <c r="C244" s="744">
        <f>C234</f>
        <v>19.495759833054819</v>
      </c>
      <c r="D244" s="742"/>
      <c r="E244" s="68" t="s">
        <v>1598</v>
      </c>
      <c r="F244" s="69" t="s">
        <v>1441</v>
      </c>
      <c r="G244" s="70">
        <v>5.36</v>
      </c>
      <c r="H244" s="70">
        <v>1</v>
      </c>
      <c r="I244" s="71">
        <f>G244*H244</f>
        <v>5.36</v>
      </c>
      <c r="J244" s="59" t="s">
        <v>1513</v>
      </c>
      <c r="K244" s="61">
        <v>2</v>
      </c>
      <c r="L244" s="61">
        <v>25</v>
      </c>
      <c r="M244" s="61">
        <v>0.5</v>
      </c>
      <c r="N244" s="399">
        <f>L244/'Исп. коэффициенты'!E33*(C246+C247)</f>
        <v>2.7762002733234037E-2</v>
      </c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1"/>
      <c r="AB244" s="1"/>
      <c r="AC244" s="1"/>
      <c r="AD244" s="56"/>
      <c r="AF244" s="151"/>
      <c r="AJ244" s="136"/>
    </row>
    <row r="245" spans="1:49" ht="12.75" customHeight="1" x14ac:dyDescent="0.25">
      <c r="A245" s="1126"/>
      <c r="B245" s="57" t="s">
        <v>1180</v>
      </c>
      <c r="C245" s="77"/>
      <c r="D245" s="742"/>
      <c r="E245" s="68" t="s">
        <v>2113</v>
      </c>
      <c r="F245" s="69" t="s">
        <v>1</v>
      </c>
      <c r="G245" s="70">
        <v>0.17</v>
      </c>
      <c r="H245" s="69">
        <v>40</v>
      </c>
      <c r="I245" s="71">
        <f>G245*H245</f>
        <v>6.8000000000000007</v>
      </c>
      <c r="J245" s="59"/>
      <c r="K245" s="61"/>
      <c r="L245" s="61"/>
      <c r="M245" s="61"/>
      <c r="N245" s="61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1"/>
      <c r="AB245" s="1"/>
      <c r="AC245" s="1"/>
      <c r="AD245" s="56"/>
      <c r="AF245" s="151"/>
      <c r="AJ245" s="136"/>
    </row>
    <row r="246" spans="1:49" ht="12.75" customHeight="1" x14ac:dyDescent="0.25">
      <c r="A246" s="1126"/>
      <c r="B246" s="74" t="s">
        <v>1178</v>
      </c>
      <c r="C246" s="78">
        <v>6</v>
      </c>
      <c r="D246" s="742"/>
      <c r="E246" s="68" t="s">
        <v>2197</v>
      </c>
      <c r="F246" s="69" t="s">
        <v>1441</v>
      </c>
      <c r="G246" s="70">
        <v>16.420000000000002</v>
      </c>
      <c r="H246" s="69">
        <v>8</v>
      </c>
      <c r="I246" s="71">
        <f>G246*H246</f>
        <v>131.36000000000001</v>
      </c>
      <c r="J246" s="59"/>
      <c r="K246" s="61"/>
      <c r="L246" s="61"/>
      <c r="M246" s="61"/>
      <c r="N246" s="61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1"/>
      <c r="AB246" s="1"/>
      <c r="AC246" s="1"/>
      <c r="AD246" s="56"/>
      <c r="AF246" s="151"/>
      <c r="AJ246" s="146"/>
    </row>
    <row r="247" spans="1:49" ht="12.75" customHeight="1" x14ac:dyDescent="0.25">
      <c r="A247" s="1126"/>
      <c r="B247" s="57" t="s">
        <v>1179</v>
      </c>
      <c r="C247" s="78">
        <v>4.7</v>
      </c>
      <c r="D247" s="742"/>
      <c r="E247" s="68"/>
      <c r="F247" s="69"/>
      <c r="G247" s="70"/>
      <c r="H247" s="69"/>
      <c r="I247" s="71"/>
      <c r="J247" s="59"/>
      <c r="K247" s="61"/>
      <c r="L247" s="61"/>
      <c r="M247" s="61"/>
      <c r="N247" s="61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1"/>
      <c r="AB247" s="1"/>
      <c r="AC247" s="1"/>
      <c r="AD247" s="56"/>
      <c r="AF247" s="151"/>
      <c r="AJ247" s="146"/>
    </row>
    <row r="248" spans="1:49" ht="12.75" customHeight="1" x14ac:dyDescent="0.25">
      <c r="A248" s="1126"/>
      <c r="B248" s="79" t="s">
        <v>1181</v>
      </c>
      <c r="C248" s="744">
        <f>C243*C246+C244*C247</f>
        <v>293.63632792876274</v>
      </c>
      <c r="D248" s="742"/>
      <c r="E248" s="68"/>
      <c r="F248" s="166"/>
      <c r="G248" s="70"/>
      <c r="H248" s="69"/>
      <c r="I248" s="71"/>
      <c r="J248" s="59"/>
      <c r="K248" s="170"/>
      <c r="L248" s="61"/>
      <c r="M248" s="61"/>
      <c r="N248" s="61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1"/>
      <c r="AB248" s="1"/>
      <c r="AC248" s="1"/>
      <c r="AD248" s="56"/>
      <c r="AF248" s="151"/>
      <c r="AJ248" s="136"/>
    </row>
    <row r="249" spans="1:49" ht="12.75" customHeight="1" x14ac:dyDescent="0.25">
      <c r="A249" s="1126"/>
      <c r="B249" s="79"/>
      <c r="C249" s="78"/>
      <c r="D249" s="743"/>
      <c r="E249" s="68"/>
      <c r="F249" s="166"/>
      <c r="G249" s="70"/>
      <c r="H249" s="69"/>
      <c r="I249" s="71"/>
      <c r="J249" s="59"/>
      <c r="K249" s="170"/>
      <c r="L249" s="61"/>
      <c r="M249" s="61"/>
      <c r="N249" s="61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1"/>
      <c r="AB249" s="1"/>
      <c r="AC249" s="1"/>
      <c r="AD249" s="56"/>
      <c r="AF249" s="151"/>
      <c r="AJ249" s="146"/>
    </row>
    <row r="250" spans="1:49" ht="56.25" customHeight="1" x14ac:dyDescent="0.25">
      <c r="A250" s="1126" t="s">
        <v>2192</v>
      </c>
      <c r="B250" s="744"/>
      <c r="C250" s="744"/>
      <c r="D250" s="741"/>
      <c r="E250" s="52" t="s">
        <v>488</v>
      </c>
      <c r="F250" s="53" t="s">
        <v>837</v>
      </c>
      <c r="G250" s="744" t="s">
        <v>489</v>
      </c>
      <c r="H250" s="52" t="s">
        <v>1170</v>
      </c>
      <c r="I250" s="53" t="s">
        <v>838</v>
      </c>
      <c r="J250" s="47" t="s">
        <v>1171</v>
      </c>
      <c r="K250" s="47" t="s">
        <v>490</v>
      </c>
      <c r="L250" s="54" t="s">
        <v>489</v>
      </c>
      <c r="M250" s="47" t="s">
        <v>1172</v>
      </c>
      <c r="N250" s="53" t="s">
        <v>838</v>
      </c>
      <c r="O250" s="47" t="s">
        <v>1171</v>
      </c>
      <c r="P250" s="47" t="s">
        <v>826</v>
      </c>
      <c r="Q250" s="47" t="s">
        <v>1173</v>
      </c>
      <c r="R250" s="47" t="s">
        <v>1174</v>
      </c>
      <c r="S250" s="47" t="s">
        <v>839</v>
      </c>
      <c r="T250" s="47" t="s">
        <v>1171</v>
      </c>
      <c r="U250" s="47" t="s">
        <v>1392</v>
      </c>
      <c r="V250" s="47" t="s">
        <v>841</v>
      </c>
      <c r="W250" s="231" t="s">
        <v>1173</v>
      </c>
      <c r="X250" s="47" t="s">
        <v>1394</v>
      </c>
      <c r="Y250" s="47" t="s">
        <v>839</v>
      </c>
      <c r="Z250" s="55"/>
      <c r="AA250" s="1"/>
      <c r="AB250" s="1"/>
      <c r="AC250" s="1"/>
      <c r="AD250" s="56"/>
      <c r="AQ250" s="139"/>
      <c r="AR250" s="139"/>
      <c r="AS250" s="139"/>
    </row>
    <row r="251" spans="1:49" ht="12" customHeight="1" x14ac:dyDescent="0.25">
      <c r="A251" s="1126"/>
      <c r="B251" s="36" t="s">
        <v>1175</v>
      </c>
      <c r="C251" s="744">
        <f>C258</f>
        <v>293.63632792876274</v>
      </c>
      <c r="D251" s="741">
        <f>C251*$D$5</f>
        <v>59.31453824161008</v>
      </c>
      <c r="E251" s="227" t="s">
        <v>1176</v>
      </c>
      <c r="F251" s="165"/>
      <c r="G251" s="58"/>
      <c r="H251" s="58"/>
      <c r="I251" s="2">
        <f>SUM(I252:I259)</f>
        <v>151.22000000000003</v>
      </c>
      <c r="J251" s="59" t="s">
        <v>1176</v>
      </c>
      <c r="K251" s="169"/>
      <c r="L251" s="60"/>
      <c r="M251" s="60"/>
      <c r="N251" s="399">
        <f>SUM(N252:N259)</f>
        <v>0.96611769511654444</v>
      </c>
      <c r="O251" s="60" t="s">
        <v>1176</v>
      </c>
      <c r="P251" s="60"/>
      <c r="Q251" s="62"/>
      <c r="R251" s="63"/>
      <c r="S251" s="399">
        <f>SUM(S252:S259)</f>
        <v>12.204902883844198</v>
      </c>
      <c r="T251" s="61"/>
      <c r="U251" s="61"/>
      <c r="V251" s="61"/>
      <c r="W251" s="61"/>
      <c r="X251" s="61"/>
      <c r="Y251" s="399">
        <f>SUM(Y252:Y259)</f>
        <v>11.63319193706981</v>
      </c>
      <c r="Z251" s="64">
        <f>(C251+D251+I251+N251+S251+Y251)*$Z$5</f>
        <v>687.7668871032123</v>
      </c>
      <c r="AA251" s="65">
        <f>C251+D251+I251+N251+S251+Y251+Z251</f>
        <v>1216.7419657896157</v>
      </c>
      <c r="AB251" s="66">
        <v>0.25</v>
      </c>
      <c r="AC251" s="244">
        <f>AA251*(1+AB251)</f>
        <v>1520.9274572370196</v>
      </c>
      <c r="AD251" s="67"/>
      <c r="AI251" s="139"/>
      <c r="AJ251" s="140"/>
      <c r="AK251" s="141"/>
      <c r="AM251" s="142"/>
      <c r="AN251" s="143"/>
      <c r="AO251" s="142"/>
      <c r="AP251" s="139"/>
      <c r="AQ251" s="139"/>
      <c r="AR251" s="139"/>
      <c r="AS251" s="139"/>
      <c r="AT251" s="139"/>
      <c r="AU251" s="142"/>
      <c r="AV251" s="142"/>
      <c r="AW251" s="144"/>
    </row>
    <row r="252" spans="1:49" ht="12.75" customHeight="1" x14ac:dyDescent="0.25">
      <c r="A252" s="1126"/>
      <c r="B252" s="50" t="s">
        <v>1177</v>
      </c>
      <c r="C252" s="744"/>
      <c r="D252" s="742"/>
      <c r="E252" s="68" t="s">
        <v>1437</v>
      </c>
      <c r="F252" s="69" t="s">
        <v>1438</v>
      </c>
      <c r="G252" s="70">
        <v>0.3</v>
      </c>
      <c r="H252" s="69">
        <v>10</v>
      </c>
      <c r="I252" s="71">
        <f>G252*H252</f>
        <v>3</v>
      </c>
      <c r="J252" s="59" t="s">
        <v>1291</v>
      </c>
      <c r="K252" s="61">
        <v>2</v>
      </c>
      <c r="L252" s="61">
        <v>750</v>
      </c>
      <c r="M252" s="61">
        <v>2</v>
      </c>
      <c r="N252" s="399">
        <f>L252/'Исп. коэффициенты'!E33*(C256+C257)</f>
        <v>0.83286008199702111</v>
      </c>
      <c r="O252" s="60" t="s">
        <v>2194</v>
      </c>
      <c r="P252" s="60">
        <v>98000</v>
      </c>
      <c r="Q252" s="60">
        <v>20</v>
      </c>
      <c r="R252" s="60">
        <f>P252*Q252%</f>
        <v>19600</v>
      </c>
      <c r="S252" s="739">
        <f>R252/'Исп. коэффициенты'!E33*C256</f>
        <v>12.204902883844198</v>
      </c>
      <c r="T252" s="755" t="s">
        <v>1435</v>
      </c>
      <c r="U252" s="756">
        <v>6785401.3499999996</v>
      </c>
      <c r="V252" s="785">
        <f>'Исп. коэффициенты'!E124</f>
        <v>2978.5</v>
      </c>
      <c r="W252" s="761">
        <f>'Исп. коэффициенты'!D124</f>
        <v>1.3599999999999999E-2</v>
      </c>
      <c r="X252" s="760">
        <f>U252*W252</f>
        <v>92281.45835999999</v>
      </c>
      <c r="Y252" s="759">
        <f>X252/'Исп. коэффициенты'!E43</f>
        <v>11.63319193706981</v>
      </c>
      <c r="Z252" s="60"/>
      <c r="AA252" s="1"/>
      <c r="AB252" s="1"/>
      <c r="AC252" s="1"/>
      <c r="AD252" s="56"/>
      <c r="AF252" s="151"/>
      <c r="AJ252" s="136"/>
      <c r="AT252" s="139"/>
    </row>
    <row r="253" spans="1:49" x14ac:dyDescent="0.25">
      <c r="A253" s="1126"/>
      <c r="B253" s="74" t="s">
        <v>1178</v>
      </c>
      <c r="C253" s="75">
        <f>C233</f>
        <v>33.667709452234185</v>
      </c>
      <c r="D253" s="742"/>
      <c r="E253" s="68" t="s">
        <v>2112</v>
      </c>
      <c r="F253" s="69" t="s">
        <v>1</v>
      </c>
      <c r="G253" s="70">
        <v>0.47</v>
      </c>
      <c r="H253" s="69">
        <v>10</v>
      </c>
      <c r="I253" s="242">
        <f>G253*H253</f>
        <v>4.6999999999999993</v>
      </c>
      <c r="J253" s="59" t="s">
        <v>1445</v>
      </c>
      <c r="K253" s="61">
        <v>2</v>
      </c>
      <c r="L253" s="61">
        <v>95</v>
      </c>
      <c r="M253" s="61">
        <v>2</v>
      </c>
      <c r="N253" s="399">
        <f>L253/'Исп. коэффициенты'!E33*(C256+C257)</f>
        <v>0.10549561038628934</v>
      </c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1"/>
      <c r="AB253" s="1"/>
      <c r="AC253" s="1"/>
      <c r="AD253" s="56"/>
      <c r="AF253" s="151"/>
      <c r="AJ253" s="136"/>
      <c r="AM253" s="145"/>
    </row>
    <row r="254" spans="1:49" ht="12.75" customHeight="1" x14ac:dyDescent="0.25">
      <c r="A254" s="1126"/>
      <c r="B254" s="57" t="s">
        <v>1179</v>
      </c>
      <c r="C254" s="744">
        <f>C234</f>
        <v>19.495759833054819</v>
      </c>
      <c r="D254" s="742"/>
      <c r="E254" s="68" t="s">
        <v>1598</v>
      </c>
      <c r="F254" s="69" t="s">
        <v>1441</v>
      </c>
      <c r="G254" s="70">
        <v>5.36</v>
      </c>
      <c r="H254" s="70">
        <v>1</v>
      </c>
      <c r="I254" s="71">
        <f>G254*H254</f>
        <v>5.36</v>
      </c>
      <c r="J254" s="59" t="s">
        <v>1513</v>
      </c>
      <c r="K254" s="61">
        <v>2</v>
      </c>
      <c r="L254" s="61">
        <v>25</v>
      </c>
      <c r="M254" s="61">
        <v>0.5</v>
      </c>
      <c r="N254" s="399">
        <f>L254/'Исп. коэффициенты'!E33*(C256+C257)</f>
        <v>2.7762002733234037E-2</v>
      </c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1"/>
      <c r="AB254" s="1"/>
      <c r="AC254" s="1"/>
      <c r="AD254" s="56"/>
      <c r="AF254" s="151"/>
      <c r="AJ254" s="136"/>
    </row>
    <row r="255" spans="1:49" ht="12.75" customHeight="1" x14ac:dyDescent="0.25">
      <c r="A255" s="1126"/>
      <c r="B255" s="57" t="s">
        <v>1180</v>
      </c>
      <c r="C255" s="77"/>
      <c r="D255" s="742"/>
      <c r="E255" s="68" t="s">
        <v>2113</v>
      </c>
      <c r="F255" s="69" t="s">
        <v>1</v>
      </c>
      <c r="G255" s="70">
        <v>0.17</v>
      </c>
      <c r="H255" s="69">
        <v>40</v>
      </c>
      <c r="I255" s="71">
        <f>G255*H255</f>
        <v>6.8000000000000007</v>
      </c>
      <c r="J255" s="59"/>
      <c r="K255" s="61"/>
      <c r="L255" s="61"/>
      <c r="M255" s="61"/>
      <c r="N255" s="61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1"/>
      <c r="AB255" s="1"/>
      <c r="AC255" s="1"/>
      <c r="AD255" s="56"/>
      <c r="AF255" s="151"/>
      <c r="AJ255" s="136"/>
    </row>
    <row r="256" spans="1:49" ht="12.75" customHeight="1" x14ac:dyDescent="0.25">
      <c r="A256" s="1126"/>
      <c r="B256" s="74" t="s">
        <v>1178</v>
      </c>
      <c r="C256" s="78">
        <v>6</v>
      </c>
      <c r="D256" s="742"/>
      <c r="E256" s="68" t="s">
        <v>2197</v>
      </c>
      <c r="F256" s="69" t="s">
        <v>1441</v>
      </c>
      <c r="G256" s="70">
        <v>16.420000000000002</v>
      </c>
      <c r="H256" s="69">
        <v>8</v>
      </c>
      <c r="I256" s="71">
        <f>G256*H256</f>
        <v>131.36000000000001</v>
      </c>
      <c r="J256" s="59"/>
      <c r="K256" s="61"/>
      <c r="L256" s="61"/>
      <c r="M256" s="61"/>
      <c r="N256" s="61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1"/>
      <c r="AB256" s="1"/>
      <c r="AC256" s="1"/>
      <c r="AD256" s="56"/>
      <c r="AF256" s="151"/>
      <c r="AJ256" s="146"/>
    </row>
    <row r="257" spans="1:53" ht="12.75" customHeight="1" x14ac:dyDescent="0.25">
      <c r="A257" s="1126"/>
      <c r="B257" s="57" t="s">
        <v>1179</v>
      </c>
      <c r="C257" s="78">
        <v>4.7</v>
      </c>
      <c r="D257" s="742"/>
      <c r="E257" s="68"/>
      <c r="F257" s="69"/>
      <c r="G257" s="70"/>
      <c r="H257" s="69"/>
      <c r="I257" s="71"/>
      <c r="J257" s="59"/>
      <c r="K257" s="61"/>
      <c r="L257" s="61"/>
      <c r="M257" s="61"/>
      <c r="N257" s="61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1"/>
      <c r="AB257" s="1"/>
      <c r="AC257" s="1"/>
      <c r="AD257" s="56"/>
      <c r="AF257" s="151"/>
      <c r="AJ257" s="146"/>
    </row>
    <row r="258" spans="1:53" ht="12.75" customHeight="1" x14ac:dyDescent="0.25">
      <c r="A258" s="1126"/>
      <c r="B258" s="79" t="s">
        <v>1181</v>
      </c>
      <c r="C258" s="744">
        <f>C253*C256+C254*C257</f>
        <v>293.63632792876274</v>
      </c>
      <c r="D258" s="742"/>
      <c r="E258" s="68"/>
      <c r="F258" s="166"/>
      <c r="G258" s="70"/>
      <c r="H258" s="69"/>
      <c r="I258" s="71"/>
      <c r="J258" s="59"/>
      <c r="K258" s="170"/>
      <c r="L258" s="61"/>
      <c r="M258" s="61"/>
      <c r="N258" s="61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1"/>
      <c r="AB258" s="1"/>
      <c r="AC258" s="1"/>
      <c r="AD258" s="56"/>
      <c r="AF258" s="151"/>
      <c r="AJ258" s="136"/>
    </row>
    <row r="259" spans="1:53" ht="12.75" customHeight="1" x14ac:dyDescent="0.25">
      <c r="A259" s="1126"/>
      <c r="B259" s="79"/>
      <c r="C259" s="78"/>
      <c r="D259" s="743"/>
      <c r="E259" s="68"/>
      <c r="F259" s="166"/>
      <c r="G259" s="70"/>
      <c r="H259" s="69"/>
      <c r="I259" s="71"/>
      <c r="J259" s="59"/>
      <c r="K259" s="170"/>
      <c r="L259" s="61"/>
      <c r="M259" s="61"/>
      <c r="N259" s="61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1"/>
      <c r="AB259" s="1"/>
      <c r="AC259" s="1"/>
      <c r="AD259" s="56"/>
      <c r="AF259" s="151"/>
      <c r="AJ259" s="146"/>
    </row>
    <row r="260" spans="1:53" ht="19.5" customHeight="1" x14ac:dyDescent="0.25">
      <c r="A260" s="1059" t="s">
        <v>118</v>
      </c>
      <c r="B260" s="1060"/>
      <c r="C260" s="1060"/>
      <c r="D260" s="1060"/>
      <c r="E260" s="1060"/>
      <c r="F260" s="1060"/>
      <c r="G260" s="1060"/>
      <c r="H260" s="1060"/>
      <c r="I260" s="1060"/>
      <c r="J260" s="1060"/>
      <c r="K260" s="1060"/>
      <c r="L260" s="1060"/>
      <c r="M260" s="1060"/>
      <c r="N260" s="1060"/>
      <c r="O260" s="1060"/>
      <c r="P260" s="1060"/>
      <c r="Q260" s="1060"/>
      <c r="R260" s="1060"/>
      <c r="S260" s="1060"/>
      <c r="T260" s="1060"/>
      <c r="U260" s="1060"/>
      <c r="V260" s="1060"/>
      <c r="W260" s="1060"/>
      <c r="X260" s="1060"/>
      <c r="Y260" s="1060"/>
      <c r="Z260" s="1060"/>
      <c r="AA260" s="1060"/>
      <c r="AB260" s="1060"/>
      <c r="AC260" s="1061"/>
      <c r="AD260" s="56"/>
      <c r="AF260" s="151"/>
      <c r="AJ260" s="146"/>
    </row>
    <row r="261" spans="1:53" ht="56.25" customHeight="1" x14ac:dyDescent="0.25">
      <c r="A261" s="1126" t="s">
        <v>130</v>
      </c>
      <c r="B261" s="259" t="s">
        <v>1015</v>
      </c>
      <c r="C261" s="668"/>
      <c r="D261" s="665"/>
      <c r="E261" s="52" t="s">
        <v>488</v>
      </c>
      <c r="F261" s="53" t="s">
        <v>837</v>
      </c>
      <c r="G261" s="668" t="s">
        <v>489</v>
      </c>
      <c r="H261" s="52" t="s">
        <v>1170</v>
      </c>
      <c r="I261" s="53" t="s">
        <v>838</v>
      </c>
      <c r="J261" s="47" t="s">
        <v>1171</v>
      </c>
      <c r="K261" s="47" t="s">
        <v>490</v>
      </c>
      <c r="L261" s="54" t="s">
        <v>489</v>
      </c>
      <c r="M261" s="47" t="s">
        <v>1172</v>
      </c>
      <c r="N261" s="53" t="s">
        <v>838</v>
      </c>
      <c r="O261" s="47" t="s">
        <v>1171</v>
      </c>
      <c r="P261" s="47" t="s">
        <v>826</v>
      </c>
      <c r="Q261" s="47" t="s">
        <v>1173</v>
      </c>
      <c r="R261" s="47" t="s">
        <v>1174</v>
      </c>
      <c r="S261" s="47" t="s">
        <v>839</v>
      </c>
      <c r="T261" s="47" t="s">
        <v>1171</v>
      </c>
      <c r="U261" s="47" t="s">
        <v>1392</v>
      </c>
      <c r="V261" s="47" t="s">
        <v>841</v>
      </c>
      <c r="W261" s="231" t="s">
        <v>1173</v>
      </c>
      <c r="X261" s="47" t="s">
        <v>1394</v>
      </c>
      <c r="Y261" s="47" t="s">
        <v>839</v>
      </c>
      <c r="Z261" s="55"/>
      <c r="AA261" s="1"/>
      <c r="AB261" s="1"/>
      <c r="AC261" s="1"/>
      <c r="AD261" s="56"/>
      <c r="AQ261" s="139"/>
      <c r="AR261" s="139"/>
      <c r="AS261" s="139"/>
    </row>
    <row r="262" spans="1:53" s="803" customFormat="1" ht="12" customHeight="1" x14ac:dyDescent="0.25">
      <c r="A262" s="1126"/>
      <c r="B262" s="752" t="s">
        <v>1175</v>
      </c>
      <c r="C262" s="837">
        <f>C269</f>
        <v>33.630185712019568</v>
      </c>
      <c r="D262" s="834">
        <f>C262*$D$5</f>
        <v>6.7932975138279534</v>
      </c>
      <c r="E262" s="754" t="s">
        <v>1176</v>
      </c>
      <c r="F262" s="810"/>
      <c r="G262" s="756"/>
      <c r="H262" s="756"/>
      <c r="I262" s="757">
        <f>SUM(I263:I270)</f>
        <v>7.5136000000000012</v>
      </c>
      <c r="J262" s="758" t="s">
        <v>1176</v>
      </c>
      <c r="K262" s="811"/>
      <c r="L262" s="759"/>
      <c r="M262" s="759"/>
      <c r="N262" s="760">
        <f>SUM(N263:N270)</f>
        <v>0.12300064571097598</v>
      </c>
      <c r="O262" s="759" t="s">
        <v>1176</v>
      </c>
      <c r="P262" s="759"/>
      <c r="Q262" s="812"/>
      <c r="R262" s="813"/>
      <c r="S262" s="760">
        <f>SUM(S263:S270)</f>
        <v>0.51009922956919684</v>
      </c>
      <c r="T262" s="760"/>
      <c r="U262" s="760"/>
      <c r="V262" s="760"/>
      <c r="W262" s="760"/>
      <c r="X262" s="760"/>
      <c r="Y262" s="760">
        <f>SUM(Y263:Y270)</f>
        <v>4.3489191438431192</v>
      </c>
      <c r="Z262" s="762">
        <f>(C262+D262+I262+N262+S262+Y262)*$Z$5</f>
        <v>68.804765452659694</v>
      </c>
      <c r="AA262" s="763">
        <f>C262+D262+I262+N262+S262+Y262+Z262</f>
        <v>121.72386769763051</v>
      </c>
      <c r="AB262" s="764">
        <v>0.25</v>
      </c>
      <c r="AC262" s="765">
        <f>AA262*(1+AB262)</f>
        <v>152.15483462203815</v>
      </c>
      <c r="AD262" s="814"/>
      <c r="AF262" s="804"/>
      <c r="AG262" s="802"/>
      <c r="AH262" s="805"/>
      <c r="AI262" s="808"/>
      <c r="AJ262" s="815"/>
      <c r="AK262" s="816"/>
      <c r="AL262" s="806"/>
      <c r="AM262" s="817"/>
      <c r="AN262" s="818"/>
      <c r="AO262" s="817"/>
      <c r="AP262" s="808"/>
      <c r="AQ262" s="808"/>
      <c r="AR262" s="808"/>
      <c r="AS262" s="808"/>
      <c r="AT262" s="808"/>
      <c r="AU262" s="817"/>
      <c r="AV262" s="817"/>
      <c r="AW262" s="819"/>
      <c r="AX262" s="802"/>
      <c r="AY262" s="802"/>
      <c r="AZ262" s="802"/>
      <c r="BA262" s="802"/>
    </row>
    <row r="263" spans="1:53" s="803" customFormat="1" ht="12.75" customHeight="1" x14ac:dyDescent="0.25">
      <c r="A263" s="1126"/>
      <c r="B263" s="766" t="s">
        <v>1177</v>
      </c>
      <c r="C263" s="837"/>
      <c r="D263" s="835"/>
      <c r="E263" s="767" t="s">
        <v>1437</v>
      </c>
      <c r="F263" s="768" t="s">
        <v>1438</v>
      </c>
      <c r="G263" s="769">
        <v>0.74</v>
      </c>
      <c r="H263" s="768">
        <v>0.01</v>
      </c>
      <c r="I263" s="770">
        <f t="shared" ref="I263:I268" si="14">G263*H263</f>
        <v>7.4000000000000003E-3</v>
      </c>
      <c r="J263" s="758" t="s">
        <v>1291</v>
      </c>
      <c r="K263" s="760">
        <v>2</v>
      </c>
      <c r="L263" s="760">
        <v>750</v>
      </c>
      <c r="M263" s="760">
        <v>2</v>
      </c>
      <c r="N263" s="790">
        <f>L263/'Исп. коэффициенты'!E52*(C267+C268)</f>
        <v>0.10603503940601378</v>
      </c>
      <c r="O263" s="759" t="s">
        <v>128</v>
      </c>
      <c r="P263" s="759">
        <v>27500</v>
      </c>
      <c r="Q263" s="759">
        <v>19.68</v>
      </c>
      <c r="R263" s="759">
        <f>P263*Q263%</f>
        <v>5412</v>
      </c>
      <c r="S263" s="759">
        <f>R263/'Исп. коэффициенты'!E52</f>
        <v>0.51009922956919684</v>
      </c>
      <c r="T263" s="755" t="s">
        <v>1435</v>
      </c>
      <c r="U263" s="756">
        <v>6785401.3499999996</v>
      </c>
      <c r="V263" s="785">
        <f>'Исп. коэффициенты'!E124</f>
        <v>2978.5</v>
      </c>
      <c r="W263" s="761">
        <f>'Исп. коэффициенты'!D124</f>
        <v>1.3599999999999999E-2</v>
      </c>
      <c r="X263" s="760">
        <f>U263*W263</f>
        <v>92281.45835999999</v>
      </c>
      <c r="Y263" s="759">
        <f>X263/'Исп. коэффициенты'!E52/2</f>
        <v>4.3489191438431192</v>
      </c>
      <c r="Z263" s="759"/>
      <c r="AA263" s="755"/>
      <c r="AB263" s="755"/>
      <c r="AC263" s="773"/>
      <c r="AD263" s="802"/>
      <c r="AF263" s="821"/>
      <c r="AG263" s="802"/>
      <c r="AH263" s="805"/>
      <c r="AI263" s="805"/>
      <c r="AJ263" s="822"/>
      <c r="AK263" s="805"/>
      <c r="AL263" s="806"/>
      <c r="AM263" s="805"/>
      <c r="AN263" s="805"/>
      <c r="AO263" s="807"/>
      <c r="AP263" s="805"/>
      <c r="AQ263" s="805"/>
      <c r="AR263" s="807"/>
      <c r="AS263" s="807"/>
      <c r="AT263" s="808"/>
      <c r="AU263" s="805"/>
      <c r="AV263" s="807"/>
      <c r="AW263" s="802"/>
      <c r="AX263" s="802"/>
      <c r="AY263" s="802"/>
      <c r="AZ263" s="802"/>
      <c r="BA263" s="802"/>
    </row>
    <row r="264" spans="1:53" s="803" customFormat="1" x14ac:dyDescent="0.25">
      <c r="A264" s="1126"/>
      <c r="B264" s="774" t="s">
        <v>1178</v>
      </c>
      <c r="C264" s="753">
        <f>'Заработная плата'!M81</f>
        <v>33.667709452234185</v>
      </c>
      <c r="D264" s="835"/>
      <c r="E264" s="767" t="s">
        <v>1439</v>
      </c>
      <c r="F264" s="768" t="s">
        <v>1438</v>
      </c>
      <c r="G264" s="769">
        <v>0.27</v>
      </c>
      <c r="H264" s="768">
        <v>0.01</v>
      </c>
      <c r="I264" s="775">
        <f t="shared" si="14"/>
        <v>2.7000000000000001E-3</v>
      </c>
      <c r="J264" s="758" t="s">
        <v>1445</v>
      </c>
      <c r="K264" s="760">
        <v>2</v>
      </c>
      <c r="L264" s="760">
        <v>95</v>
      </c>
      <c r="M264" s="760">
        <v>2</v>
      </c>
      <c r="N264" s="790">
        <f>L264/'Исп. коэффициенты'!E52*(C267+C268)</f>
        <v>1.3431104991428411E-2</v>
      </c>
      <c r="O264" s="759"/>
      <c r="P264" s="759"/>
      <c r="Q264" s="759"/>
      <c r="R264" s="759"/>
      <c r="S264" s="759"/>
      <c r="T264" s="759"/>
      <c r="U264" s="759"/>
      <c r="V264" s="759"/>
      <c r="W264" s="759"/>
      <c r="X264" s="759"/>
      <c r="Y264" s="759"/>
      <c r="Z264" s="759"/>
      <c r="AA264" s="755"/>
      <c r="AB264" s="755"/>
      <c r="AC264" s="773"/>
      <c r="AD264" s="802"/>
      <c r="AF264" s="821"/>
      <c r="AG264" s="802"/>
      <c r="AH264" s="805"/>
      <c r="AI264" s="805"/>
      <c r="AJ264" s="822"/>
      <c r="AK264" s="805"/>
      <c r="AL264" s="806"/>
      <c r="AM264" s="824"/>
      <c r="AN264" s="805"/>
      <c r="AO264" s="807"/>
      <c r="AP264" s="805"/>
      <c r="AQ264" s="805"/>
      <c r="AR264" s="807"/>
      <c r="AS264" s="807"/>
      <c r="AT264" s="805"/>
      <c r="AU264" s="805"/>
      <c r="AV264" s="807"/>
      <c r="AW264" s="802"/>
      <c r="AX264" s="802"/>
      <c r="AY264" s="802"/>
      <c r="AZ264" s="802"/>
      <c r="BA264" s="802"/>
    </row>
    <row r="265" spans="1:53" s="803" customFormat="1" ht="12.75" customHeight="1" x14ac:dyDescent="0.25">
      <c r="A265" s="1126"/>
      <c r="B265" s="754" t="s">
        <v>1179</v>
      </c>
      <c r="C265" s="837">
        <f>'Заработная плата'!M102</f>
        <v>22.420123808013045</v>
      </c>
      <c r="D265" s="835"/>
      <c r="E265" s="767" t="s">
        <v>1598</v>
      </c>
      <c r="F265" s="768" t="s">
        <v>1441</v>
      </c>
      <c r="G265" s="769">
        <v>4.4000000000000004</v>
      </c>
      <c r="H265" s="769">
        <v>1</v>
      </c>
      <c r="I265" s="770">
        <f t="shared" si="14"/>
        <v>4.4000000000000004</v>
      </c>
      <c r="J265" s="758" t="s">
        <v>1513</v>
      </c>
      <c r="K265" s="760">
        <v>2</v>
      </c>
      <c r="L265" s="760">
        <v>25</v>
      </c>
      <c r="M265" s="760">
        <v>0.5</v>
      </c>
      <c r="N265" s="790">
        <f>L265/'Исп. коэффициенты'!E52*(C267+C268)</f>
        <v>3.5345013135337925E-3</v>
      </c>
      <c r="O265" s="759"/>
      <c r="P265" s="759"/>
      <c r="Q265" s="759"/>
      <c r="R265" s="759"/>
      <c r="S265" s="759"/>
      <c r="T265" s="759"/>
      <c r="U265" s="759"/>
      <c r="V265" s="759"/>
      <c r="W265" s="759"/>
      <c r="X265" s="759"/>
      <c r="Y265" s="759"/>
      <c r="Z265" s="759"/>
      <c r="AA265" s="755"/>
      <c r="AB265" s="755"/>
      <c r="AC265" s="773"/>
      <c r="AD265" s="802"/>
      <c r="AF265" s="821"/>
      <c r="AG265" s="802"/>
      <c r="AH265" s="805"/>
      <c r="AI265" s="805"/>
      <c r="AJ265" s="822"/>
      <c r="AK265" s="805"/>
      <c r="AL265" s="806"/>
      <c r="AM265" s="805"/>
      <c r="AN265" s="805"/>
      <c r="AO265" s="807"/>
      <c r="AP265" s="805"/>
      <c r="AQ265" s="805"/>
      <c r="AR265" s="807"/>
      <c r="AS265" s="807"/>
      <c r="AT265" s="805"/>
      <c r="AU265" s="805"/>
      <c r="AV265" s="807"/>
      <c r="AW265" s="802"/>
      <c r="AX265" s="802"/>
      <c r="AY265" s="802"/>
      <c r="AZ265" s="802"/>
      <c r="BA265" s="802"/>
    </row>
    <row r="266" spans="1:53" s="803" customFormat="1" ht="12.75" customHeight="1" x14ac:dyDescent="0.25">
      <c r="A266" s="1126"/>
      <c r="B266" s="754" t="s">
        <v>1180</v>
      </c>
      <c r="C266" s="837">
        <f>'Заработная плата'!M103</f>
        <v>0</v>
      </c>
      <c r="D266" s="835"/>
      <c r="E266" s="767" t="s">
        <v>8</v>
      </c>
      <c r="F266" s="768" t="s">
        <v>1441</v>
      </c>
      <c r="G266" s="769">
        <v>0.94</v>
      </c>
      <c r="H266" s="768">
        <v>1</v>
      </c>
      <c r="I266" s="770">
        <f t="shared" si="14"/>
        <v>0.94</v>
      </c>
      <c r="J266" s="758"/>
      <c r="K266" s="760"/>
      <c r="L266" s="760"/>
      <c r="M266" s="760"/>
      <c r="N266" s="760"/>
      <c r="O266" s="759"/>
      <c r="P266" s="759"/>
      <c r="Q266" s="759"/>
      <c r="R266" s="759"/>
      <c r="S266" s="759"/>
      <c r="T266" s="759"/>
      <c r="U266" s="759"/>
      <c r="V266" s="759"/>
      <c r="W266" s="759"/>
      <c r="X266" s="759"/>
      <c r="Y266" s="759"/>
      <c r="Z266" s="759"/>
      <c r="AA266" s="755"/>
      <c r="AB266" s="755"/>
      <c r="AC266" s="773"/>
      <c r="AD266" s="802"/>
      <c r="AF266" s="821"/>
      <c r="AG266" s="802"/>
      <c r="AH266" s="805"/>
      <c r="AI266" s="805"/>
      <c r="AJ266" s="822"/>
      <c r="AK266" s="805"/>
      <c r="AL266" s="806"/>
      <c r="AM266" s="805"/>
      <c r="AN266" s="805"/>
      <c r="AO266" s="807"/>
      <c r="AP266" s="805"/>
      <c r="AQ266" s="805"/>
      <c r="AR266" s="807"/>
      <c r="AS266" s="807"/>
      <c r="AT266" s="805"/>
      <c r="AU266" s="805"/>
      <c r="AV266" s="807"/>
      <c r="AW266" s="802"/>
      <c r="AX266" s="802"/>
      <c r="AY266" s="802"/>
      <c r="AZ266" s="802"/>
      <c r="BA266" s="802"/>
    </row>
    <row r="267" spans="1:53" s="803" customFormat="1" ht="12.75" customHeight="1" x14ac:dyDescent="0.25">
      <c r="A267" s="1126"/>
      <c r="B267" s="774" t="s">
        <v>1178</v>
      </c>
      <c r="C267" s="837">
        <f>'Заработная плата'!M104</f>
        <v>0</v>
      </c>
      <c r="D267" s="835"/>
      <c r="E267" s="767" t="s">
        <v>1442</v>
      </c>
      <c r="F267" s="768" t="s">
        <v>1443</v>
      </c>
      <c r="G267" s="769">
        <v>419.5</v>
      </c>
      <c r="H267" s="768">
        <v>1E-3</v>
      </c>
      <c r="I267" s="770">
        <f t="shared" si="14"/>
        <v>0.41949999999999998</v>
      </c>
      <c r="J267" s="758"/>
      <c r="K267" s="760"/>
      <c r="L267" s="760"/>
      <c r="M267" s="760"/>
      <c r="N267" s="760"/>
      <c r="O267" s="759"/>
      <c r="P267" s="759"/>
      <c r="Q267" s="759"/>
      <c r="R267" s="759"/>
      <c r="S267" s="759"/>
      <c r="T267" s="759"/>
      <c r="U267" s="759"/>
      <c r="V267" s="759"/>
      <c r="W267" s="759"/>
      <c r="X267" s="759"/>
      <c r="Y267" s="759"/>
      <c r="Z267" s="759"/>
      <c r="AA267" s="755"/>
      <c r="AB267" s="755"/>
      <c r="AC267" s="773"/>
      <c r="AD267" s="802"/>
      <c r="AF267" s="821"/>
      <c r="AG267" s="802"/>
      <c r="AH267" s="805"/>
      <c r="AI267" s="805"/>
      <c r="AJ267" s="827"/>
      <c r="AK267" s="805"/>
      <c r="AL267" s="806"/>
      <c r="AM267" s="805"/>
      <c r="AN267" s="805"/>
      <c r="AO267" s="807"/>
      <c r="AP267" s="805"/>
      <c r="AQ267" s="805"/>
      <c r="AR267" s="807"/>
      <c r="AS267" s="807"/>
      <c r="AT267" s="805"/>
      <c r="AU267" s="805"/>
      <c r="AV267" s="807"/>
      <c r="AW267" s="802"/>
      <c r="AX267" s="802"/>
      <c r="AY267" s="802"/>
      <c r="AZ267" s="802"/>
      <c r="BA267" s="802"/>
    </row>
    <row r="268" spans="1:53" s="803" customFormat="1" ht="12.75" customHeight="1" x14ac:dyDescent="0.25">
      <c r="A268" s="1126"/>
      <c r="B268" s="754" t="s">
        <v>1179</v>
      </c>
      <c r="C268" s="784">
        <v>1.5</v>
      </c>
      <c r="D268" s="835"/>
      <c r="E268" s="767" t="s">
        <v>1444</v>
      </c>
      <c r="F268" s="768" t="s">
        <v>1443</v>
      </c>
      <c r="G268" s="769">
        <v>872</v>
      </c>
      <c r="H268" s="768">
        <v>2E-3</v>
      </c>
      <c r="I268" s="770">
        <f t="shared" si="14"/>
        <v>1.744</v>
      </c>
      <c r="J268" s="758"/>
      <c r="K268" s="760"/>
      <c r="L268" s="760"/>
      <c r="M268" s="760"/>
      <c r="N268" s="760"/>
      <c r="O268" s="759"/>
      <c r="P268" s="759"/>
      <c r="Q268" s="759"/>
      <c r="R268" s="759"/>
      <c r="S268" s="759"/>
      <c r="T268" s="759"/>
      <c r="U268" s="759"/>
      <c r="V268" s="759"/>
      <c r="W268" s="759"/>
      <c r="X268" s="759"/>
      <c r="Y268" s="759"/>
      <c r="Z268" s="759"/>
      <c r="AA268" s="755"/>
      <c r="AB268" s="755"/>
      <c r="AC268" s="773"/>
      <c r="AD268" s="802"/>
      <c r="AF268" s="821"/>
      <c r="AG268" s="802"/>
      <c r="AH268" s="805"/>
      <c r="AI268" s="805"/>
      <c r="AJ268" s="827"/>
      <c r="AK268" s="805"/>
      <c r="AL268" s="806"/>
      <c r="AM268" s="805"/>
      <c r="AN268" s="805"/>
      <c r="AO268" s="807"/>
      <c r="AP268" s="805"/>
      <c r="AQ268" s="805"/>
      <c r="AR268" s="807"/>
      <c r="AS268" s="807"/>
      <c r="AT268" s="805"/>
      <c r="AU268" s="805"/>
      <c r="AV268" s="807"/>
      <c r="AW268" s="802"/>
      <c r="AX268" s="802"/>
      <c r="AY268" s="802"/>
      <c r="AZ268" s="802"/>
      <c r="BA268" s="802"/>
    </row>
    <row r="269" spans="1:53" s="803" customFormat="1" ht="12.75" customHeight="1" x14ac:dyDescent="0.25">
      <c r="A269" s="1126"/>
      <c r="B269" s="782" t="s">
        <v>1181</v>
      </c>
      <c r="C269" s="837">
        <f>C264*C267+C265*C268</f>
        <v>33.630185712019568</v>
      </c>
      <c r="D269" s="835"/>
      <c r="E269" s="767"/>
      <c r="F269" s="781"/>
      <c r="G269" s="769"/>
      <c r="H269" s="768"/>
      <c r="I269" s="770"/>
      <c r="J269" s="758"/>
      <c r="K269" s="828"/>
      <c r="L269" s="760"/>
      <c r="M269" s="760"/>
      <c r="N269" s="760"/>
      <c r="O269" s="759"/>
      <c r="P269" s="759"/>
      <c r="Q269" s="759"/>
      <c r="R269" s="759"/>
      <c r="S269" s="759"/>
      <c r="T269" s="759"/>
      <c r="U269" s="759"/>
      <c r="V269" s="759"/>
      <c r="W269" s="759"/>
      <c r="X269" s="759"/>
      <c r="Y269" s="759"/>
      <c r="Z269" s="759"/>
      <c r="AA269" s="755"/>
      <c r="AB269" s="755"/>
      <c r="AC269" s="773"/>
      <c r="AD269" s="802"/>
      <c r="AF269" s="821"/>
      <c r="AG269" s="802"/>
      <c r="AH269" s="805"/>
      <c r="AI269" s="805"/>
      <c r="AJ269" s="822"/>
      <c r="AK269" s="805"/>
      <c r="AL269" s="806"/>
      <c r="AM269" s="805"/>
      <c r="AN269" s="805"/>
      <c r="AO269" s="807"/>
      <c r="AP269" s="805"/>
      <c r="AQ269" s="805"/>
      <c r="AR269" s="807"/>
      <c r="AS269" s="807"/>
      <c r="AT269" s="805"/>
      <c r="AU269" s="805"/>
      <c r="AV269" s="807"/>
      <c r="AW269" s="802"/>
      <c r="AX269" s="802"/>
      <c r="AY269" s="802"/>
      <c r="AZ269" s="802"/>
      <c r="BA269" s="802"/>
    </row>
    <row r="270" spans="1:53" s="803" customFormat="1" ht="12.75" customHeight="1" x14ac:dyDescent="0.25">
      <c r="A270" s="1126"/>
      <c r="B270" s="782"/>
      <c r="C270" s="784"/>
      <c r="D270" s="836"/>
      <c r="E270" s="754"/>
      <c r="F270" s="857"/>
      <c r="G270" s="769"/>
      <c r="H270" s="756"/>
      <c r="I270" s="770"/>
      <c r="J270" s="758"/>
      <c r="K270" s="828"/>
      <c r="L270" s="760"/>
      <c r="M270" s="760"/>
      <c r="N270" s="760"/>
      <c r="O270" s="759"/>
      <c r="P270" s="759"/>
      <c r="Q270" s="759"/>
      <c r="R270" s="759"/>
      <c r="S270" s="759"/>
      <c r="T270" s="759"/>
      <c r="U270" s="759"/>
      <c r="V270" s="759"/>
      <c r="W270" s="759"/>
      <c r="X270" s="759"/>
      <c r="Y270" s="759"/>
      <c r="Z270" s="759"/>
      <c r="AA270" s="755"/>
      <c r="AB270" s="755"/>
      <c r="AC270" s="773"/>
      <c r="AD270" s="802"/>
      <c r="AF270" s="814"/>
      <c r="AG270" s="802"/>
      <c r="AH270" s="805"/>
      <c r="AI270" s="805"/>
      <c r="AJ270" s="827"/>
      <c r="AK270" s="805"/>
      <c r="AL270" s="806"/>
      <c r="AM270" s="805"/>
      <c r="AN270" s="805"/>
      <c r="AO270" s="807"/>
      <c r="AP270" s="805"/>
      <c r="AQ270" s="805"/>
      <c r="AR270" s="807"/>
      <c r="AS270" s="807"/>
      <c r="AT270" s="805"/>
      <c r="AU270" s="805"/>
      <c r="AV270" s="807"/>
      <c r="AW270" s="802"/>
      <c r="AX270" s="802"/>
      <c r="AY270" s="802"/>
      <c r="AZ270" s="802"/>
      <c r="BA270" s="802"/>
    </row>
    <row r="271" spans="1:53" s="803" customFormat="1" ht="56.25" customHeight="1" x14ac:dyDescent="0.25">
      <c r="A271" s="1122" t="s">
        <v>127</v>
      </c>
      <c r="B271" s="837" t="s">
        <v>1016</v>
      </c>
      <c r="C271" s="837"/>
      <c r="D271" s="834"/>
      <c r="E271" s="791" t="s">
        <v>488</v>
      </c>
      <c r="F271" s="792" t="s">
        <v>837</v>
      </c>
      <c r="G271" s="837" t="s">
        <v>489</v>
      </c>
      <c r="H271" s="791" t="s">
        <v>1170</v>
      </c>
      <c r="I271" s="792" t="s">
        <v>838</v>
      </c>
      <c r="J271" s="793" t="s">
        <v>1171</v>
      </c>
      <c r="K271" s="793" t="s">
        <v>490</v>
      </c>
      <c r="L271" s="794" t="s">
        <v>489</v>
      </c>
      <c r="M271" s="793" t="s">
        <v>1172</v>
      </c>
      <c r="N271" s="792" t="s">
        <v>838</v>
      </c>
      <c r="O271" s="793" t="s">
        <v>1171</v>
      </c>
      <c r="P271" s="793" t="s">
        <v>826</v>
      </c>
      <c r="Q271" s="793" t="s">
        <v>1173</v>
      </c>
      <c r="R271" s="793" t="s">
        <v>1174</v>
      </c>
      <c r="S271" s="793" t="s">
        <v>839</v>
      </c>
      <c r="T271" s="793" t="s">
        <v>1171</v>
      </c>
      <c r="U271" s="793" t="s">
        <v>1392</v>
      </c>
      <c r="V271" s="793" t="s">
        <v>841</v>
      </c>
      <c r="W271" s="795" t="s">
        <v>1173</v>
      </c>
      <c r="X271" s="793" t="s">
        <v>1394</v>
      </c>
      <c r="Y271" s="793" t="s">
        <v>839</v>
      </c>
      <c r="Z271" s="796"/>
      <c r="AA271" s="755"/>
      <c r="AB271" s="755"/>
      <c r="AC271" s="773"/>
      <c r="AD271" s="802"/>
      <c r="AF271" s="804"/>
      <c r="AG271" s="802"/>
      <c r="AH271" s="805"/>
      <c r="AI271" s="805"/>
      <c r="AJ271" s="805"/>
      <c r="AK271" s="805"/>
      <c r="AL271" s="806"/>
      <c r="AM271" s="805"/>
      <c r="AN271" s="805"/>
      <c r="AO271" s="807"/>
      <c r="AP271" s="805"/>
      <c r="AQ271" s="808"/>
      <c r="AR271" s="808"/>
      <c r="AS271" s="808"/>
      <c r="AT271" s="805"/>
      <c r="AU271" s="805"/>
      <c r="AV271" s="807"/>
      <c r="AW271" s="802"/>
      <c r="AX271" s="802"/>
      <c r="AY271" s="802"/>
      <c r="AZ271" s="802"/>
      <c r="BA271" s="802"/>
    </row>
    <row r="272" spans="1:53" s="803" customFormat="1" ht="12" customHeight="1" x14ac:dyDescent="0.25">
      <c r="A272" s="1122"/>
      <c r="B272" s="752" t="s">
        <v>1175</v>
      </c>
      <c r="C272" s="837">
        <f>C279</f>
        <v>11.210061904006523</v>
      </c>
      <c r="D272" s="834">
        <f>C272*$D$5</f>
        <v>2.2644325046093177</v>
      </c>
      <c r="E272" s="754" t="s">
        <v>1176</v>
      </c>
      <c r="F272" s="810"/>
      <c r="G272" s="756"/>
      <c r="H272" s="756"/>
      <c r="I272" s="757">
        <f>SUM(I273:I280)</f>
        <v>6.5736000000000008</v>
      </c>
      <c r="J272" s="758" t="s">
        <v>1176</v>
      </c>
      <c r="K272" s="811"/>
      <c r="L272" s="759"/>
      <c r="M272" s="759"/>
      <c r="N272" s="760">
        <f>SUM(N273:N280)</f>
        <v>4.1000215236991988E-2</v>
      </c>
      <c r="O272" s="759" t="s">
        <v>1176</v>
      </c>
      <c r="P272" s="759"/>
      <c r="Q272" s="812"/>
      <c r="R272" s="813"/>
      <c r="S272" s="760">
        <f>SUM(S273:S280)</f>
        <v>0.44703241573155073</v>
      </c>
      <c r="T272" s="760"/>
      <c r="U272" s="760"/>
      <c r="V272" s="760"/>
      <c r="W272" s="760"/>
      <c r="X272" s="760"/>
      <c r="Y272" s="760">
        <f>SUM(Y273:Y280)</f>
        <v>4.3489191438431192</v>
      </c>
      <c r="Z272" s="762">
        <f>(C272+D272+I272+N272+S272+Y272)*$Z$5</f>
        <v>32.35523078232216</v>
      </c>
      <c r="AA272" s="763">
        <f>C272+D272+I272+N272+S272+Y272+Z272</f>
        <v>57.240276965749658</v>
      </c>
      <c r="AB272" s="764">
        <v>0.25</v>
      </c>
      <c r="AC272" s="765">
        <f>AA272*(1+AB272)</f>
        <v>71.550346207187076</v>
      </c>
      <c r="AD272" s="814"/>
      <c r="AF272" s="804"/>
      <c r="AG272" s="802"/>
      <c r="AH272" s="805"/>
      <c r="AI272" s="808"/>
      <c r="AJ272" s="815"/>
      <c r="AK272" s="816"/>
      <c r="AL272" s="806"/>
      <c r="AM272" s="817"/>
      <c r="AN272" s="818"/>
      <c r="AO272" s="817"/>
      <c r="AP272" s="808"/>
      <c r="AQ272" s="808"/>
      <c r="AR272" s="808"/>
      <c r="AS272" s="808"/>
      <c r="AT272" s="808"/>
      <c r="AU272" s="817"/>
      <c r="AV272" s="817"/>
      <c r="AW272" s="819"/>
      <c r="AX272" s="802"/>
      <c r="AY272" s="802"/>
      <c r="AZ272" s="802"/>
      <c r="BA272" s="802"/>
    </row>
    <row r="273" spans="1:53" s="803" customFormat="1" ht="12.75" customHeight="1" x14ac:dyDescent="0.25">
      <c r="A273" s="1122"/>
      <c r="B273" s="766" t="s">
        <v>1177</v>
      </c>
      <c r="C273" s="837"/>
      <c r="D273" s="835"/>
      <c r="E273" s="767" t="s">
        <v>1437</v>
      </c>
      <c r="F273" s="768" t="s">
        <v>1438</v>
      </c>
      <c r="G273" s="769">
        <v>0.74</v>
      </c>
      <c r="H273" s="768">
        <v>0.01</v>
      </c>
      <c r="I273" s="770">
        <f>G273*H273</f>
        <v>7.4000000000000003E-3</v>
      </c>
      <c r="J273" s="758" t="s">
        <v>1291</v>
      </c>
      <c r="K273" s="760">
        <v>2</v>
      </c>
      <c r="L273" s="760">
        <v>750</v>
      </c>
      <c r="M273" s="760">
        <v>2</v>
      </c>
      <c r="N273" s="790">
        <f>L273/'Исп. коэффициенты'!E52*(C277+C278)</f>
        <v>3.5345013135337923E-2</v>
      </c>
      <c r="O273" s="759" t="s">
        <v>129</v>
      </c>
      <c r="P273" s="759">
        <v>24100</v>
      </c>
      <c r="Q273" s="759">
        <v>19.68</v>
      </c>
      <c r="R273" s="759">
        <f>P273*Q273%</f>
        <v>4742.88</v>
      </c>
      <c r="S273" s="759">
        <f>R273/'Исп. коэффициенты'!E52</f>
        <v>0.44703241573155073</v>
      </c>
      <c r="T273" s="755" t="s">
        <v>1435</v>
      </c>
      <c r="U273" s="756">
        <v>6785401.3499999996</v>
      </c>
      <c r="V273" s="785">
        <f>'Исп. коэффициенты'!E124</f>
        <v>2978.5</v>
      </c>
      <c r="W273" s="761">
        <f>'Исп. коэффициенты'!D124</f>
        <v>1.3599999999999999E-2</v>
      </c>
      <c r="X273" s="760">
        <f>U273*W273</f>
        <v>92281.45835999999</v>
      </c>
      <c r="Y273" s="759">
        <f>X273/'Исп. коэффициенты'!E52/2</f>
        <v>4.3489191438431192</v>
      </c>
      <c r="Z273" s="759"/>
      <c r="AA273" s="755"/>
      <c r="AB273" s="755"/>
      <c r="AC273" s="773"/>
      <c r="AD273" s="802"/>
      <c r="AF273" s="821"/>
      <c r="AG273" s="802"/>
      <c r="AH273" s="805"/>
      <c r="AI273" s="805"/>
      <c r="AJ273" s="822"/>
      <c r="AK273" s="805"/>
      <c r="AL273" s="806"/>
      <c r="AM273" s="805"/>
      <c r="AN273" s="805"/>
      <c r="AO273" s="807"/>
      <c r="AP273" s="805"/>
      <c r="AQ273" s="805"/>
      <c r="AR273" s="807"/>
      <c r="AS273" s="807"/>
      <c r="AT273" s="808"/>
      <c r="AU273" s="805"/>
      <c r="AV273" s="807"/>
      <c r="AW273" s="802"/>
      <c r="AX273" s="802"/>
      <c r="AY273" s="802"/>
      <c r="AZ273" s="802"/>
      <c r="BA273" s="802"/>
    </row>
    <row r="274" spans="1:53" s="803" customFormat="1" x14ac:dyDescent="0.25">
      <c r="A274" s="1122"/>
      <c r="B274" s="774" t="s">
        <v>1178</v>
      </c>
      <c r="C274" s="753">
        <f>C264</f>
        <v>33.667709452234185</v>
      </c>
      <c r="D274" s="835"/>
      <c r="E274" s="767" t="s">
        <v>1439</v>
      </c>
      <c r="F274" s="768" t="s">
        <v>1438</v>
      </c>
      <c r="G274" s="769">
        <v>0.27</v>
      </c>
      <c r="H274" s="768">
        <v>0.01</v>
      </c>
      <c r="I274" s="775">
        <f>G274*H274</f>
        <v>2.7000000000000001E-3</v>
      </c>
      <c r="J274" s="758" t="s">
        <v>1445</v>
      </c>
      <c r="K274" s="760">
        <v>2</v>
      </c>
      <c r="L274" s="760">
        <v>95</v>
      </c>
      <c r="M274" s="760">
        <v>2</v>
      </c>
      <c r="N274" s="790">
        <f>L274/'Исп. коэффициенты'!E52*(C277+C278)</f>
        <v>4.4770349971428036E-3</v>
      </c>
      <c r="O274" s="759"/>
      <c r="P274" s="759"/>
      <c r="Q274" s="759"/>
      <c r="R274" s="759"/>
      <c r="S274" s="759"/>
      <c r="T274" s="759"/>
      <c r="U274" s="759"/>
      <c r="V274" s="759"/>
      <c r="W274" s="759"/>
      <c r="X274" s="759"/>
      <c r="Y274" s="759"/>
      <c r="Z274" s="759"/>
      <c r="AA274" s="755"/>
      <c r="AB274" s="755"/>
      <c r="AC274" s="773"/>
      <c r="AD274" s="802"/>
      <c r="AF274" s="821"/>
      <c r="AG274" s="802"/>
      <c r="AH274" s="805"/>
      <c r="AI274" s="805"/>
      <c r="AJ274" s="822"/>
      <c r="AK274" s="805"/>
      <c r="AL274" s="806"/>
      <c r="AM274" s="824"/>
      <c r="AN274" s="805"/>
      <c r="AO274" s="807"/>
      <c r="AP274" s="805"/>
      <c r="AQ274" s="805"/>
      <c r="AR274" s="807"/>
      <c r="AS274" s="807"/>
      <c r="AT274" s="805"/>
      <c r="AU274" s="805"/>
      <c r="AV274" s="807"/>
      <c r="AW274" s="802"/>
      <c r="AX274" s="802"/>
      <c r="AY274" s="802"/>
      <c r="AZ274" s="802"/>
      <c r="BA274" s="802"/>
    </row>
    <row r="275" spans="1:53" s="803" customFormat="1" ht="12.75" customHeight="1" x14ac:dyDescent="0.25">
      <c r="A275" s="1122"/>
      <c r="B275" s="754" t="s">
        <v>1179</v>
      </c>
      <c r="C275" s="837">
        <f>C265</f>
        <v>22.420123808013045</v>
      </c>
      <c r="D275" s="835"/>
      <c r="E275" s="767" t="s">
        <v>1598</v>
      </c>
      <c r="F275" s="768" t="s">
        <v>1441</v>
      </c>
      <c r="G275" s="769">
        <v>4.4000000000000004</v>
      </c>
      <c r="H275" s="769">
        <v>1</v>
      </c>
      <c r="I275" s="770">
        <f>G275*H275</f>
        <v>4.4000000000000004</v>
      </c>
      <c r="J275" s="758" t="s">
        <v>1513</v>
      </c>
      <c r="K275" s="760">
        <v>2</v>
      </c>
      <c r="L275" s="760">
        <v>25</v>
      </c>
      <c r="M275" s="760">
        <v>0.5</v>
      </c>
      <c r="N275" s="790">
        <f>L275/'Исп. коэффициенты'!E52*(C277+C278)</f>
        <v>1.1781671045112642E-3</v>
      </c>
      <c r="O275" s="759"/>
      <c r="P275" s="759"/>
      <c r="Q275" s="759"/>
      <c r="R275" s="759"/>
      <c r="S275" s="759"/>
      <c r="T275" s="759"/>
      <c r="U275" s="759"/>
      <c r="V275" s="759"/>
      <c r="W275" s="759"/>
      <c r="X275" s="759"/>
      <c r="Y275" s="759"/>
      <c r="Z275" s="759"/>
      <c r="AA275" s="755"/>
      <c r="AB275" s="755"/>
      <c r="AC275" s="773"/>
      <c r="AD275" s="802"/>
      <c r="AF275" s="821"/>
      <c r="AG275" s="802"/>
      <c r="AH275" s="805"/>
      <c r="AI275" s="805"/>
      <c r="AJ275" s="822"/>
      <c r="AK275" s="805"/>
      <c r="AL275" s="806"/>
      <c r="AM275" s="805"/>
      <c r="AN275" s="805"/>
      <c r="AO275" s="807"/>
      <c r="AP275" s="805"/>
      <c r="AQ275" s="805"/>
      <c r="AR275" s="807"/>
      <c r="AS275" s="807"/>
      <c r="AT275" s="805"/>
      <c r="AU275" s="805"/>
      <c r="AV275" s="807"/>
      <c r="AW275" s="802"/>
      <c r="AX275" s="802"/>
      <c r="AY275" s="802"/>
      <c r="AZ275" s="802"/>
      <c r="BA275" s="802"/>
    </row>
    <row r="276" spans="1:53" s="803" customFormat="1" ht="12.75" customHeight="1" x14ac:dyDescent="0.25">
      <c r="A276" s="1122"/>
      <c r="B276" s="754" t="s">
        <v>1180</v>
      </c>
      <c r="C276" s="789"/>
      <c r="D276" s="835"/>
      <c r="E276" s="767"/>
      <c r="F276" s="768"/>
      <c r="G276" s="769"/>
      <c r="H276" s="768"/>
      <c r="I276" s="770"/>
      <c r="J276" s="758"/>
      <c r="K276" s="760"/>
      <c r="L276" s="760"/>
      <c r="M276" s="760"/>
      <c r="N276" s="760"/>
      <c r="O276" s="759"/>
      <c r="P276" s="759"/>
      <c r="Q276" s="759"/>
      <c r="R276" s="759"/>
      <c r="S276" s="759"/>
      <c r="T276" s="759"/>
      <c r="U276" s="759"/>
      <c r="V276" s="759"/>
      <c r="W276" s="759"/>
      <c r="X276" s="759"/>
      <c r="Y276" s="759"/>
      <c r="Z276" s="759"/>
      <c r="AA276" s="755"/>
      <c r="AB276" s="755"/>
      <c r="AC276" s="773"/>
      <c r="AD276" s="802"/>
      <c r="AF276" s="821"/>
      <c r="AG276" s="802"/>
      <c r="AH276" s="805"/>
      <c r="AI276" s="805"/>
      <c r="AJ276" s="822"/>
      <c r="AK276" s="805"/>
      <c r="AL276" s="806"/>
      <c r="AM276" s="805"/>
      <c r="AN276" s="805"/>
      <c r="AO276" s="807"/>
      <c r="AP276" s="805"/>
      <c r="AQ276" s="805"/>
      <c r="AR276" s="807"/>
      <c r="AS276" s="807"/>
      <c r="AT276" s="805"/>
      <c r="AU276" s="805"/>
      <c r="AV276" s="807"/>
      <c r="AW276" s="802"/>
      <c r="AX276" s="802"/>
      <c r="AY276" s="802"/>
      <c r="AZ276" s="802"/>
      <c r="BA276" s="802"/>
    </row>
    <row r="277" spans="1:53" s="803" customFormat="1" ht="12.75" customHeight="1" x14ac:dyDescent="0.25">
      <c r="A277" s="1122"/>
      <c r="B277" s="774" t="s">
        <v>1178</v>
      </c>
      <c r="C277" s="784"/>
      <c r="D277" s="835"/>
      <c r="E277" s="767" t="s">
        <v>1442</v>
      </c>
      <c r="F277" s="768" t="s">
        <v>1443</v>
      </c>
      <c r="G277" s="769">
        <v>419.5</v>
      </c>
      <c r="H277" s="768">
        <v>1E-3</v>
      </c>
      <c r="I277" s="770">
        <f>G277*H277</f>
        <v>0.41949999999999998</v>
      </c>
      <c r="J277" s="758"/>
      <c r="K277" s="760"/>
      <c r="L277" s="760"/>
      <c r="M277" s="760"/>
      <c r="N277" s="760"/>
      <c r="O277" s="759"/>
      <c r="P277" s="759"/>
      <c r="Q277" s="759"/>
      <c r="R277" s="759"/>
      <c r="S277" s="759"/>
      <c r="T277" s="759"/>
      <c r="U277" s="759"/>
      <c r="V277" s="759"/>
      <c r="W277" s="759"/>
      <c r="X277" s="759"/>
      <c r="Y277" s="759"/>
      <c r="Z277" s="759"/>
      <c r="AA277" s="755"/>
      <c r="AB277" s="755"/>
      <c r="AC277" s="773"/>
      <c r="AD277" s="802"/>
      <c r="AF277" s="821"/>
      <c r="AG277" s="802"/>
      <c r="AH277" s="805"/>
      <c r="AI277" s="805"/>
      <c r="AJ277" s="827"/>
      <c r="AK277" s="805"/>
      <c r="AL277" s="806"/>
      <c r="AM277" s="805"/>
      <c r="AN277" s="805"/>
      <c r="AO277" s="807"/>
      <c r="AP277" s="805"/>
      <c r="AQ277" s="805"/>
      <c r="AR277" s="807"/>
      <c r="AS277" s="807"/>
      <c r="AT277" s="805"/>
      <c r="AU277" s="805"/>
      <c r="AV277" s="807"/>
      <c r="AW277" s="802"/>
      <c r="AX277" s="802"/>
      <c r="AY277" s="802"/>
      <c r="AZ277" s="802"/>
      <c r="BA277" s="802"/>
    </row>
    <row r="278" spans="1:53" s="803" customFormat="1" ht="12.75" customHeight="1" x14ac:dyDescent="0.25">
      <c r="A278" s="1122"/>
      <c r="B278" s="754" t="s">
        <v>1179</v>
      </c>
      <c r="C278" s="784">
        <v>0.5</v>
      </c>
      <c r="D278" s="835"/>
      <c r="E278" s="767" t="s">
        <v>1444</v>
      </c>
      <c r="F278" s="768" t="s">
        <v>1443</v>
      </c>
      <c r="G278" s="769">
        <v>872</v>
      </c>
      <c r="H278" s="768">
        <v>2E-3</v>
      </c>
      <c r="I278" s="770">
        <f>G278*H278</f>
        <v>1.744</v>
      </c>
      <c r="J278" s="758"/>
      <c r="K278" s="760"/>
      <c r="L278" s="760"/>
      <c r="M278" s="760"/>
      <c r="N278" s="760"/>
      <c r="O278" s="759"/>
      <c r="P278" s="759"/>
      <c r="Q278" s="759"/>
      <c r="R278" s="759"/>
      <c r="S278" s="759"/>
      <c r="T278" s="759"/>
      <c r="U278" s="759"/>
      <c r="V278" s="759"/>
      <c r="W278" s="759"/>
      <c r="X278" s="759"/>
      <c r="Y278" s="759"/>
      <c r="Z278" s="759"/>
      <c r="AA278" s="755"/>
      <c r="AB278" s="755"/>
      <c r="AC278" s="773"/>
      <c r="AD278" s="802"/>
      <c r="AF278" s="821"/>
      <c r="AG278" s="802"/>
      <c r="AH278" s="805"/>
      <c r="AI278" s="805"/>
      <c r="AJ278" s="827"/>
      <c r="AK278" s="805"/>
      <c r="AL278" s="806"/>
      <c r="AM278" s="805"/>
      <c r="AN278" s="805"/>
      <c r="AO278" s="807"/>
      <c r="AP278" s="805"/>
      <c r="AQ278" s="805"/>
      <c r="AR278" s="807"/>
      <c r="AS278" s="807"/>
      <c r="AT278" s="805"/>
      <c r="AU278" s="805"/>
      <c r="AV278" s="807"/>
      <c r="AW278" s="802"/>
      <c r="AX278" s="802"/>
      <c r="AY278" s="802"/>
      <c r="AZ278" s="802"/>
      <c r="BA278" s="802"/>
    </row>
    <row r="279" spans="1:53" s="803" customFormat="1" ht="12.75" customHeight="1" x14ac:dyDescent="0.25">
      <c r="A279" s="1122"/>
      <c r="B279" s="782" t="s">
        <v>1181</v>
      </c>
      <c r="C279" s="837">
        <f>C274*C277+C275*C278</f>
        <v>11.210061904006523</v>
      </c>
      <c r="D279" s="835"/>
      <c r="E279" s="767"/>
      <c r="F279" s="781"/>
      <c r="G279" s="769"/>
      <c r="H279" s="768"/>
      <c r="I279" s="770"/>
      <c r="J279" s="758"/>
      <c r="K279" s="828"/>
      <c r="L279" s="760"/>
      <c r="M279" s="760"/>
      <c r="N279" s="760"/>
      <c r="O279" s="759"/>
      <c r="P279" s="759"/>
      <c r="Q279" s="759"/>
      <c r="R279" s="759"/>
      <c r="S279" s="759"/>
      <c r="T279" s="759"/>
      <c r="U279" s="759"/>
      <c r="V279" s="759"/>
      <c r="W279" s="759"/>
      <c r="X279" s="759"/>
      <c r="Y279" s="759"/>
      <c r="Z279" s="759"/>
      <c r="AA279" s="755"/>
      <c r="AB279" s="755"/>
      <c r="AC279" s="773"/>
      <c r="AD279" s="802"/>
      <c r="AF279" s="821"/>
      <c r="AG279" s="802"/>
      <c r="AH279" s="805"/>
      <c r="AI279" s="805"/>
      <c r="AJ279" s="822"/>
      <c r="AK279" s="805"/>
      <c r="AL279" s="806"/>
      <c r="AM279" s="805"/>
      <c r="AN279" s="805"/>
      <c r="AO279" s="807"/>
      <c r="AP279" s="805"/>
      <c r="AQ279" s="805"/>
      <c r="AR279" s="807"/>
      <c r="AS279" s="807"/>
      <c r="AT279" s="805"/>
      <c r="AU279" s="805"/>
      <c r="AV279" s="807"/>
      <c r="AW279" s="802"/>
      <c r="AX279" s="802"/>
      <c r="AY279" s="802"/>
      <c r="AZ279" s="802"/>
      <c r="BA279" s="802"/>
    </row>
    <row r="280" spans="1:53" s="803" customFormat="1" ht="12.75" customHeight="1" x14ac:dyDescent="0.25">
      <c r="A280" s="1122"/>
      <c r="B280" s="782"/>
      <c r="C280" s="784"/>
      <c r="D280" s="836"/>
      <c r="E280" s="754"/>
      <c r="F280" s="857"/>
      <c r="G280" s="769"/>
      <c r="H280" s="756"/>
      <c r="I280" s="770"/>
      <c r="J280" s="758"/>
      <c r="K280" s="828"/>
      <c r="L280" s="760"/>
      <c r="M280" s="760"/>
      <c r="N280" s="760"/>
      <c r="O280" s="759"/>
      <c r="P280" s="759"/>
      <c r="Q280" s="759"/>
      <c r="R280" s="759"/>
      <c r="S280" s="759"/>
      <c r="T280" s="759"/>
      <c r="U280" s="759"/>
      <c r="V280" s="759"/>
      <c r="W280" s="759"/>
      <c r="X280" s="759"/>
      <c r="Y280" s="759"/>
      <c r="Z280" s="759"/>
      <c r="AA280" s="755"/>
      <c r="AB280" s="755"/>
      <c r="AC280" s="773"/>
      <c r="AD280" s="802"/>
      <c r="AF280" s="814"/>
      <c r="AG280" s="802"/>
      <c r="AH280" s="805"/>
      <c r="AI280" s="805"/>
      <c r="AJ280" s="827"/>
      <c r="AK280" s="805"/>
      <c r="AL280" s="806"/>
      <c r="AM280" s="805"/>
      <c r="AN280" s="805"/>
      <c r="AO280" s="807"/>
      <c r="AP280" s="805"/>
      <c r="AQ280" s="805"/>
      <c r="AR280" s="807"/>
      <c r="AS280" s="807"/>
      <c r="AT280" s="805"/>
      <c r="AU280" s="805"/>
      <c r="AV280" s="807"/>
      <c r="AW280" s="802"/>
      <c r="AX280" s="802"/>
      <c r="AY280" s="802"/>
      <c r="AZ280" s="802"/>
      <c r="BA280" s="802"/>
    </row>
    <row r="281" spans="1:53" s="803" customFormat="1" ht="56.25" customHeight="1" x14ac:dyDescent="0.25">
      <c r="A281" s="1122" t="s">
        <v>1664</v>
      </c>
      <c r="B281" s="837" t="s">
        <v>1665</v>
      </c>
      <c r="C281" s="837"/>
      <c r="D281" s="834"/>
      <c r="E281" s="791" t="s">
        <v>488</v>
      </c>
      <c r="F281" s="792" t="s">
        <v>837</v>
      </c>
      <c r="G281" s="837" t="s">
        <v>489</v>
      </c>
      <c r="H281" s="791" t="s">
        <v>1170</v>
      </c>
      <c r="I281" s="792" t="s">
        <v>838</v>
      </c>
      <c r="J281" s="793" t="s">
        <v>1171</v>
      </c>
      <c r="K281" s="793" t="s">
        <v>490</v>
      </c>
      <c r="L281" s="794" t="s">
        <v>489</v>
      </c>
      <c r="M281" s="793" t="s">
        <v>1172</v>
      </c>
      <c r="N281" s="792" t="s">
        <v>838</v>
      </c>
      <c r="O281" s="793" t="s">
        <v>1171</v>
      </c>
      <c r="P281" s="793" t="s">
        <v>826</v>
      </c>
      <c r="Q281" s="793" t="s">
        <v>1173</v>
      </c>
      <c r="R281" s="793" t="s">
        <v>1174</v>
      </c>
      <c r="S281" s="793" t="s">
        <v>839</v>
      </c>
      <c r="T281" s="793" t="s">
        <v>1171</v>
      </c>
      <c r="U281" s="793" t="s">
        <v>1392</v>
      </c>
      <c r="V281" s="793" t="s">
        <v>841</v>
      </c>
      <c r="W281" s="795" t="s">
        <v>1173</v>
      </c>
      <c r="X281" s="793" t="s">
        <v>1394</v>
      </c>
      <c r="Y281" s="793" t="s">
        <v>839</v>
      </c>
      <c r="Z281" s="796"/>
      <c r="AA281" s="755"/>
      <c r="AB281" s="755"/>
      <c r="AC281" s="773"/>
      <c r="AD281" s="802"/>
      <c r="AF281" s="804"/>
      <c r="AG281" s="802"/>
      <c r="AH281" s="805"/>
      <c r="AI281" s="805"/>
      <c r="AJ281" s="805"/>
      <c r="AK281" s="805"/>
      <c r="AL281" s="806"/>
      <c r="AM281" s="805"/>
      <c r="AN281" s="805"/>
      <c r="AO281" s="807"/>
      <c r="AP281" s="805"/>
      <c r="AQ281" s="808"/>
      <c r="AR281" s="808"/>
      <c r="AS281" s="808"/>
      <c r="AT281" s="805"/>
      <c r="AU281" s="805"/>
      <c r="AV281" s="807"/>
      <c r="AW281" s="802"/>
      <c r="AX281" s="802"/>
      <c r="AY281" s="802"/>
      <c r="AZ281" s="802"/>
      <c r="BA281" s="802"/>
    </row>
    <row r="282" spans="1:53" s="803" customFormat="1" ht="12" customHeight="1" x14ac:dyDescent="0.25">
      <c r="A282" s="1122"/>
      <c r="B282" s="752" t="s">
        <v>1175</v>
      </c>
      <c r="C282" s="837">
        <f>C289</f>
        <v>37.011966153328835</v>
      </c>
      <c r="D282" s="834">
        <f>C282*$D$5</f>
        <v>7.4764171629724254</v>
      </c>
      <c r="E282" s="754" t="s">
        <v>1176</v>
      </c>
      <c r="F282" s="810"/>
      <c r="G282" s="756"/>
      <c r="H282" s="756"/>
      <c r="I282" s="757">
        <f>SUM(I283:I290)</f>
        <v>6.5736000000000008</v>
      </c>
      <c r="J282" s="758" t="s">
        <v>1176</v>
      </c>
      <c r="K282" s="811"/>
      <c r="L282" s="759"/>
      <c r="M282" s="759"/>
      <c r="N282" s="760">
        <f>SUM(N283:N290)</f>
        <v>0.11480060266357756</v>
      </c>
      <c r="O282" s="759" t="s">
        <v>1176</v>
      </c>
      <c r="P282" s="759"/>
      <c r="Q282" s="812"/>
      <c r="R282" s="813"/>
      <c r="S282" s="760">
        <f>SUM(S283:S290)</f>
        <v>0.44703241573155073</v>
      </c>
      <c r="T282" s="760"/>
      <c r="U282" s="760"/>
      <c r="V282" s="760"/>
      <c r="W282" s="760"/>
      <c r="X282" s="760"/>
      <c r="Y282" s="760">
        <f>SUM(Y283:Y290)</f>
        <v>4.3489191438431192</v>
      </c>
      <c r="Z282" s="762">
        <f>(C282+D282+I282+N282+S282+Y282)*$Z$5</f>
        <v>72.775061801254822</v>
      </c>
      <c r="AA282" s="763">
        <f>C282+D282+I282+N282+S282+Y282+Z282</f>
        <v>128.74779727979433</v>
      </c>
      <c r="AB282" s="764">
        <v>0.25</v>
      </c>
      <c r="AC282" s="765">
        <f>AA282*(1+AB282)</f>
        <v>160.93474659974291</v>
      </c>
      <c r="AD282" s="814"/>
      <c r="AF282" s="804"/>
      <c r="AG282" s="802"/>
      <c r="AH282" s="805"/>
      <c r="AI282" s="808"/>
      <c r="AJ282" s="815"/>
      <c r="AK282" s="816"/>
      <c r="AL282" s="806"/>
      <c r="AM282" s="817"/>
      <c r="AN282" s="818"/>
      <c r="AO282" s="817"/>
      <c r="AP282" s="808"/>
      <c r="AQ282" s="808"/>
      <c r="AR282" s="808"/>
      <c r="AS282" s="808"/>
      <c r="AT282" s="808"/>
      <c r="AU282" s="817"/>
      <c r="AV282" s="817"/>
      <c r="AW282" s="819"/>
      <c r="AX282" s="802"/>
      <c r="AY282" s="802"/>
      <c r="AZ282" s="802"/>
      <c r="BA282" s="802"/>
    </row>
    <row r="283" spans="1:53" s="803" customFormat="1" ht="12.75" customHeight="1" x14ac:dyDescent="0.25">
      <c r="A283" s="1122"/>
      <c r="B283" s="766" t="s">
        <v>1177</v>
      </c>
      <c r="C283" s="837"/>
      <c r="D283" s="835"/>
      <c r="E283" s="767" t="s">
        <v>1437</v>
      </c>
      <c r="F283" s="768" t="s">
        <v>1438</v>
      </c>
      <c r="G283" s="769">
        <v>0.74</v>
      </c>
      <c r="H283" s="768">
        <v>0.01</v>
      </c>
      <c r="I283" s="770">
        <f>G283*H283</f>
        <v>7.4000000000000003E-3</v>
      </c>
      <c r="J283" s="758" t="s">
        <v>1291</v>
      </c>
      <c r="K283" s="760">
        <v>2</v>
      </c>
      <c r="L283" s="760">
        <v>750</v>
      </c>
      <c r="M283" s="760">
        <v>2</v>
      </c>
      <c r="N283" s="790">
        <f>L283/'Исп. коэффициенты'!E52*(C287+C288)</f>
        <v>9.8966036778946179E-2</v>
      </c>
      <c r="O283" s="759" t="s">
        <v>129</v>
      </c>
      <c r="P283" s="759">
        <v>24100</v>
      </c>
      <c r="Q283" s="759">
        <v>19.68</v>
      </c>
      <c r="R283" s="759">
        <f>P283*Q283%</f>
        <v>4742.88</v>
      </c>
      <c r="S283" s="759">
        <f>R283/'Исп. коэффициенты'!E52</f>
        <v>0.44703241573155073</v>
      </c>
      <c r="T283" s="755" t="s">
        <v>1435</v>
      </c>
      <c r="U283" s="756">
        <v>6785401.3499999996</v>
      </c>
      <c r="V283" s="785">
        <f>'Исп. коэффициенты'!E124</f>
        <v>2978.5</v>
      </c>
      <c r="W283" s="761">
        <f>'Исп. коэффициенты'!D124</f>
        <v>1.3599999999999999E-2</v>
      </c>
      <c r="X283" s="760">
        <f>U283*W283</f>
        <v>92281.45835999999</v>
      </c>
      <c r="Y283" s="759">
        <f>X283/'Исп. коэффициенты'!E52/2</f>
        <v>4.3489191438431192</v>
      </c>
      <c r="Z283" s="759"/>
      <c r="AA283" s="755"/>
      <c r="AB283" s="755"/>
      <c r="AC283" s="773"/>
      <c r="AD283" s="802"/>
      <c r="AF283" s="821"/>
      <c r="AG283" s="802"/>
      <c r="AH283" s="805"/>
      <c r="AI283" s="805"/>
      <c r="AJ283" s="822"/>
      <c r="AK283" s="805"/>
      <c r="AL283" s="806"/>
      <c r="AM283" s="805"/>
      <c r="AN283" s="805"/>
      <c r="AO283" s="807"/>
      <c r="AP283" s="805"/>
      <c r="AQ283" s="805"/>
      <c r="AR283" s="807"/>
      <c r="AS283" s="807"/>
      <c r="AT283" s="808"/>
      <c r="AU283" s="805"/>
      <c r="AV283" s="807"/>
      <c r="AW283" s="802"/>
      <c r="AX283" s="802"/>
      <c r="AY283" s="802"/>
      <c r="AZ283" s="802"/>
      <c r="BA283" s="802"/>
    </row>
    <row r="284" spans="1:53" s="803" customFormat="1" x14ac:dyDescent="0.25">
      <c r="A284" s="1122"/>
      <c r="B284" s="774" t="s">
        <v>1178</v>
      </c>
      <c r="C284" s="753">
        <f>C274</f>
        <v>33.667709452234185</v>
      </c>
      <c r="D284" s="835"/>
      <c r="E284" s="767" t="s">
        <v>1439</v>
      </c>
      <c r="F284" s="768" t="s">
        <v>1438</v>
      </c>
      <c r="G284" s="769">
        <v>0.27</v>
      </c>
      <c r="H284" s="768">
        <v>0.01</v>
      </c>
      <c r="I284" s="775">
        <f>G284*H284</f>
        <v>2.7000000000000001E-3</v>
      </c>
      <c r="J284" s="758" t="s">
        <v>1445</v>
      </c>
      <c r="K284" s="760">
        <v>2</v>
      </c>
      <c r="L284" s="760">
        <v>95</v>
      </c>
      <c r="M284" s="760">
        <v>2</v>
      </c>
      <c r="N284" s="790">
        <f>L284/'Исп. коэффициенты'!E52*(C287+C288)</f>
        <v>1.2535697991999849E-2</v>
      </c>
      <c r="O284" s="759"/>
      <c r="P284" s="759"/>
      <c r="Q284" s="759"/>
      <c r="R284" s="759"/>
      <c r="S284" s="759"/>
      <c r="T284" s="759"/>
      <c r="U284" s="759"/>
      <c r="V284" s="759"/>
      <c r="W284" s="759"/>
      <c r="X284" s="759"/>
      <c r="Y284" s="759"/>
      <c r="Z284" s="759"/>
      <c r="AA284" s="755"/>
      <c r="AB284" s="755"/>
      <c r="AC284" s="773"/>
      <c r="AD284" s="802"/>
      <c r="AF284" s="821"/>
      <c r="AG284" s="802"/>
      <c r="AH284" s="805"/>
      <c r="AI284" s="805"/>
      <c r="AJ284" s="822"/>
      <c r="AK284" s="805"/>
      <c r="AL284" s="806"/>
      <c r="AM284" s="824"/>
      <c r="AN284" s="805"/>
      <c r="AO284" s="807"/>
      <c r="AP284" s="805"/>
      <c r="AQ284" s="805"/>
      <c r="AR284" s="807"/>
      <c r="AS284" s="807"/>
      <c r="AT284" s="805"/>
      <c r="AU284" s="805"/>
      <c r="AV284" s="807"/>
      <c r="AW284" s="802"/>
      <c r="AX284" s="802"/>
      <c r="AY284" s="802"/>
      <c r="AZ284" s="802"/>
      <c r="BA284" s="802"/>
    </row>
    <row r="285" spans="1:53" s="803" customFormat="1" ht="12.75" customHeight="1" x14ac:dyDescent="0.25">
      <c r="A285" s="1122"/>
      <c r="B285" s="754" t="s">
        <v>1179</v>
      </c>
      <c r="C285" s="837">
        <f>C275</f>
        <v>22.420123808013045</v>
      </c>
      <c r="D285" s="835"/>
      <c r="E285" s="767" t="s">
        <v>1598</v>
      </c>
      <c r="F285" s="768" t="s">
        <v>1441</v>
      </c>
      <c r="G285" s="769">
        <v>4.4000000000000004</v>
      </c>
      <c r="H285" s="769">
        <v>1</v>
      </c>
      <c r="I285" s="770">
        <f>G285*H285</f>
        <v>4.4000000000000004</v>
      </c>
      <c r="J285" s="758" t="s">
        <v>1513</v>
      </c>
      <c r="K285" s="760">
        <v>2</v>
      </c>
      <c r="L285" s="760">
        <v>25</v>
      </c>
      <c r="M285" s="760">
        <v>0.5</v>
      </c>
      <c r="N285" s="790">
        <f>L285/'Исп. коэффициенты'!E52*(C287+C288)</f>
        <v>3.2988678926315395E-3</v>
      </c>
      <c r="O285" s="759"/>
      <c r="P285" s="759"/>
      <c r="Q285" s="759"/>
      <c r="R285" s="759"/>
      <c r="S285" s="759"/>
      <c r="T285" s="759"/>
      <c r="U285" s="759"/>
      <c r="V285" s="759"/>
      <c r="W285" s="759"/>
      <c r="X285" s="759"/>
      <c r="Y285" s="759"/>
      <c r="Z285" s="759"/>
      <c r="AA285" s="755"/>
      <c r="AB285" s="755"/>
      <c r="AC285" s="773"/>
      <c r="AD285" s="802"/>
      <c r="AF285" s="821"/>
      <c r="AG285" s="802"/>
      <c r="AH285" s="805"/>
      <c r="AI285" s="805"/>
      <c r="AJ285" s="822"/>
      <c r="AK285" s="805"/>
      <c r="AL285" s="806"/>
      <c r="AM285" s="805"/>
      <c r="AN285" s="805"/>
      <c r="AO285" s="807"/>
      <c r="AP285" s="805"/>
      <c r="AQ285" s="805"/>
      <c r="AR285" s="807"/>
      <c r="AS285" s="807"/>
      <c r="AT285" s="805"/>
      <c r="AU285" s="805"/>
      <c r="AV285" s="807"/>
      <c r="AW285" s="802"/>
      <c r="AX285" s="802"/>
      <c r="AY285" s="802"/>
      <c r="AZ285" s="802"/>
      <c r="BA285" s="802"/>
    </row>
    <row r="286" spans="1:53" s="803" customFormat="1" ht="12.75" customHeight="1" x14ac:dyDescent="0.25">
      <c r="A286" s="1122"/>
      <c r="B286" s="754" t="s">
        <v>1180</v>
      </c>
      <c r="C286" s="789"/>
      <c r="D286" s="835"/>
      <c r="E286" s="767"/>
      <c r="F286" s="768"/>
      <c r="G286" s="769"/>
      <c r="H286" s="768"/>
      <c r="I286" s="770"/>
      <c r="J286" s="758"/>
      <c r="K286" s="760"/>
      <c r="L286" s="760"/>
      <c r="M286" s="760"/>
      <c r="N286" s="760"/>
      <c r="O286" s="759"/>
      <c r="P286" s="759"/>
      <c r="Q286" s="759"/>
      <c r="R286" s="759"/>
      <c r="S286" s="759"/>
      <c r="T286" s="759"/>
      <c r="U286" s="759"/>
      <c r="V286" s="759"/>
      <c r="W286" s="759"/>
      <c r="X286" s="759"/>
      <c r="Y286" s="759"/>
      <c r="Z286" s="759"/>
      <c r="AA286" s="755"/>
      <c r="AB286" s="755"/>
      <c r="AC286" s="773"/>
      <c r="AD286" s="802"/>
      <c r="AF286" s="821"/>
      <c r="AG286" s="802"/>
      <c r="AH286" s="805"/>
      <c r="AI286" s="805"/>
      <c r="AJ286" s="822"/>
      <c r="AK286" s="805"/>
      <c r="AL286" s="806"/>
      <c r="AM286" s="805"/>
      <c r="AN286" s="805"/>
      <c r="AO286" s="807"/>
      <c r="AP286" s="805"/>
      <c r="AQ286" s="805"/>
      <c r="AR286" s="807"/>
      <c r="AS286" s="807"/>
      <c r="AT286" s="805"/>
      <c r="AU286" s="805"/>
      <c r="AV286" s="807"/>
      <c r="AW286" s="802"/>
      <c r="AX286" s="802"/>
      <c r="AY286" s="802"/>
      <c r="AZ286" s="802"/>
      <c r="BA286" s="802"/>
    </row>
    <row r="287" spans="1:53" s="803" customFormat="1" ht="12.75" customHeight="1" x14ac:dyDescent="0.25">
      <c r="A287" s="1122"/>
      <c r="B287" s="774" t="s">
        <v>1178</v>
      </c>
      <c r="C287" s="784">
        <v>0.5</v>
      </c>
      <c r="D287" s="835"/>
      <c r="E287" s="767" t="s">
        <v>1442</v>
      </c>
      <c r="F287" s="768" t="s">
        <v>1443</v>
      </c>
      <c r="G287" s="769">
        <v>419.5</v>
      </c>
      <c r="H287" s="768">
        <v>1E-3</v>
      </c>
      <c r="I287" s="770">
        <f>G287*H287</f>
        <v>0.41949999999999998</v>
      </c>
      <c r="J287" s="758"/>
      <c r="K287" s="760"/>
      <c r="L287" s="760"/>
      <c r="M287" s="760"/>
      <c r="N287" s="760"/>
      <c r="O287" s="759"/>
      <c r="P287" s="759"/>
      <c r="Q287" s="759"/>
      <c r="R287" s="759"/>
      <c r="S287" s="759"/>
      <c r="T287" s="759"/>
      <c r="U287" s="759"/>
      <c r="V287" s="759"/>
      <c r="W287" s="759"/>
      <c r="X287" s="759"/>
      <c r="Y287" s="759"/>
      <c r="Z287" s="759"/>
      <c r="AA287" s="755"/>
      <c r="AB287" s="755"/>
      <c r="AC287" s="773"/>
      <c r="AD287" s="802"/>
      <c r="AF287" s="821"/>
      <c r="AG287" s="802"/>
      <c r="AH287" s="805"/>
      <c r="AI287" s="805"/>
      <c r="AJ287" s="827"/>
      <c r="AK287" s="805"/>
      <c r="AL287" s="806"/>
      <c r="AM287" s="805"/>
      <c r="AN287" s="805"/>
      <c r="AO287" s="807"/>
      <c r="AP287" s="805"/>
      <c r="AQ287" s="805"/>
      <c r="AR287" s="807"/>
      <c r="AS287" s="807"/>
      <c r="AT287" s="805"/>
      <c r="AU287" s="805"/>
      <c r="AV287" s="807"/>
      <c r="AW287" s="802"/>
      <c r="AX287" s="802"/>
      <c r="AY287" s="802"/>
      <c r="AZ287" s="802"/>
      <c r="BA287" s="802"/>
    </row>
    <row r="288" spans="1:53" s="803" customFormat="1" ht="12.75" customHeight="1" x14ac:dyDescent="0.25">
      <c r="A288" s="1122"/>
      <c r="B288" s="754" t="s">
        <v>1179</v>
      </c>
      <c r="C288" s="784">
        <v>0.9</v>
      </c>
      <c r="D288" s="835"/>
      <c r="E288" s="767" t="s">
        <v>1444</v>
      </c>
      <c r="F288" s="768" t="s">
        <v>1443</v>
      </c>
      <c r="G288" s="769">
        <v>872</v>
      </c>
      <c r="H288" s="768">
        <v>2E-3</v>
      </c>
      <c r="I288" s="770">
        <f>G288*H288</f>
        <v>1.744</v>
      </c>
      <c r="J288" s="758"/>
      <c r="K288" s="760"/>
      <c r="L288" s="760"/>
      <c r="M288" s="760"/>
      <c r="N288" s="760"/>
      <c r="O288" s="759"/>
      <c r="P288" s="759"/>
      <c r="Q288" s="759"/>
      <c r="R288" s="759"/>
      <c r="S288" s="759"/>
      <c r="T288" s="759"/>
      <c r="U288" s="759"/>
      <c r="V288" s="759"/>
      <c r="W288" s="759"/>
      <c r="X288" s="759"/>
      <c r="Y288" s="759"/>
      <c r="Z288" s="759"/>
      <c r="AA288" s="755"/>
      <c r="AB288" s="755"/>
      <c r="AC288" s="773"/>
      <c r="AD288" s="802"/>
      <c r="AF288" s="821"/>
      <c r="AG288" s="802"/>
      <c r="AH288" s="805"/>
      <c r="AI288" s="805"/>
      <c r="AJ288" s="827"/>
      <c r="AK288" s="805"/>
      <c r="AL288" s="806"/>
      <c r="AM288" s="805"/>
      <c r="AN288" s="805"/>
      <c r="AO288" s="807"/>
      <c r="AP288" s="805"/>
      <c r="AQ288" s="805"/>
      <c r="AR288" s="807"/>
      <c r="AS288" s="807"/>
      <c r="AT288" s="805"/>
      <c r="AU288" s="805"/>
      <c r="AV288" s="807"/>
      <c r="AW288" s="802"/>
      <c r="AX288" s="802"/>
      <c r="AY288" s="802"/>
      <c r="AZ288" s="802"/>
      <c r="BA288" s="802"/>
    </row>
    <row r="289" spans="1:53" s="803" customFormat="1" ht="12.75" customHeight="1" x14ac:dyDescent="0.25">
      <c r="A289" s="1122"/>
      <c r="B289" s="782" t="s">
        <v>1181</v>
      </c>
      <c r="C289" s="837">
        <f>C284*C287+C285*C288</f>
        <v>37.011966153328835</v>
      </c>
      <c r="D289" s="835"/>
      <c r="E289" s="767"/>
      <c r="F289" s="781"/>
      <c r="G289" s="769"/>
      <c r="H289" s="768"/>
      <c r="I289" s="770"/>
      <c r="J289" s="758"/>
      <c r="K289" s="828"/>
      <c r="L289" s="760"/>
      <c r="M289" s="760"/>
      <c r="N289" s="760"/>
      <c r="O289" s="759"/>
      <c r="P289" s="759"/>
      <c r="Q289" s="759"/>
      <c r="R289" s="759"/>
      <c r="S289" s="759"/>
      <c r="T289" s="759"/>
      <c r="U289" s="759"/>
      <c r="V289" s="759"/>
      <c r="W289" s="759"/>
      <c r="X289" s="759"/>
      <c r="Y289" s="759"/>
      <c r="Z289" s="759"/>
      <c r="AA289" s="755"/>
      <c r="AB289" s="755"/>
      <c r="AC289" s="773"/>
      <c r="AD289" s="802"/>
      <c r="AF289" s="821"/>
      <c r="AG289" s="802"/>
      <c r="AH289" s="805"/>
      <c r="AI289" s="805"/>
      <c r="AJ289" s="822"/>
      <c r="AK289" s="805"/>
      <c r="AL289" s="806"/>
      <c r="AM289" s="805"/>
      <c r="AN289" s="805"/>
      <c r="AO289" s="807"/>
      <c r="AP289" s="805"/>
      <c r="AQ289" s="805"/>
      <c r="AR289" s="807"/>
      <c r="AS289" s="807"/>
      <c r="AT289" s="805"/>
      <c r="AU289" s="805"/>
      <c r="AV289" s="807"/>
      <c r="AW289" s="802"/>
      <c r="AX289" s="802"/>
      <c r="AY289" s="802"/>
      <c r="AZ289" s="802"/>
      <c r="BA289" s="802"/>
    </row>
    <row r="290" spans="1:53" s="803" customFormat="1" ht="12.75" customHeight="1" x14ac:dyDescent="0.25">
      <c r="A290" s="1122"/>
      <c r="B290" s="782"/>
      <c r="C290" s="784"/>
      <c r="D290" s="836"/>
      <c r="E290" s="754"/>
      <c r="F290" s="857"/>
      <c r="G290" s="769"/>
      <c r="H290" s="756"/>
      <c r="I290" s="770"/>
      <c r="J290" s="758"/>
      <c r="K290" s="828"/>
      <c r="L290" s="760"/>
      <c r="M290" s="760"/>
      <c r="N290" s="760"/>
      <c r="O290" s="759"/>
      <c r="P290" s="759"/>
      <c r="Q290" s="759"/>
      <c r="R290" s="759"/>
      <c r="S290" s="759"/>
      <c r="T290" s="759"/>
      <c r="U290" s="759"/>
      <c r="V290" s="759"/>
      <c r="W290" s="759"/>
      <c r="X290" s="759"/>
      <c r="Y290" s="759"/>
      <c r="Z290" s="759"/>
      <c r="AA290" s="755"/>
      <c r="AB290" s="755"/>
      <c r="AC290" s="773"/>
      <c r="AD290" s="802"/>
      <c r="AF290" s="814"/>
      <c r="AG290" s="802"/>
      <c r="AH290" s="805"/>
      <c r="AI290" s="805"/>
      <c r="AJ290" s="827"/>
      <c r="AK290" s="805"/>
      <c r="AL290" s="806"/>
      <c r="AM290" s="805"/>
      <c r="AN290" s="805"/>
      <c r="AO290" s="807"/>
      <c r="AP290" s="805"/>
      <c r="AQ290" s="805"/>
      <c r="AR290" s="807"/>
      <c r="AS290" s="807"/>
      <c r="AT290" s="805"/>
      <c r="AU290" s="805"/>
      <c r="AV290" s="807"/>
      <c r="AW290" s="802"/>
      <c r="AX290" s="802"/>
      <c r="AY290" s="802"/>
      <c r="AZ290" s="802"/>
      <c r="BA290" s="802"/>
    </row>
    <row r="291" spans="1:53" s="803" customFormat="1" ht="56.25" customHeight="1" x14ac:dyDescent="0.25">
      <c r="A291" s="1122" t="s">
        <v>185</v>
      </c>
      <c r="B291" s="753" t="s">
        <v>1020</v>
      </c>
      <c r="C291" s="837"/>
      <c r="D291" s="834"/>
      <c r="E291" s="791" t="s">
        <v>488</v>
      </c>
      <c r="F291" s="792" t="s">
        <v>837</v>
      </c>
      <c r="G291" s="837" t="s">
        <v>489</v>
      </c>
      <c r="H291" s="791" t="s">
        <v>1170</v>
      </c>
      <c r="I291" s="792" t="s">
        <v>838</v>
      </c>
      <c r="J291" s="793" t="s">
        <v>1171</v>
      </c>
      <c r="K291" s="793" t="s">
        <v>490</v>
      </c>
      <c r="L291" s="794" t="s">
        <v>489</v>
      </c>
      <c r="M291" s="793" t="s">
        <v>1172</v>
      </c>
      <c r="N291" s="792" t="s">
        <v>838</v>
      </c>
      <c r="O291" s="793" t="s">
        <v>1171</v>
      </c>
      <c r="P291" s="793" t="s">
        <v>826</v>
      </c>
      <c r="Q291" s="793" t="s">
        <v>1173</v>
      </c>
      <c r="R291" s="793" t="s">
        <v>1174</v>
      </c>
      <c r="S291" s="793" t="s">
        <v>839</v>
      </c>
      <c r="T291" s="793" t="s">
        <v>1171</v>
      </c>
      <c r="U291" s="793" t="s">
        <v>1392</v>
      </c>
      <c r="V291" s="793" t="s">
        <v>841</v>
      </c>
      <c r="W291" s="795" t="s">
        <v>1173</v>
      </c>
      <c r="X291" s="793" t="s">
        <v>1394</v>
      </c>
      <c r="Y291" s="793" t="s">
        <v>839</v>
      </c>
      <c r="Z291" s="796"/>
      <c r="AA291" s="755"/>
      <c r="AB291" s="755"/>
      <c r="AC291" s="773"/>
      <c r="AD291" s="802"/>
      <c r="AF291" s="804"/>
      <c r="AG291" s="802"/>
      <c r="AH291" s="805"/>
      <c r="AI291" s="805"/>
      <c r="AJ291" s="805"/>
      <c r="AK291" s="805"/>
      <c r="AL291" s="806"/>
      <c r="AM291" s="805"/>
      <c r="AN291" s="805"/>
      <c r="AO291" s="807"/>
      <c r="AP291" s="805"/>
      <c r="AQ291" s="808"/>
      <c r="AR291" s="808"/>
      <c r="AS291" s="808"/>
      <c r="AT291" s="805"/>
      <c r="AU291" s="805"/>
      <c r="AV291" s="807"/>
      <c r="AW291" s="802"/>
      <c r="AX291" s="802"/>
      <c r="AY291" s="802"/>
      <c r="AZ291" s="802"/>
      <c r="BA291" s="802"/>
    </row>
    <row r="292" spans="1:53" s="803" customFormat="1" ht="12" customHeight="1" x14ac:dyDescent="0.25">
      <c r="A292" s="1122"/>
      <c r="B292" s="752" t="s">
        <v>1175</v>
      </c>
      <c r="C292" s="837">
        <f>C299</f>
        <v>44.84024761602609</v>
      </c>
      <c r="D292" s="834">
        <f>C292*$D$5</f>
        <v>9.0577300184372707</v>
      </c>
      <c r="E292" s="754" t="s">
        <v>1176</v>
      </c>
      <c r="F292" s="810"/>
      <c r="G292" s="756"/>
      <c r="H292" s="756"/>
      <c r="I292" s="757">
        <f>SUM(I293:I300)</f>
        <v>7.8836000000000004</v>
      </c>
      <c r="J292" s="758" t="s">
        <v>1176</v>
      </c>
      <c r="K292" s="811"/>
      <c r="L292" s="759"/>
      <c r="M292" s="759"/>
      <c r="N292" s="760">
        <f>SUM(N293:N300)</f>
        <v>0.16400086094796795</v>
      </c>
      <c r="O292" s="759" t="s">
        <v>1176</v>
      </c>
      <c r="P292" s="759"/>
      <c r="Q292" s="812"/>
      <c r="R292" s="813"/>
      <c r="S292" s="760">
        <f>SUM(S293:S300)</f>
        <v>0.51009922956919684</v>
      </c>
      <c r="T292" s="760"/>
      <c r="U292" s="760"/>
      <c r="V292" s="760"/>
      <c r="W292" s="760"/>
      <c r="X292" s="760"/>
      <c r="Y292" s="760">
        <f>SUM(Y293:Y300)</f>
        <v>4.3489191438431192</v>
      </c>
      <c r="Z292" s="762">
        <f>(C292+D292+I292+N292+S292+Y292)*$Z$5</f>
        <v>86.858514670961213</v>
      </c>
      <c r="AA292" s="763">
        <f>C292+D292+I292+N292+S292+Y292+Z292</f>
        <v>153.66311153978484</v>
      </c>
      <c r="AB292" s="764">
        <v>0.25</v>
      </c>
      <c r="AC292" s="765">
        <f>AA292*(1+AB292)</f>
        <v>192.07888942473105</v>
      </c>
      <c r="AD292" s="814"/>
      <c r="AF292" s="804"/>
      <c r="AG292" s="802"/>
      <c r="AH292" s="805"/>
      <c r="AI292" s="808"/>
      <c r="AJ292" s="815"/>
      <c r="AK292" s="816"/>
      <c r="AL292" s="806"/>
      <c r="AM292" s="817"/>
      <c r="AN292" s="818"/>
      <c r="AO292" s="817"/>
      <c r="AP292" s="808"/>
      <c r="AQ292" s="808"/>
      <c r="AR292" s="808"/>
      <c r="AS292" s="808"/>
      <c r="AT292" s="808"/>
      <c r="AU292" s="817"/>
      <c r="AV292" s="817"/>
      <c r="AW292" s="819"/>
      <c r="AX292" s="802"/>
      <c r="AY292" s="802"/>
      <c r="AZ292" s="802"/>
      <c r="BA292" s="802"/>
    </row>
    <row r="293" spans="1:53" s="803" customFormat="1" ht="12.75" customHeight="1" x14ac:dyDescent="0.25">
      <c r="A293" s="1122"/>
      <c r="B293" s="766" t="s">
        <v>1177</v>
      </c>
      <c r="C293" s="837"/>
      <c r="D293" s="835"/>
      <c r="E293" s="767" t="s">
        <v>1437</v>
      </c>
      <c r="F293" s="768" t="s">
        <v>1438</v>
      </c>
      <c r="G293" s="769">
        <v>0.74</v>
      </c>
      <c r="H293" s="768">
        <v>0.01</v>
      </c>
      <c r="I293" s="770">
        <f t="shared" ref="I293:I298" si="15">G293*H293</f>
        <v>7.4000000000000003E-3</v>
      </c>
      <c r="J293" s="758" t="s">
        <v>1291</v>
      </c>
      <c r="K293" s="760">
        <v>2</v>
      </c>
      <c r="L293" s="760">
        <v>750</v>
      </c>
      <c r="M293" s="760">
        <v>2</v>
      </c>
      <c r="N293" s="790">
        <f>L293/'Исп. коэффициенты'!E52*(C297+C298)</f>
        <v>0.14138005254135169</v>
      </c>
      <c r="O293" s="759" t="s">
        <v>128</v>
      </c>
      <c r="P293" s="759">
        <v>27500</v>
      </c>
      <c r="Q293" s="759">
        <v>19.68</v>
      </c>
      <c r="R293" s="759">
        <f>P293*Q293%</f>
        <v>5412</v>
      </c>
      <c r="S293" s="759">
        <f>R293/'Исп. коэффициенты'!E52</f>
        <v>0.51009922956919684</v>
      </c>
      <c r="T293" s="755" t="s">
        <v>1435</v>
      </c>
      <c r="U293" s="756">
        <v>6785401.3499999996</v>
      </c>
      <c r="V293" s="785">
        <f>'Исп. коэффициенты'!E124</f>
        <v>2978.5</v>
      </c>
      <c r="W293" s="761">
        <f>'Исп. коэффициенты'!D124</f>
        <v>1.3599999999999999E-2</v>
      </c>
      <c r="X293" s="760">
        <f>U293*W293</f>
        <v>92281.45835999999</v>
      </c>
      <c r="Y293" s="759">
        <f>X293/'Исп. коэффициенты'!E52/2</f>
        <v>4.3489191438431192</v>
      </c>
      <c r="Z293" s="759"/>
      <c r="AA293" s="755"/>
      <c r="AB293" s="755"/>
      <c r="AC293" s="773"/>
      <c r="AD293" s="802"/>
      <c r="AF293" s="821"/>
      <c r="AG293" s="802"/>
      <c r="AH293" s="805"/>
      <c r="AI293" s="805"/>
      <c r="AJ293" s="822"/>
      <c r="AK293" s="805"/>
      <c r="AL293" s="806"/>
      <c r="AM293" s="805"/>
      <c r="AN293" s="805"/>
      <c r="AO293" s="807"/>
      <c r="AP293" s="805"/>
      <c r="AQ293" s="805"/>
      <c r="AR293" s="807"/>
      <c r="AS293" s="807"/>
      <c r="AT293" s="808"/>
      <c r="AU293" s="805"/>
      <c r="AV293" s="807"/>
      <c r="AW293" s="802"/>
      <c r="AX293" s="802"/>
      <c r="AY293" s="802"/>
      <c r="AZ293" s="802"/>
      <c r="BA293" s="802"/>
    </row>
    <row r="294" spans="1:53" s="803" customFormat="1" x14ac:dyDescent="0.25">
      <c r="A294" s="1122"/>
      <c r="B294" s="774" t="s">
        <v>1178</v>
      </c>
      <c r="C294" s="753">
        <f>C284</f>
        <v>33.667709452234185</v>
      </c>
      <c r="D294" s="835"/>
      <c r="E294" s="767" t="s">
        <v>1439</v>
      </c>
      <c r="F294" s="768" t="s">
        <v>1438</v>
      </c>
      <c r="G294" s="769">
        <v>0.27</v>
      </c>
      <c r="H294" s="768">
        <v>0.01</v>
      </c>
      <c r="I294" s="775">
        <f t="shared" si="15"/>
        <v>2.7000000000000001E-3</v>
      </c>
      <c r="J294" s="758" t="s">
        <v>1445</v>
      </c>
      <c r="K294" s="760">
        <v>2</v>
      </c>
      <c r="L294" s="760">
        <v>95</v>
      </c>
      <c r="M294" s="760">
        <v>2</v>
      </c>
      <c r="N294" s="790">
        <f>L294/'Исп. коэффициенты'!E52*(C297+C298)</f>
        <v>1.7908139988571214E-2</v>
      </c>
      <c r="O294" s="759"/>
      <c r="P294" s="759"/>
      <c r="Q294" s="759"/>
      <c r="R294" s="759"/>
      <c r="S294" s="759"/>
      <c r="T294" s="759"/>
      <c r="U294" s="759"/>
      <c r="V294" s="759"/>
      <c r="W294" s="759"/>
      <c r="X294" s="759"/>
      <c r="Y294" s="759"/>
      <c r="Z294" s="759"/>
      <c r="AA294" s="755"/>
      <c r="AB294" s="755"/>
      <c r="AC294" s="773"/>
      <c r="AD294" s="802"/>
      <c r="AF294" s="821"/>
      <c r="AG294" s="802"/>
      <c r="AH294" s="805"/>
      <c r="AI294" s="805"/>
      <c r="AJ294" s="822"/>
      <c r="AK294" s="805"/>
      <c r="AL294" s="806"/>
      <c r="AM294" s="824"/>
      <c r="AN294" s="805"/>
      <c r="AO294" s="807"/>
      <c r="AP294" s="805"/>
      <c r="AQ294" s="805"/>
      <c r="AR294" s="807"/>
      <c r="AS294" s="807"/>
      <c r="AT294" s="805"/>
      <c r="AU294" s="805"/>
      <c r="AV294" s="807"/>
      <c r="AW294" s="802"/>
      <c r="AX294" s="802"/>
      <c r="AY294" s="802"/>
      <c r="AZ294" s="802"/>
      <c r="BA294" s="802"/>
    </row>
    <row r="295" spans="1:53" s="803" customFormat="1" ht="12.75" customHeight="1" x14ac:dyDescent="0.25">
      <c r="A295" s="1122"/>
      <c r="B295" s="754" t="s">
        <v>1179</v>
      </c>
      <c r="C295" s="837">
        <f>C285</f>
        <v>22.420123808013045</v>
      </c>
      <c r="D295" s="835"/>
      <c r="E295" s="767" t="s">
        <v>1598</v>
      </c>
      <c r="F295" s="768" t="s">
        <v>1441</v>
      </c>
      <c r="G295" s="769">
        <v>4.4000000000000004</v>
      </c>
      <c r="H295" s="769">
        <v>1</v>
      </c>
      <c r="I295" s="770">
        <f t="shared" si="15"/>
        <v>4.4000000000000004</v>
      </c>
      <c r="J295" s="758" t="s">
        <v>1513</v>
      </c>
      <c r="K295" s="760">
        <v>2</v>
      </c>
      <c r="L295" s="760">
        <v>25</v>
      </c>
      <c r="M295" s="760">
        <v>0.5</v>
      </c>
      <c r="N295" s="790">
        <f>L295/'Исп. коэффициенты'!E52*(C297+C298)</f>
        <v>4.7126684180450566E-3</v>
      </c>
      <c r="O295" s="759"/>
      <c r="P295" s="759"/>
      <c r="Q295" s="759"/>
      <c r="R295" s="759"/>
      <c r="S295" s="759"/>
      <c r="T295" s="759"/>
      <c r="U295" s="759"/>
      <c r="V295" s="759"/>
      <c r="W295" s="759"/>
      <c r="X295" s="759"/>
      <c r="Y295" s="759"/>
      <c r="Z295" s="759"/>
      <c r="AA295" s="755"/>
      <c r="AB295" s="755"/>
      <c r="AC295" s="773"/>
      <c r="AD295" s="802"/>
      <c r="AF295" s="821"/>
      <c r="AG295" s="802"/>
      <c r="AH295" s="805"/>
      <c r="AI295" s="805"/>
      <c r="AJ295" s="822"/>
      <c r="AK295" s="805"/>
      <c r="AL295" s="806"/>
      <c r="AM295" s="805"/>
      <c r="AN295" s="805"/>
      <c r="AO295" s="807"/>
      <c r="AP295" s="805"/>
      <c r="AQ295" s="805"/>
      <c r="AR295" s="807"/>
      <c r="AS295" s="807"/>
      <c r="AT295" s="805"/>
      <c r="AU295" s="805"/>
      <c r="AV295" s="807"/>
      <c r="AW295" s="802"/>
      <c r="AX295" s="802"/>
      <c r="AY295" s="802"/>
      <c r="AZ295" s="802"/>
      <c r="BA295" s="802"/>
    </row>
    <row r="296" spans="1:53" s="803" customFormat="1" ht="12.75" customHeight="1" x14ac:dyDescent="0.25">
      <c r="A296" s="1122"/>
      <c r="B296" s="754" t="s">
        <v>1180</v>
      </c>
      <c r="C296" s="789"/>
      <c r="D296" s="835"/>
      <c r="E296" s="767" t="s">
        <v>1517</v>
      </c>
      <c r="F296" s="768" t="s">
        <v>1441</v>
      </c>
      <c r="G296" s="769">
        <v>1.31</v>
      </c>
      <c r="H296" s="768">
        <v>1</v>
      </c>
      <c r="I296" s="770">
        <f t="shared" si="15"/>
        <v>1.31</v>
      </c>
      <c r="J296" s="758"/>
      <c r="K296" s="760"/>
      <c r="L296" s="760"/>
      <c r="M296" s="760"/>
      <c r="N296" s="760"/>
      <c r="O296" s="759"/>
      <c r="P296" s="759"/>
      <c r="Q296" s="759"/>
      <c r="R296" s="759"/>
      <c r="S296" s="759"/>
      <c r="T296" s="759"/>
      <c r="U296" s="759"/>
      <c r="V296" s="759"/>
      <c r="W296" s="759"/>
      <c r="X296" s="759"/>
      <c r="Y296" s="759"/>
      <c r="Z296" s="759"/>
      <c r="AA296" s="755"/>
      <c r="AB296" s="755"/>
      <c r="AC296" s="773"/>
      <c r="AD296" s="802"/>
      <c r="AF296" s="821"/>
      <c r="AG296" s="802"/>
      <c r="AH296" s="805"/>
      <c r="AI296" s="805"/>
      <c r="AJ296" s="822"/>
      <c r="AK296" s="805"/>
      <c r="AL296" s="806"/>
      <c r="AM296" s="805"/>
      <c r="AN296" s="805"/>
      <c r="AO296" s="807"/>
      <c r="AP296" s="805"/>
      <c r="AQ296" s="805"/>
      <c r="AR296" s="807"/>
      <c r="AS296" s="807"/>
      <c r="AT296" s="805"/>
      <c r="AU296" s="805"/>
      <c r="AV296" s="807"/>
      <c r="AW296" s="802"/>
      <c r="AX296" s="802"/>
      <c r="AY296" s="802"/>
      <c r="AZ296" s="802"/>
      <c r="BA296" s="802"/>
    </row>
    <row r="297" spans="1:53" s="803" customFormat="1" ht="12.75" customHeight="1" x14ac:dyDescent="0.25">
      <c r="A297" s="1122"/>
      <c r="B297" s="774" t="s">
        <v>1178</v>
      </c>
      <c r="C297" s="784"/>
      <c r="D297" s="835"/>
      <c r="E297" s="767" t="s">
        <v>1442</v>
      </c>
      <c r="F297" s="768" t="s">
        <v>1443</v>
      </c>
      <c r="G297" s="769">
        <v>419.5</v>
      </c>
      <c r="H297" s="768">
        <v>1E-3</v>
      </c>
      <c r="I297" s="770">
        <f t="shared" si="15"/>
        <v>0.41949999999999998</v>
      </c>
      <c r="J297" s="758"/>
      <c r="K297" s="760"/>
      <c r="L297" s="760"/>
      <c r="M297" s="760"/>
      <c r="N297" s="760"/>
      <c r="O297" s="759"/>
      <c r="P297" s="759"/>
      <c r="Q297" s="759"/>
      <c r="R297" s="759"/>
      <c r="S297" s="759"/>
      <c r="T297" s="759"/>
      <c r="U297" s="759"/>
      <c r="V297" s="759"/>
      <c r="W297" s="759"/>
      <c r="X297" s="759"/>
      <c r="Y297" s="759"/>
      <c r="Z297" s="759"/>
      <c r="AA297" s="755"/>
      <c r="AB297" s="755"/>
      <c r="AC297" s="773"/>
      <c r="AD297" s="802"/>
      <c r="AF297" s="821"/>
      <c r="AG297" s="802"/>
      <c r="AH297" s="805"/>
      <c r="AI297" s="805"/>
      <c r="AJ297" s="827"/>
      <c r="AK297" s="805"/>
      <c r="AL297" s="806"/>
      <c r="AM297" s="805"/>
      <c r="AN297" s="805"/>
      <c r="AO297" s="807"/>
      <c r="AP297" s="805"/>
      <c r="AQ297" s="805"/>
      <c r="AR297" s="807"/>
      <c r="AS297" s="807"/>
      <c r="AT297" s="805"/>
      <c r="AU297" s="805"/>
      <c r="AV297" s="807"/>
      <c r="AW297" s="802"/>
      <c r="AX297" s="802"/>
      <c r="AY297" s="802"/>
      <c r="AZ297" s="802"/>
      <c r="BA297" s="802"/>
    </row>
    <row r="298" spans="1:53" s="803" customFormat="1" ht="12.75" customHeight="1" x14ac:dyDescent="0.25">
      <c r="A298" s="1122"/>
      <c r="B298" s="754" t="s">
        <v>1179</v>
      </c>
      <c r="C298" s="784">
        <v>2</v>
      </c>
      <c r="D298" s="835"/>
      <c r="E298" s="767" t="s">
        <v>1444</v>
      </c>
      <c r="F298" s="768" t="s">
        <v>1443</v>
      </c>
      <c r="G298" s="769">
        <v>872</v>
      </c>
      <c r="H298" s="768">
        <v>2E-3</v>
      </c>
      <c r="I298" s="770">
        <f t="shared" si="15"/>
        <v>1.744</v>
      </c>
      <c r="J298" s="758"/>
      <c r="K298" s="760"/>
      <c r="L298" s="760"/>
      <c r="M298" s="760"/>
      <c r="N298" s="760"/>
      <c r="O298" s="759"/>
      <c r="P298" s="759"/>
      <c r="Q298" s="759"/>
      <c r="R298" s="759"/>
      <c r="S298" s="759"/>
      <c r="T298" s="759"/>
      <c r="U298" s="759"/>
      <c r="V298" s="759"/>
      <c r="W298" s="759"/>
      <c r="X298" s="759"/>
      <c r="Y298" s="759"/>
      <c r="Z298" s="759"/>
      <c r="AA298" s="755"/>
      <c r="AB298" s="755"/>
      <c r="AC298" s="773"/>
      <c r="AD298" s="802"/>
      <c r="AF298" s="821"/>
      <c r="AG298" s="802"/>
      <c r="AH298" s="805"/>
      <c r="AI298" s="805"/>
      <c r="AJ298" s="827"/>
      <c r="AK298" s="805"/>
      <c r="AL298" s="806"/>
      <c r="AM298" s="805"/>
      <c r="AN298" s="805"/>
      <c r="AO298" s="807"/>
      <c r="AP298" s="805"/>
      <c r="AQ298" s="805"/>
      <c r="AR298" s="807"/>
      <c r="AS298" s="807"/>
      <c r="AT298" s="805"/>
      <c r="AU298" s="805"/>
      <c r="AV298" s="807"/>
      <c r="AW298" s="802"/>
      <c r="AX298" s="802"/>
      <c r="AY298" s="802"/>
      <c r="AZ298" s="802"/>
      <c r="BA298" s="802"/>
    </row>
    <row r="299" spans="1:53" s="803" customFormat="1" ht="12.75" customHeight="1" x14ac:dyDescent="0.25">
      <c r="A299" s="1122"/>
      <c r="B299" s="782" t="s">
        <v>1181</v>
      </c>
      <c r="C299" s="837">
        <f>C294*C297+C295*C298</f>
        <v>44.84024761602609</v>
      </c>
      <c r="D299" s="835"/>
      <c r="E299" s="767"/>
      <c r="F299" s="781"/>
      <c r="G299" s="769"/>
      <c r="H299" s="768"/>
      <c r="I299" s="770"/>
      <c r="J299" s="758"/>
      <c r="K299" s="828"/>
      <c r="L299" s="760"/>
      <c r="M299" s="760"/>
      <c r="N299" s="760"/>
      <c r="O299" s="759"/>
      <c r="P299" s="759"/>
      <c r="Q299" s="759"/>
      <c r="R299" s="759"/>
      <c r="S299" s="759"/>
      <c r="T299" s="759"/>
      <c r="U299" s="759"/>
      <c r="V299" s="759"/>
      <c r="W299" s="759"/>
      <c r="X299" s="759"/>
      <c r="Y299" s="759"/>
      <c r="Z299" s="759"/>
      <c r="AA299" s="755"/>
      <c r="AB299" s="755"/>
      <c r="AC299" s="773"/>
      <c r="AD299" s="802"/>
      <c r="AF299" s="821"/>
      <c r="AG299" s="802"/>
      <c r="AH299" s="805"/>
      <c r="AI299" s="805"/>
      <c r="AJ299" s="822"/>
      <c r="AK299" s="805"/>
      <c r="AL299" s="806"/>
      <c r="AM299" s="805"/>
      <c r="AN299" s="805"/>
      <c r="AO299" s="807"/>
      <c r="AP299" s="805"/>
      <c r="AQ299" s="805"/>
      <c r="AR299" s="807"/>
      <c r="AS299" s="807"/>
      <c r="AT299" s="805"/>
      <c r="AU299" s="805"/>
      <c r="AV299" s="807"/>
      <c r="AW299" s="802"/>
      <c r="AX299" s="802"/>
      <c r="AY299" s="802"/>
      <c r="AZ299" s="802"/>
      <c r="BA299" s="802"/>
    </row>
    <row r="300" spans="1:53" s="803" customFormat="1" ht="12.75" customHeight="1" x14ac:dyDescent="0.25">
      <c r="A300" s="1122"/>
      <c r="B300" s="782"/>
      <c r="C300" s="784"/>
      <c r="D300" s="836"/>
      <c r="E300" s="754"/>
      <c r="F300" s="857"/>
      <c r="G300" s="769"/>
      <c r="H300" s="756"/>
      <c r="I300" s="770"/>
      <c r="J300" s="758"/>
      <c r="K300" s="828"/>
      <c r="L300" s="760"/>
      <c r="M300" s="760"/>
      <c r="N300" s="760"/>
      <c r="O300" s="759"/>
      <c r="P300" s="759"/>
      <c r="Q300" s="759"/>
      <c r="R300" s="759"/>
      <c r="S300" s="759"/>
      <c r="T300" s="759"/>
      <c r="U300" s="759"/>
      <c r="V300" s="759"/>
      <c r="W300" s="759"/>
      <c r="X300" s="759"/>
      <c r="Y300" s="759"/>
      <c r="Z300" s="759"/>
      <c r="AA300" s="755"/>
      <c r="AB300" s="755"/>
      <c r="AC300" s="773"/>
      <c r="AD300" s="802"/>
      <c r="AF300" s="814"/>
      <c r="AG300" s="802"/>
      <c r="AH300" s="805"/>
      <c r="AI300" s="805"/>
      <c r="AJ300" s="827"/>
      <c r="AK300" s="805"/>
      <c r="AL300" s="806"/>
      <c r="AM300" s="805"/>
      <c r="AN300" s="805"/>
      <c r="AO300" s="807"/>
      <c r="AP300" s="805"/>
      <c r="AQ300" s="805"/>
      <c r="AR300" s="807"/>
      <c r="AS300" s="807"/>
      <c r="AT300" s="805"/>
      <c r="AU300" s="805"/>
      <c r="AV300" s="807"/>
      <c r="AW300" s="802"/>
      <c r="AX300" s="802"/>
      <c r="AY300" s="802"/>
      <c r="AZ300" s="802"/>
      <c r="BA300" s="802"/>
    </row>
    <row r="301" spans="1:53" s="803" customFormat="1" ht="56.25" customHeight="1" x14ac:dyDescent="0.25">
      <c r="A301" s="1122" t="s">
        <v>10</v>
      </c>
      <c r="B301" s="753" t="s">
        <v>1018</v>
      </c>
      <c r="C301" s="837"/>
      <c r="D301" s="834"/>
      <c r="E301" s="791" t="s">
        <v>488</v>
      </c>
      <c r="F301" s="792" t="s">
        <v>837</v>
      </c>
      <c r="G301" s="837" t="s">
        <v>489</v>
      </c>
      <c r="H301" s="791" t="s">
        <v>1170</v>
      </c>
      <c r="I301" s="792" t="s">
        <v>838</v>
      </c>
      <c r="J301" s="793" t="s">
        <v>1171</v>
      </c>
      <c r="K301" s="793" t="s">
        <v>490</v>
      </c>
      <c r="L301" s="794" t="s">
        <v>489</v>
      </c>
      <c r="M301" s="793" t="s">
        <v>1172</v>
      </c>
      <c r="N301" s="792" t="s">
        <v>838</v>
      </c>
      <c r="O301" s="793" t="s">
        <v>1171</v>
      </c>
      <c r="P301" s="793" t="s">
        <v>826</v>
      </c>
      <c r="Q301" s="793" t="s">
        <v>1173</v>
      </c>
      <c r="R301" s="793" t="s">
        <v>1174</v>
      </c>
      <c r="S301" s="793" t="s">
        <v>839</v>
      </c>
      <c r="T301" s="793" t="s">
        <v>1171</v>
      </c>
      <c r="U301" s="793" t="s">
        <v>1392</v>
      </c>
      <c r="V301" s="793" t="s">
        <v>841</v>
      </c>
      <c r="W301" s="795" t="s">
        <v>1173</v>
      </c>
      <c r="X301" s="793" t="s">
        <v>1394</v>
      </c>
      <c r="Y301" s="793" t="s">
        <v>839</v>
      </c>
      <c r="Z301" s="796"/>
      <c r="AA301" s="755"/>
      <c r="AB301" s="755"/>
      <c r="AC301" s="773"/>
      <c r="AD301" s="802"/>
      <c r="AF301" s="804"/>
      <c r="AG301" s="802"/>
      <c r="AH301" s="805"/>
      <c r="AI301" s="805"/>
      <c r="AJ301" s="805"/>
      <c r="AK301" s="805"/>
      <c r="AL301" s="806"/>
      <c r="AM301" s="805"/>
      <c r="AN301" s="805"/>
      <c r="AO301" s="807"/>
      <c r="AP301" s="805"/>
      <c r="AQ301" s="808"/>
      <c r="AR301" s="808"/>
      <c r="AS301" s="808"/>
      <c r="AT301" s="805"/>
      <c r="AU301" s="805"/>
      <c r="AV301" s="807"/>
      <c r="AW301" s="802"/>
      <c r="AX301" s="802"/>
      <c r="AY301" s="802"/>
      <c r="AZ301" s="802"/>
      <c r="BA301" s="802"/>
    </row>
    <row r="302" spans="1:53" s="803" customFormat="1" ht="12" customHeight="1" x14ac:dyDescent="0.25">
      <c r="A302" s="1122"/>
      <c r="B302" s="752" t="s">
        <v>1175</v>
      </c>
      <c r="C302" s="837">
        <f>C309</f>
        <v>22.420123808013045</v>
      </c>
      <c r="D302" s="834">
        <f>C302*$D$5</f>
        <v>4.5288650092186353</v>
      </c>
      <c r="E302" s="754" t="s">
        <v>1176</v>
      </c>
      <c r="F302" s="810"/>
      <c r="G302" s="756"/>
      <c r="H302" s="756"/>
      <c r="I302" s="757">
        <f>SUM(I303:I310)</f>
        <v>7.8836000000000004</v>
      </c>
      <c r="J302" s="758" t="s">
        <v>1176</v>
      </c>
      <c r="K302" s="811"/>
      <c r="L302" s="759"/>
      <c r="M302" s="759"/>
      <c r="N302" s="760">
        <f>SUM(N303:N310)</f>
        <v>8.2000430473983976E-2</v>
      </c>
      <c r="O302" s="759" t="s">
        <v>1176</v>
      </c>
      <c r="P302" s="759"/>
      <c r="Q302" s="812"/>
      <c r="R302" s="813"/>
      <c r="S302" s="760">
        <f>SUM(S303:S310)</f>
        <v>9.8377551924086384E-2</v>
      </c>
      <c r="T302" s="760"/>
      <c r="U302" s="760"/>
      <c r="V302" s="760"/>
      <c r="W302" s="760"/>
      <c r="X302" s="760"/>
      <c r="Y302" s="760">
        <f>SUM(Y303:Y310)</f>
        <v>4.3489191438431192</v>
      </c>
      <c r="Z302" s="762">
        <f>(C302+D302+I302+N302+S302+Y302)*$Z$5</f>
        <v>51.177839668895288</v>
      </c>
      <c r="AA302" s="763">
        <f>C302+D302+I302+N302+S302+Y302+Z302</f>
        <v>90.539725612368159</v>
      </c>
      <c r="AB302" s="764">
        <v>0.25</v>
      </c>
      <c r="AC302" s="765">
        <f>AA302*(1+AB302)</f>
        <v>113.1746570154602</v>
      </c>
      <c r="AD302" s="814"/>
      <c r="AF302" s="804"/>
      <c r="AG302" s="802"/>
      <c r="AH302" s="805"/>
      <c r="AI302" s="808"/>
      <c r="AJ302" s="815"/>
      <c r="AK302" s="816"/>
      <c r="AL302" s="806"/>
      <c r="AM302" s="817"/>
      <c r="AN302" s="818"/>
      <c r="AO302" s="817"/>
      <c r="AP302" s="808"/>
      <c r="AQ302" s="808"/>
      <c r="AR302" s="808"/>
      <c r="AS302" s="808"/>
      <c r="AT302" s="808"/>
      <c r="AU302" s="817"/>
      <c r="AV302" s="817"/>
      <c r="AW302" s="819"/>
      <c r="AX302" s="802"/>
      <c r="AY302" s="802"/>
      <c r="AZ302" s="802"/>
      <c r="BA302" s="802"/>
    </row>
    <row r="303" spans="1:53" s="803" customFormat="1" ht="12.75" customHeight="1" x14ac:dyDescent="0.25">
      <c r="A303" s="1122"/>
      <c r="B303" s="766" t="s">
        <v>1177</v>
      </c>
      <c r="C303" s="837"/>
      <c r="D303" s="835"/>
      <c r="E303" s="767" t="s">
        <v>1437</v>
      </c>
      <c r="F303" s="768" t="s">
        <v>1438</v>
      </c>
      <c r="G303" s="769">
        <v>0.74</v>
      </c>
      <c r="H303" s="768">
        <v>0.01</v>
      </c>
      <c r="I303" s="770">
        <f t="shared" ref="I303:I308" si="16">G303*H303</f>
        <v>7.4000000000000003E-3</v>
      </c>
      <c r="J303" s="758" t="s">
        <v>1291</v>
      </c>
      <c r="K303" s="760">
        <v>2</v>
      </c>
      <c r="L303" s="760">
        <v>750</v>
      </c>
      <c r="M303" s="760">
        <v>2</v>
      </c>
      <c r="N303" s="786">
        <f>L303/'Исп. коэффициенты'!E52*(C307+C308)</f>
        <v>7.0690026270675846E-2</v>
      </c>
      <c r="O303" s="759" t="s">
        <v>186</v>
      </c>
      <c r="P303" s="759">
        <v>5303.64</v>
      </c>
      <c r="Q303" s="759">
        <v>19.68</v>
      </c>
      <c r="R303" s="759">
        <f>P303*Q303%</f>
        <v>1043.7563520000001</v>
      </c>
      <c r="S303" s="759">
        <f>R303/'Исп. коэффициенты'!E52</f>
        <v>9.8377551924086384E-2</v>
      </c>
      <c r="T303" s="755" t="s">
        <v>1435</v>
      </c>
      <c r="U303" s="756">
        <v>6785401.3499999996</v>
      </c>
      <c r="V303" s="785">
        <f>'Исп. коэффициенты'!E124</f>
        <v>2978.5</v>
      </c>
      <c r="W303" s="761">
        <f>'Исп. коэффициенты'!D124</f>
        <v>1.3599999999999999E-2</v>
      </c>
      <c r="X303" s="760">
        <f>U303*W303</f>
        <v>92281.45835999999</v>
      </c>
      <c r="Y303" s="759">
        <f>X303/'Исп. коэффициенты'!E52/2</f>
        <v>4.3489191438431192</v>
      </c>
      <c r="Z303" s="759"/>
      <c r="AA303" s="755"/>
      <c r="AB303" s="755"/>
      <c r="AC303" s="773"/>
      <c r="AD303" s="802"/>
      <c r="AF303" s="821"/>
      <c r="AG303" s="802"/>
      <c r="AH303" s="805"/>
      <c r="AI303" s="805"/>
      <c r="AJ303" s="822"/>
      <c r="AK303" s="805"/>
      <c r="AL303" s="806"/>
      <c r="AM303" s="805"/>
      <c r="AN303" s="805"/>
      <c r="AO303" s="807"/>
      <c r="AP303" s="805"/>
      <c r="AQ303" s="805"/>
      <c r="AR303" s="807"/>
      <c r="AS303" s="807"/>
      <c r="AT303" s="808"/>
      <c r="AU303" s="805"/>
      <c r="AV303" s="807"/>
      <c r="AW303" s="802"/>
      <c r="AX303" s="802"/>
      <c r="AY303" s="802"/>
      <c r="AZ303" s="802"/>
      <c r="BA303" s="802"/>
    </row>
    <row r="304" spans="1:53" s="803" customFormat="1" x14ac:dyDescent="0.25">
      <c r="A304" s="1122"/>
      <c r="B304" s="774" t="s">
        <v>1178</v>
      </c>
      <c r="C304" s="753">
        <f>C294</f>
        <v>33.667709452234185</v>
      </c>
      <c r="D304" s="835"/>
      <c r="E304" s="767" t="s">
        <v>1439</v>
      </c>
      <c r="F304" s="768" t="s">
        <v>1438</v>
      </c>
      <c r="G304" s="769">
        <v>0.27</v>
      </c>
      <c r="H304" s="768">
        <v>0.01</v>
      </c>
      <c r="I304" s="775">
        <f t="shared" si="16"/>
        <v>2.7000000000000001E-3</v>
      </c>
      <c r="J304" s="758" t="s">
        <v>1445</v>
      </c>
      <c r="K304" s="760">
        <v>2</v>
      </c>
      <c r="L304" s="760">
        <v>95</v>
      </c>
      <c r="M304" s="760">
        <v>2</v>
      </c>
      <c r="N304" s="786">
        <f>L304/'Исп. коэффициенты'!E52*(C307+C308)</f>
        <v>8.9540699942856072E-3</v>
      </c>
      <c r="O304" s="759"/>
      <c r="P304" s="759"/>
      <c r="Q304" s="759"/>
      <c r="R304" s="759"/>
      <c r="S304" s="759"/>
      <c r="T304" s="759"/>
      <c r="U304" s="759"/>
      <c r="V304" s="759"/>
      <c r="W304" s="759"/>
      <c r="X304" s="759"/>
      <c r="Y304" s="759"/>
      <c r="Z304" s="759"/>
      <c r="AA304" s="755"/>
      <c r="AB304" s="755"/>
      <c r="AC304" s="773"/>
      <c r="AD304" s="802"/>
      <c r="AF304" s="821"/>
      <c r="AG304" s="802"/>
      <c r="AH304" s="805"/>
      <c r="AI304" s="805"/>
      <c r="AJ304" s="822"/>
      <c r="AK304" s="805"/>
      <c r="AL304" s="806"/>
      <c r="AM304" s="824"/>
      <c r="AN304" s="805"/>
      <c r="AO304" s="807"/>
      <c r="AP304" s="805"/>
      <c r="AQ304" s="805"/>
      <c r="AR304" s="807"/>
      <c r="AS304" s="807"/>
      <c r="AT304" s="805"/>
      <c r="AU304" s="805"/>
      <c r="AV304" s="807"/>
      <c r="AW304" s="802"/>
      <c r="AX304" s="802"/>
      <c r="AY304" s="802"/>
      <c r="AZ304" s="802"/>
      <c r="BA304" s="802"/>
    </row>
    <row r="305" spans="1:53" s="803" customFormat="1" ht="12.75" customHeight="1" x14ac:dyDescent="0.25">
      <c r="A305" s="1122"/>
      <c r="B305" s="754" t="s">
        <v>1179</v>
      </c>
      <c r="C305" s="837">
        <f>C295</f>
        <v>22.420123808013045</v>
      </c>
      <c r="D305" s="835"/>
      <c r="E305" s="767" t="s">
        <v>1598</v>
      </c>
      <c r="F305" s="768" t="s">
        <v>1441</v>
      </c>
      <c r="G305" s="769">
        <v>4.4000000000000004</v>
      </c>
      <c r="H305" s="769">
        <v>1</v>
      </c>
      <c r="I305" s="770">
        <f t="shared" si="16"/>
        <v>4.4000000000000004</v>
      </c>
      <c r="J305" s="758" t="s">
        <v>1513</v>
      </c>
      <c r="K305" s="760">
        <v>2</v>
      </c>
      <c r="L305" s="760">
        <v>25</v>
      </c>
      <c r="M305" s="760">
        <v>0.5</v>
      </c>
      <c r="N305" s="786">
        <f>L305/'Исп. коэффициенты'!E52*(C307+C308)</f>
        <v>2.3563342090225283E-3</v>
      </c>
      <c r="O305" s="759"/>
      <c r="P305" s="759"/>
      <c r="Q305" s="759"/>
      <c r="R305" s="759"/>
      <c r="S305" s="759"/>
      <c r="T305" s="759"/>
      <c r="U305" s="759"/>
      <c r="V305" s="759"/>
      <c r="W305" s="759"/>
      <c r="X305" s="759"/>
      <c r="Y305" s="759"/>
      <c r="Z305" s="759"/>
      <c r="AA305" s="755"/>
      <c r="AB305" s="755"/>
      <c r="AC305" s="773"/>
      <c r="AD305" s="802"/>
      <c r="AF305" s="821"/>
      <c r="AG305" s="802"/>
      <c r="AH305" s="805"/>
      <c r="AI305" s="805"/>
      <c r="AJ305" s="822"/>
      <c r="AK305" s="805"/>
      <c r="AL305" s="806"/>
      <c r="AM305" s="805"/>
      <c r="AN305" s="805"/>
      <c r="AO305" s="807"/>
      <c r="AP305" s="805"/>
      <c r="AQ305" s="805"/>
      <c r="AR305" s="807"/>
      <c r="AS305" s="807"/>
      <c r="AT305" s="805"/>
      <c r="AU305" s="805"/>
      <c r="AV305" s="807"/>
      <c r="AW305" s="802"/>
      <c r="AX305" s="802"/>
      <c r="AY305" s="802"/>
      <c r="AZ305" s="802"/>
      <c r="BA305" s="802"/>
    </row>
    <row r="306" spans="1:53" s="803" customFormat="1" ht="12.75" customHeight="1" x14ac:dyDescent="0.25">
      <c r="A306" s="1122"/>
      <c r="B306" s="754" t="s">
        <v>1180</v>
      </c>
      <c r="C306" s="789"/>
      <c r="D306" s="835"/>
      <c r="E306" s="767" t="s">
        <v>1517</v>
      </c>
      <c r="F306" s="768" t="s">
        <v>1441</v>
      </c>
      <c r="G306" s="769">
        <v>1.31</v>
      </c>
      <c r="H306" s="768">
        <v>1</v>
      </c>
      <c r="I306" s="770">
        <f t="shared" si="16"/>
        <v>1.31</v>
      </c>
      <c r="J306" s="758"/>
      <c r="K306" s="760"/>
      <c r="L306" s="760"/>
      <c r="M306" s="760"/>
      <c r="N306" s="760"/>
      <c r="O306" s="759"/>
      <c r="P306" s="759"/>
      <c r="Q306" s="759"/>
      <c r="R306" s="759"/>
      <c r="S306" s="759"/>
      <c r="T306" s="759"/>
      <c r="U306" s="759"/>
      <c r="V306" s="759"/>
      <c r="W306" s="759"/>
      <c r="X306" s="759"/>
      <c r="Y306" s="759"/>
      <c r="Z306" s="759"/>
      <c r="AA306" s="755"/>
      <c r="AB306" s="755"/>
      <c r="AC306" s="773"/>
      <c r="AD306" s="802"/>
      <c r="AF306" s="821"/>
      <c r="AG306" s="802"/>
      <c r="AH306" s="805"/>
      <c r="AI306" s="805"/>
      <c r="AJ306" s="822"/>
      <c r="AK306" s="805"/>
      <c r="AL306" s="806"/>
      <c r="AM306" s="805"/>
      <c r="AN306" s="805"/>
      <c r="AO306" s="807"/>
      <c r="AP306" s="805"/>
      <c r="AQ306" s="805"/>
      <c r="AR306" s="807"/>
      <c r="AS306" s="807"/>
      <c r="AT306" s="805"/>
      <c r="AU306" s="805"/>
      <c r="AV306" s="807"/>
      <c r="AW306" s="802"/>
      <c r="AX306" s="802"/>
      <c r="AY306" s="802"/>
      <c r="AZ306" s="802"/>
      <c r="BA306" s="802"/>
    </row>
    <row r="307" spans="1:53" s="803" customFormat="1" ht="12.75" customHeight="1" x14ac:dyDescent="0.25">
      <c r="A307" s="1122"/>
      <c r="B307" s="774" t="s">
        <v>1178</v>
      </c>
      <c r="C307" s="784"/>
      <c r="D307" s="835"/>
      <c r="E307" s="767" t="s">
        <v>1442</v>
      </c>
      <c r="F307" s="768" t="s">
        <v>1443</v>
      </c>
      <c r="G307" s="769">
        <v>419.5</v>
      </c>
      <c r="H307" s="768">
        <v>1E-3</v>
      </c>
      <c r="I307" s="770">
        <f t="shared" si="16"/>
        <v>0.41949999999999998</v>
      </c>
      <c r="J307" s="758"/>
      <c r="K307" s="760"/>
      <c r="L307" s="760"/>
      <c r="M307" s="760"/>
      <c r="N307" s="760"/>
      <c r="O307" s="759"/>
      <c r="P307" s="759"/>
      <c r="Q307" s="759"/>
      <c r="R307" s="759"/>
      <c r="S307" s="759"/>
      <c r="T307" s="759"/>
      <c r="U307" s="759"/>
      <c r="V307" s="759"/>
      <c r="W307" s="759"/>
      <c r="X307" s="759"/>
      <c r="Y307" s="759"/>
      <c r="Z307" s="759"/>
      <c r="AA307" s="755"/>
      <c r="AB307" s="755"/>
      <c r="AC307" s="773"/>
      <c r="AD307" s="802"/>
      <c r="AF307" s="821"/>
      <c r="AG307" s="802"/>
      <c r="AH307" s="805"/>
      <c r="AI307" s="805"/>
      <c r="AJ307" s="827"/>
      <c r="AK307" s="805"/>
      <c r="AL307" s="806"/>
      <c r="AM307" s="805"/>
      <c r="AN307" s="805"/>
      <c r="AO307" s="807"/>
      <c r="AP307" s="805"/>
      <c r="AQ307" s="805"/>
      <c r="AR307" s="807"/>
      <c r="AS307" s="807"/>
      <c r="AT307" s="805"/>
      <c r="AU307" s="805"/>
      <c r="AV307" s="807"/>
      <c r="AW307" s="802"/>
      <c r="AX307" s="802"/>
      <c r="AY307" s="802"/>
      <c r="AZ307" s="802"/>
      <c r="BA307" s="802"/>
    </row>
    <row r="308" spans="1:53" s="803" customFormat="1" ht="12.75" customHeight="1" x14ac:dyDescent="0.25">
      <c r="A308" s="1122"/>
      <c r="B308" s="754" t="s">
        <v>1179</v>
      </c>
      <c r="C308" s="784">
        <v>1</v>
      </c>
      <c r="D308" s="835"/>
      <c r="E308" s="767" t="s">
        <v>1444</v>
      </c>
      <c r="F308" s="768" t="s">
        <v>1443</v>
      </c>
      <c r="G308" s="769">
        <v>872</v>
      </c>
      <c r="H308" s="768">
        <v>2E-3</v>
      </c>
      <c r="I308" s="770">
        <f t="shared" si="16"/>
        <v>1.744</v>
      </c>
      <c r="J308" s="758"/>
      <c r="K308" s="760"/>
      <c r="L308" s="760"/>
      <c r="M308" s="760"/>
      <c r="N308" s="760"/>
      <c r="O308" s="759"/>
      <c r="P308" s="759"/>
      <c r="Q308" s="759"/>
      <c r="R308" s="759"/>
      <c r="S308" s="759"/>
      <c r="T308" s="759"/>
      <c r="U308" s="759"/>
      <c r="V308" s="759"/>
      <c r="W308" s="759"/>
      <c r="X308" s="759"/>
      <c r="Y308" s="759"/>
      <c r="Z308" s="759"/>
      <c r="AA308" s="755"/>
      <c r="AB308" s="755"/>
      <c r="AC308" s="773"/>
      <c r="AD308" s="802"/>
      <c r="AF308" s="821"/>
      <c r="AG308" s="802"/>
      <c r="AH308" s="805"/>
      <c r="AI308" s="805"/>
      <c r="AJ308" s="827"/>
      <c r="AK308" s="805"/>
      <c r="AL308" s="806"/>
      <c r="AM308" s="805"/>
      <c r="AN308" s="805"/>
      <c r="AO308" s="807"/>
      <c r="AP308" s="805"/>
      <c r="AQ308" s="805"/>
      <c r="AR308" s="807"/>
      <c r="AS308" s="807"/>
      <c r="AT308" s="805"/>
      <c r="AU308" s="805"/>
      <c r="AV308" s="807"/>
      <c r="AW308" s="802"/>
      <c r="AX308" s="802"/>
      <c r="AY308" s="802"/>
      <c r="AZ308" s="802"/>
      <c r="BA308" s="802"/>
    </row>
    <row r="309" spans="1:53" s="803" customFormat="1" ht="12.75" customHeight="1" x14ac:dyDescent="0.25">
      <c r="A309" s="1122"/>
      <c r="B309" s="782" t="s">
        <v>1181</v>
      </c>
      <c r="C309" s="837">
        <f>C304*C307+C305*C308</f>
        <v>22.420123808013045</v>
      </c>
      <c r="D309" s="835"/>
      <c r="E309" s="767"/>
      <c r="F309" s="781"/>
      <c r="G309" s="769"/>
      <c r="H309" s="768"/>
      <c r="I309" s="770"/>
      <c r="J309" s="758"/>
      <c r="K309" s="828"/>
      <c r="L309" s="760"/>
      <c r="M309" s="760"/>
      <c r="N309" s="760"/>
      <c r="O309" s="759"/>
      <c r="P309" s="759"/>
      <c r="Q309" s="759"/>
      <c r="R309" s="759"/>
      <c r="S309" s="759"/>
      <c r="T309" s="759"/>
      <c r="U309" s="759"/>
      <c r="V309" s="759"/>
      <c r="W309" s="759"/>
      <c r="X309" s="759"/>
      <c r="Y309" s="759"/>
      <c r="Z309" s="759"/>
      <c r="AA309" s="755"/>
      <c r="AB309" s="755"/>
      <c r="AC309" s="773"/>
      <c r="AD309" s="802"/>
      <c r="AF309" s="821"/>
      <c r="AG309" s="802"/>
      <c r="AH309" s="805"/>
      <c r="AI309" s="805"/>
      <c r="AJ309" s="822"/>
      <c r="AK309" s="805"/>
      <c r="AL309" s="806"/>
      <c r="AM309" s="805"/>
      <c r="AN309" s="805"/>
      <c r="AO309" s="807"/>
      <c r="AP309" s="805"/>
      <c r="AQ309" s="805"/>
      <c r="AR309" s="807"/>
      <c r="AS309" s="807"/>
      <c r="AT309" s="805"/>
      <c r="AU309" s="805"/>
      <c r="AV309" s="807"/>
      <c r="AW309" s="802"/>
      <c r="AX309" s="802"/>
      <c r="AY309" s="802"/>
      <c r="AZ309" s="802"/>
      <c r="BA309" s="802"/>
    </row>
    <row r="310" spans="1:53" s="803" customFormat="1" ht="12.75" customHeight="1" x14ac:dyDescent="0.25">
      <c r="A310" s="1122"/>
      <c r="B310" s="782"/>
      <c r="C310" s="784"/>
      <c r="D310" s="836"/>
      <c r="E310" s="754"/>
      <c r="F310" s="857"/>
      <c r="G310" s="769"/>
      <c r="H310" s="756"/>
      <c r="I310" s="770"/>
      <c r="J310" s="758"/>
      <c r="K310" s="828"/>
      <c r="L310" s="760"/>
      <c r="M310" s="760"/>
      <c r="N310" s="760"/>
      <c r="O310" s="759"/>
      <c r="P310" s="759"/>
      <c r="Q310" s="759"/>
      <c r="R310" s="759"/>
      <c r="S310" s="759"/>
      <c r="T310" s="759"/>
      <c r="U310" s="759"/>
      <c r="V310" s="759"/>
      <c r="W310" s="759"/>
      <c r="X310" s="759"/>
      <c r="Y310" s="759"/>
      <c r="Z310" s="759"/>
      <c r="AA310" s="755"/>
      <c r="AB310" s="755"/>
      <c r="AC310" s="773"/>
      <c r="AD310" s="802"/>
      <c r="AF310" s="814"/>
      <c r="AG310" s="802"/>
      <c r="AH310" s="805"/>
      <c r="AI310" s="805"/>
      <c r="AJ310" s="827"/>
      <c r="AK310" s="805"/>
      <c r="AL310" s="806"/>
      <c r="AM310" s="805"/>
      <c r="AN310" s="805"/>
      <c r="AO310" s="807"/>
      <c r="AP310" s="805"/>
      <c r="AQ310" s="805"/>
      <c r="AR310" s="807"/>
      <c r="AS310" s="807"/>
      <c r="AT310" s="805"/>
      <c r="AU310" s="805"/>
      <c r="AV310" s="807"/>
      <c r="AW310" s="802"/>
      <c r="AX310" s="802"/>
      <c r="AY310" s="802"/>
      <c r="AZ310" s="802"/>
      <c r="BA310" s="802"/>
    </row>
    <row r="311" spans="1:53" s="803" customFormat="1" ht="56.25" customHeight="1" x14ac:dyDescent="0.25">
      <c r="A311" s="1122" t="s">
        <v>1233</v>
      </c>
      <c r="B311" s="753" t="s">
        <v>1234</v>
      </c>
      <c r="C311" s="837"/>
      <c r="D311" s="834"/>
      <c r="E311" s="791" t="s">
        <v>488</v>
      </c>
      <c r="F311" s="792" t="s">
        <v>837</v>
      </c>
      <c r="G311" s="837" t="s">
        <v>489</v>
      </c>
      <c r="H311" s="791" t="s">
        <v>1170</v>
      </c>
      <c r="I311" s="792" t="s">
        <v>838</v>
      </c>
      <c r="J311" s="793" t="s">
        <v>1171</v>
      </c>
      <c r="K311" s="793" t="s">
        <v>490</v>
      </c>
      <c r="L311" s="794" t="s">
        <v>489</v>
      </c>
      <c r="M311" s="793" t="s">
        <v>1172</v>
      </c>
      <c r="N311" s="792" t="s">
        <v>838</v>
      </c>
      <c r="O311" s="793" t="s">
        <v>1171</v>
      </c>
      <c r="P311" s="793" t="s">
        <v>826</v>
      </c>
      <c r="Q311" s="793" t="s">
        <v>1173</v>
      </c>
      <c r="R311" s="793" t="s">
        <v>1174</v>
      </c>
      <c r="S311" s="793" t="s">
        <v>839</v>
      </c>
      <c r="T311" s="793" t="s">
        <v>1171</v>
      </c>
      <c r="U311" s="793" t="s">
        <v>1392</v>
      </c>
      <c r="V311" s="793" t="s">
        <v>841</v>
      </c>
      <c r="W311" s="795" t="s">
        <v>1173</v>
      </c>
      <c r="X311" s="793" t="s">
        <v>1394</v>
      </c>
      <c r="Y311" s="793" t="s">
        <v>839</v>
      </c>
      <c r="Z311" s="796"/>
      <c r="AA311" s="755"/>
      <c r="AB311" s="755"/>
      <c r="AC311" s="773"/>
      <c r="AD311" s="802"/>
      <c r="AF311" s="804"/>
      <c r="AG311" s="802"/>
      <c r="AH311" s="805"/>
      <c r="AI311" s="805"/>
      <c r="AJ311" s="805"/>
      <c r="AK311" s="805"/>
      <c r="AL311" s="806"/>
      <c r="AM311" s="805"/>
      <c r="AN311" s="805"/>
      <c r="AO311" s="807"/>
      <c r="AP311" s="805"/>
      <c r="AQ311" s="808"/>
      <c r="AR311" s="808"/>
      <c r="AS311" s="808"/>
      <c r="AT311" s="805"/>
      <c r="AU311" s="805"/>
      <c r="AV311" s="807"/>
      <c r="AW311" s="802"/>
      <c r="AX311" s="802"/>
      <c r="AY311" s="802"/>
      <c r="AZ311" s="802"/>
      <c r="BA311" s="802"/>
    </row>
    <row r="312" spans="1:53" s="803" customFormat="1" ht="12" customHeight="1" x14ac:dyDescent="0.25">
      <c r="A312" s="1122"/>
      <c r="B312" s="752" t="s">
        <v>1175</v>
      </c>
      <c r="C312" s="837">
        <f>C319</f>
        <v>22.420123808013045</v>
      </c>
      <c r="D312" s="834">
        <f>C312*$D$5</f>
        <v>4.5288650092186353</v>
      </c>
      <c r="E312" s="754" t="s">
        <v>1176</v>
      </c>
      <c r="F312" s="810"/>
      <c r="G312" s="756"/>
      <c r="H312" s="756"/>
      <c r="I312" s="757">
        <f>SUM(I313:I320)</f>
        <v>9.3936000000000011</v>
      </c>
      <c r="J312" s="758" t="s">
        <v>1176</v>
      </c>
      <c r="K312" s="811"/>
      <c r="L312" s="759"/>
      <c r="M312" s="759"/>
      <c r="N312" s="760">
        <f>SUM(N313:N320)</f>
        <v>8.2000430473983976E-2</v>
      </c>
      <c r="O312" s="759" t="s">
        <v>1176</v>
      </c>
      <c r="P312" s="759"/>
      <c r="Q312" s="812"/>
      <c r="R312" s="813"/>
      <c r="S312" s="760">
        <f>SUM(S313:S320)</f>
        <v>9.8377551924086384E-2</v>
      </c>
      <c r="T312" s="760"/>
      <c r="U312" s="760"/>
      <c r="V312" s="760"/>
      <c r="W312" s="760"/>
      <c r="X312" s="760"/>
      <c r="Y312" s="760">
        <f>SUM(Y313:Y320)</f>
        <v>4.3489191438431192</v>
      </c>
      <c r="Z312" s="762">
        <f>(C312+D312+I312+N312+S312+Y312)*$Z$5</f>
        <v>53.141123085015408</v>
      </c>
      <c r="AA312" s="763">
        <f>C312+D312+I312+N312+S312+Y312+Z312</f>
        <v>94.013009028488284</v>
      </c>
      <c r="AB312" s="764">
        <v>0.25</v>
      </c>
      <c r="AC312" s="765">
        <f>AA312*(1+AB312)</f>
        <v>117.51626128561036</v>
      </c>
      <c r="AD312" s="814"/>
      <c r="AF312" s="804"/>
      <c r="AG312" s="802"/>
      <c r="AH312" s="805"/>
      <c r="AI312" s="808"/>
      <c r="AJ312" s="815"/>
      <c r="AK312" s="816"/>
      <c r="AL312" s="806"/>
      <c r="AM312" s="817"/>
      <c r="AN312" s="818"/>
      <c r="AO312" s="817"/>
      <c r="AP312" s="808"/>
      <c r="AQ312" s="808"/>
      <c r="AR312" s="808"/>
      <c r="AS312" s="808"/>
      <c r="AT312" s="808"/>
      <c r="AU312" s="817"/>
      <c r="AV312" s="817"/>
      <c r="AW312" s="819"/>
      <c r="AX312" s="802"/>
      <c r="AY312" s="802"/>
      <c r="AZ312" s="802"/>
      <c r="BA312" s="802"/>
    </row>
    <row r="313" spans="1:53" s="803" customFormat="1" ht="12.75" customHeight="1" x14ac:dyDescent="0.25">
      <c r="A313" s="1122"/>
      <c r="B313" s="766" t="s">
        <v>1177</v>
      </c>
      <c r="C313" s="837"/>
      <c r="D313" s="835"/>
      <c r="E313" s="767" t="s">
        <v>1437</v>
      </c>
      <c r="F313" s="768" t="s">
        <v>1438</v>
      </c>
      <c r="G313" s="769">
        <v>0.74</v>
      </c>
      <c r="H313" s="768">
        <v>0.01</v>
      </c>
      <c r="I313" s="770">
        <f t="shared" ref="I313:I318" si="17">G313*H313</f>
        <v>7.4000000000000003E-3</v>
      </c>
      <c r="J313" s="758" t="s">
        <v>1291</v>
      </c>
      <c r="K313" s="760">
        <v>2</v>
      </c>
      <c r="L313" s="760">
        <v>750</v>
      </c>
      <c r="M313" s="760">
        <v>2</v>
      </c>
      <c r="N313" s="786">
        <f>L313/'Исп. коэффициенты'!E52*(C317+C318)</f>
        <v>7.0690026270675846E-2</v>
      </c>
      <c r="O313" s="759" t="s">
        <v>186</v>
      </c>
      <c r="P313" s="759">
        <v>5303.64</v>
      </c>
      <c r="Q313" s="759">
        <v>19.68</v>
      </c>
      <c r="R313" s="759">
        <f>P313*Q313%</f>
        <v>1043.7563520000001</v>
      </c>
      <c r="S313" s="759">
        <f>R313/'Исп. коэффициенты'!E52</f>
        <v>9.8377551924086384E-2</v>
      </c>
      <c r="T313" s="755" t="s">
        <v>1435</v>
      </c>
      <c r="U313" s="756">
        <v>6785401.3499999996</v>
      </c>
      <c r="V313" s="785">
        <f>'Исп. коэффициенты'!E124</f>
        <v>2978.5</v>
      </c>
      <c r="W313" s="761">
        <f>'Исп. коэффициенты'!D124</f>
        <v>1.3599999999999999E-2</v>
      </c>
      <c r="X313" s="760">
        <f>U313*W313</f>
        <v>92281.45835999999</v>
      </c>
      <c r="Y313" s="759">
        <f>X313/'Исп. коэффициенты'!E52/2</f>
        <v>4.3489191438431192</v>
      </c>
      <c r="Z313" s="759"/>
      <c r="AA313" s="755"/>
      <c r="AB313" s="755"/>
      <c r="AC313" s="773"/>
      <c r="AD313" s="802"/>
      <c r="AF313" s="821"/>
      <c r="AG313" s="802"/>
      <c r="AH313" s="805"/>
      <c r="AI313" s="805"/>
      <c r="AJ313" s="822"/>
      <c r="AK313" s="805"/>
      <c r="AL313" s="806"/>
      <c r="AM313" s="805"/>
      <c r="AN313" s="805"/>
      <c r="AO313" s="807"/>
      <c r="AP313" s="805"/>
      <c r="AQ313" s="805"/>
      <c r="AR313" s="807"/>
      <c r="AS313" s="807"/>
      <c r="AT313" s="808"/>
      <c r="AU313" s="805"/>
      <c r="AV313" s="807"/>
      <c r="AW313" s="802"/>
      <c r="AX313" s="802"/>
      <c r="AY313" s="802"/>
      <c r="AZ313" s="802"/>
      <c r="BA313" s="802"/>
    </row>
    <row r="314" spans="1:53" s="803" customFormat="1" x14ac:dyDescent="0.25">
      <c r="A314" s="1122"/>
      <c r="B314" s="774" t="s">
        <v>1178</v>
      </c>
      <c r="C314" s="753">
        <f>C304</f>
        <v>33.667709452234185</v>
      </c>
      <c r="D314" s="835"/>
      <c r="E314" s="767" t="s">
        <v>1439</v>
      </c>
      <c r="F314" s="768" t="s">
        <v>1438</v>
      </c>
      <c r="G314" s="769">
        <v>0.27</v>
      </c>
      <c r="H314" s="768">
        <v>0.01</v>
      </c>
      <c r="I314" s="775">
        <f t="shared" si="17"/>
        <v>2.7000000000000001E-3</v>
      </c>
      <c r="J314" s="758" t="s">
        <v>1445</v>
      </c>
      <c r="K314" s="760">
        <v>2</v>
      </c>
      <c r="L314" s="760">
        <v>95</v>
      </c>
      <c r="M314" s="760">
        <v>2</v>
      </c>
      <c r="N314" s="786">
        <f>L314/'Исп. коэффициенты'!E52*(C317+C318)</f>
        <v>8.9540699942856072E-3</v>
      </c>
      <c r="O314" s="759"/>
      <c r="P314" s="759"/>
      <c r="Q314" s="759"/>
      <c r="R314" s="759"/>
      <c r="S314" s="759"/>
      <c r="T314" s="759"/>
      <c r="U314" s="759"/>
      <c r="V314" s="759"/>
      <c r="W314" s="759"/>
      <c r="X314" s="759"/>
      <c r="Y314" s="759"/>
      <c r="Z314" s="759"/>
      <c r="AA314" s="755"/>
      <c r="AB314" s="755"/>
      <c r="AC314" s="773"/>
      <c r="AD314" s="802"/>
      <c r="AF314" s="821"/>
      <c r="AG314" s="802"/>
      <c r="AH314" s="805"/>
      <c r="AI314" s="805"/>
      <c r="AJ314" s="822"/>
      <c r="AK314" s="805"/>
      <c r="AL314" s="806"/>
      <c r="AM314" s="824"/>
      <c r="AN314" s="805"/>
      <c r="AO314" s="807"/>
      <c r="AP314" s="805"/>
      <c r="AQ314" s="805"/>
      <c r="AR314" s="807"/>
      <c r="AS314" s="807"/>
      <c r="AT314" s="805"/>
      <c r="AU314" s="805"/>
      <c r="AV314" s="807"/>
      <c r="AW314" s="802"/>
      <c r="AX314" s="802"/>
      <c r="AY314" s="802"/>
      <c r="AZ314" s="802"/>
      <c r="BA314" s="802"/>
    </row>
    <row r="315" spans="1:53" s="803" customFormat="1" ht="12.75" customHeight="1" x14ac:dyDescent="0.25">
      <c r="A315" s="1122"/>
      <c r="B315" s="754" t="s">
        <v>1179</v>
      </c>
      <c r="C315" s="837">
        <f>C305</f>
        <v>22.420123808013045</v>
      </c>
      <c r="D315" s="835"/>
      <c r="E315" s="767" t="s">
        <v>1598</v>
      </c>
      <c r="F315" s="768" t="s">
        <v>1441</v>
      </c>
      <c r="G315" s="769">
        <v>4.4000000000000004</v>
      </c>
      <c r="H315" s="769">
        <v>1</v>
      </c>
      <c r="I315" s="770">
        <f t="shared" si="17"/>
        <v>4.4000000000000004</v>
      </c>
      <c r="J315" s="758" t="s">
        <v>1513</v>
      </c>
      <c r="K315" s="760">
        <v>2</v>
      </c>
      <c r="L315" s="760">
        <v>25</v>
      </c>
      <c r="M315" s="760">
        <v>0.5</v>
      </c>
      <c r="N315" s="786">
        <f>L315/'Исп. коэффициенты'!E52*(C317+C318)</f>
        <v>2.3563342090225283E-3</v>
      </c>
      <c r="O315" s="759"/>
      <c r="P315" s="759"/>
      <c r="Q315" s="759"/>
      <c r="R315" s="759"/>
      <c r="S315" s="759"/>
      <c r="T315" s="759"/>
      <c r="U315" s="759"/>
      <c r="V315" s="759"/>
      <c r="W315" s="759"/>
      <c r="X315" s="759"/>
      <c r="Y315" s="759"/>
      <c r="Z315" s="759"/>
      <c r="AA315" s="755"/>
      <c r="AB315" s="755"/>
      <c r="AC315" s="773"/>
      <c r="AD315" s="802"/>
      <c r="AF315" s="821"/>
      <c r="AG315" s="802"/>
      <c r="AH315" s="805"/>
      <c r="AI315" s="805"/>
      <c r="AJ315" s="822"/>
      <c r="AK315" s="805"/>
      <c r="AL315" s="806"/>
      <c r="AM315" s="805"/>
      <c r="AN315" s="805"/>
      <c r="AO315" s="807"/>
      <c r="AP315" s="805"/>
      <c r="AQ315" s="805"/>
      <c r="AR315" s="807"/>
      <c r="AS315" s="807"/>
      <c r="AT315" s="805"/>
      <c r="AU315" s="805"/>
      <c r="AV315" s="807"/>
      <c r="AW315" s="802"/>
      <c r="AX315" s="802"/>
      <c r="AY315" s="802"/>
      <c r="AZ315" s="802"/>
      <c r="BA315" s="802"/>
    </row>
    <row r="316" spans="1:53" s="803" customFormat="1" ht="12.75" customHeight="1" x14ac:dyDescent="0.25">
      <c r="A316" s="1122"/>
      <c r="B316" s="754" t="s">
        <v>1180</v>
      </c>
      <c r="C316" s="789"/>
      <c r="D316" s="835"/>
      <c r="E316" s="767" t="s">
        <v>11</v>
      </c>
      <c r="F316" s="768" t="s">
        <v>1441</v>
      </c>
      <c r="G316" s="769">
        <v>2.82</v>
      </c>
      <c r="H316" s="768">
        <v>1</v>
      </c>
      <c r="I316" s="770">
        <f t="shared" si="17"/>
        <v>2.82</v>
      </c>
      <c r="J316" s="758"/>
      <c r="K316" s="760"/>
      <c r="L316" s="760"/>
      <c r="M316" s="760"/>
      <c r="N316" s="760"/>
      <c r="O316" s="759"/>
      <c r="P316" s="759"/>
      <c r="Q316" s="759"/>
      <c r="R316" s="759"/>
      <c r="S316" s="759"/>
      <c r="T316" s="759"/>
      <c r="U316" s="759"/>
      <c r="V316" s="759"/>
      <c r="W316" s="759"/>
      <c r="X316" s="759"/>
      <c r="Y316" s="759"/>
      <c r="Z316" s="759"/>
      <c r="AA316" s="755"/>
      <c r="AB316" s="755"/>
      <c r="AC316" s="773"/>
      <c r="AD316" s="802"/>
      <c r="AF316" s="821"/>
      <c r="AG316" s="802"/>
      <c r="AH316" s="805"/>
      <c r="AI316" s="805"/>
      <c r="AJ316" s="822"/>
      <c r="AK316" s="805"/>
      <c r="AL316" s="806"/>
      <c r="AM316" s="805"/>
      <c r="AN316" s="805"/>
      <c r="AO316" s="807"/>
      <c r="AP316" s="805"/>
      <c r="AQ316" s="805"/>
      <c r="AR316" s="807"/>
      <c r="AS316" s="807"/>
      <c r="AT316" s="805"/>
      <c r="AU316" s="805"/>
      <c r="AV316" s="807"/>
      <c r="AW316" s="802"/>
      <c r="AX316" s="802"/>
      <c r="AY316" s="802"/>
      <c r="AZ316" s="802"/>
      <c r="BA316" s="802"/>
    </row>
    <row r="317" spans="1:53" s="803" customFormat="1" ht="12.75" customHeight="1" x14ac:dyDescent="0.25">
      <c r="A317" s="1122"/>
      <c r="B317" s="774" t="s">
        <v>1178</v>
      </c>
      <c r="C317" s="784"/>
      <c r="D317" s="835"/>
      <c r="E317" s="767" t="s">
        <v>1442</v>
      </c>
      <c r="F317" s="768" t="s">
        <v>1443</v>
      </c>
      <c r="G317" s="769">
        <v>419.5</v>
      </c>
      <c r="H317" s="768">
        <v>1E-3</v>
      </c>
      <c r="I317" s="770">
        <f t="shared" si="17"/>
        <v>0.41949999999999998</v>
      </c>
      <c r="J317" s="758"/>
      <c r="K317" s="760"/>
      <c r="L317" s="760"/>
      <c r="M317" s="760"/>
      <c r="N317" s="760"/>
      <c r="O317" s="759"/>
      <c r="P317" s="759"/>
      <c r="Q317" s="759"/>
      <c r="R317" s="759"/>
      <c r="S317" s="759"/>
      <c r="T317" s="759"/>
      <c r="U317" s="759"/>
      <c r="V317" s="759"/>
      <c r="W317" s="759"/>
      <c r="X317" s="759"/>
      <c r="Y317" s="759"/>
      <c r="Z317" s="759"/>
      <c r="AA317" s="755"/>
      <c r="AB317" s="755"/>
      <c r="AC317" s="773"/>
      <c r="AD317" s="802"/>
      <c r="AF317" s="821"/>
      <c r="AG317" s="802"/>
      <c r="AH317" s="805"/>
      <c r="AI317" s="805"/>
      <c r="AJ317" s="827"/>
      <c r="AK317" s="805"/>
      <c r="AL317" s="806"/>
      <c r="AM317" s="805"/>
      <c r="AN317" s="805"/>
      <c r="AO317" s="807"/>
      <c r="AP317" s="805"/>
      <c r="AQ317" s="805"/>
      <c r="AR317" s="807"/>
      <c r="AS317" s="807"/>
      <c r="AT317" s="805"/>
      <c r="AU317" s="805"/>
      <c r="AV317" s="807"/>
      <c r="AW317" s="802"/>
      <c r="AX317" s="802"/>
      <c r="AY317" s="802"/>
      <c r="AZ317" s="802"/>
      <c r="BA317" s="802"/>
    </row>
    <row r="318" spans="1:53" s="803" customFormat="1" ht="12.75" customHeight="1" x14ac:dyDescent="0.25">
      <c r="A318" s="1122"/>
      <c r="B318" s="754" t="s">
        <v>1179</v>
      </c>
      <c r="C318" s="784">
        <v>1</v>
      </c>
      <c r="D318" s="835"/>
      <c r="E318" s="767" t="s">
        <v>1444</v>
      </c>
      <c r="F318" s="768" t="s">
        <v>1443</v>
      </c>
      <c r="G318" s="769">
        <v>872</v>
      </c>
      <c r="H318" s="768">
        <v>2E-3</v>
      </c>
      <c r="I318" s="770">
        <f t="shared" si="17"/>
        <v>1.744</v>
      </c>
      <c r="J318" s="758"/>
      <c r="K318" s="760"/>
      <c r="L318" s="760"/>
      <c r="M318" s="760"/>
      <c r="N318" s="760"/>
      <c r="O318" s="759"/>
      <c r="P318" s="759"/>
      <c r="Q318" s="759"/>
      <c r="R318" s="759"/>
      <c r="S318" s="759"/>
      <c r="T318" s="759"/>
      <c r="U318" s="759"/>
      <c r="V318" s="759"/>
      <c r="W318" s="759"/>
      <c r="X318" s="759"/>
      <c r="Y318" s="759"/>
      <c r="Z318" s="759"/>
      <c r="AA318" s="755"/>
      <c r="AB318" s="755"/>
      <c r="AC318" s="773"/>
      <c r="AD318" s="802"/>
      <c r="AF318" s="821"/>
      <c r="AG318" s="802"/>
      <c r="AH318" s="805"/>
      <c r="AI318" s="805"/>
      <c r="AJ318" s="827"/>
      <c r="AK318" s="805"/>
      <c r="AL318" s="806"/>
      <c r="AM318" s="805"/>
      <c r="AN318" s="805"/>
      <c r="AO318" s="807"/>
      <c r="AP318" s="805"/>
      <c r="AQ318" s="805"/>
      <c r="AR318" s="807"/>
      <c r="AS318" s="807"/>
      <c r="AT318" s="805"/>
      <c r="AU318" s="805"/>
      <c r="AV318" s="807"/>
      <c r="AW318" s="802"/>
      <c r="AX318" s="802"/>
      <c r="AY318" s="802"/>
      <c r="AZ318" s="802"/>
      <c r="BA318" s="802"/>
    </row>
    <row r="319" spans="1:53" s="803" customFormat="1" ht="12.75" customHeight="1" x14ac:dyDescent="0.25">
      <c r="A319" s="1122"/>
      <c r="B319" s="782" t="s">
        <v>1181</v>
      </c>
      <c r="C319" s="837">
        <f>C314*C317+C315*C318</f>
        <v>22.420123808013045</v>
      </c>
      <c r="D319" s="835"/>
      <c r="E319" s="767"/>
      <c r="F319" s="781"/>
      <c r="G319" s="769"/>
      <c r="H319" s="768"/>
      <c r="I319" s="770"/>
      <c r="J319" s="758"/>
      <c r="K319" s="828"/>
      <c r="L319" s="760"/>
      <c r="M319" s="760"/>
      <c r="N319" s="760"/>
      <c r="O319" s="759"/>
      <c r="P319" s="759"/>
      <c r="Q319" s="759"/>
      <c r="R319" s="759"/>
      <c r="S319" s="759"/>
      <c r="T319" s="759"/>
      <c r="U319" s="759"/>
      <c r="V319" s="759"/>
      <c r="W319" s="759"/>
      <c r="X319" s="759"/>
      <c r="Y319" s="759"/>
      <c r="Z319" s="759"/>
      <c r="AA319" s="755"/>
      <c r="AB319" s="755"/>
      <c r="AC319" s="773"/>
      <c r="AD319" s="802"/>
      <c r="AF319" s="821"/>
      <c r="AG319" s="802"/>
      <c r="AH319" s="805"/>
      <c r="AI319" s="805"/>
      <c r="AJ319" s="822"/>
      <c r="AK319" s="805"/>
      <c r="AL319" s="806"/>
      <c r="AM319" s="805"/>
      <c r="AN319" s="805"/>
      <c r="AO319" s="807"/>
      <c r="AP319" s="805"/>
      <c r="AQ319" s="805"/>
      <c r="AR319" s="807"/>
      <c r="AS319" s="807"/>
      <c r="AT319" s="805"/>
      <c r="AU319" s="805"/>
      <c r="AV319" s="807"/>
      <c r="AW319" s="802"/>
      <c r="AX319" s="802"/>
      <c r="AY319" s="802"/>
      <c r="AZ319" s="802"/>
      <c r="BA319" s="802"/>
    </row>
    <row r="320" spans="1:53" s="803" customFormat="1" ht="12.75" customHeight="1" x14ac:dyDescent="0.25">
      <c r="A320" s="1122"/>
      <c r="B320" s="782"/>
      <c r="C320" s="784"/>
      <c r="D320" s="836"/>
      <c r="E320" s="754"/>
      <c r="F320" s="857"/>
      <c r="G320" s="769"/>
      <c r="H320" s="756"/>
      <c r="I320" s="770"/>
      <c r="J320" s="758"/>
      <c r="K320" s="828"/>
      <c r="L320" s="760"/>
      <c r="M320" s="760"/>
      <c r="N320" s="760"/>
      <c r="O320" s="759"/>
      <c r="P320" s="759"/>
      <c r="Q320" s="759"/>
      <c r="R320" s="759"/>
      <c r="S320" s="759"/>
      <c r="T320" s="759"/>
      <c r="U320" s="759"/>
      <c r="V320" s="759"/>
      <c r="W320" s="759"/>
      <c r="X320" s="759"/>
      <c r="Y320" s="759"/>
      <c r="Z320" s="759"/>
      <c r="AA320" s="755"/>
      <c r="AB320" s="755"/>
      <c r="AC320" s="773"/>
      <c r="AD320" s="802"/>
      <c r="AF320" s="814"/>
      <c r="AG320" s="802"/>
      <c r="AH320" s="805"/>
      <c r="AI320" s="805"/>
      <c r="AJ320" s="827"/>
      <c r="AK320" s="805"/>
      <c r="AL320" s="806"/>
      <c r="AM320" s="805"/>
      <c r="AN320" s="805"/>
      <c r="AO320" s="807"/>
      <c r="AP320" s="805"/>
      <c r="AQ320" s="805"/>
      <c r="AR320" s="807"/>
      <c r="AS320" s="807"/>
      <c r="AT320" s="805"/>
      <c r="AU320" s="805"/>
      <c r="AV320" s="807"/>
      <c r="AW320" s="802"/>
      <c r="AX320" s="802"/>
      <c r="AY320" s="802"/>
      <c r="AZ320" s="802"/>
      <c r="BA320" s="802"/>
    </row>
    <row r="321" spans="1:53" ht="56.25" customHeight="1" x14ac:dyDescent="0.25">
      <c r="A321" s="1126" t="s">
        <v>187</v>
      </c>
      <c r="B321" s="51"/>
      <c r="C321" s="51"/>
      <c r="D321" s="219"/>
      <c r="E321" s="52" t="s">
        <v>488</v>
      </c>
      <c r="F321" s="53" t="s">
        <v>837</v>
      </c>
      <c r="G321" s="51" t="s">
        <v>489</v>
      </c>
      <c r="H321" s="52" t="s">
        <v>1170</v>
      </c>
      <c r="I321" s="53" t="s">
        <v>838</v>
      </c>
      <c r="J321" s="47" t="s">
        <v>1171</v>
      </c>
      <c r="K321" s="47" t="s">
        <v>490</v>
      </c>
      <c r="L321" s="54" t="s">
        <v>489</v>
      </c>
      <c r="M321" s="47" t="s">
        <v>1172</v>
      </c>
      <c r="N321" s="53" t="s">
        <v>838</v>
      </c>
      <c r="O321" s="47" t="s">
        <v>1171</v>
      </c>
      <c r="P321" s="47" t="s">
        <v>826</v>
      </c>
      <c r="Q321" s="47" t="s">
        <v>1173</v>
      </c>
      <c r="R321" s="47" t="s">
        <v>1174</v>
      </c>
      <c r="S321" s="47" t="s">
        <v>839</v>
      </c>
      <c r="T321" s="47" t="s">
        <v>1171</v>
      </c>
      <c r="U321" s="47" t="s">
        <v>1392</v>
      </c>
      <c r="V321" s="47" t="s">
        <v>841</v>
      </c>
      <c r="W321" s="231" t="s">
        <v>1173</v>
      </c>
      <c r="X321" s="47" t="s">
        <v>1394</v>
      </c>
      <c r="Y321" s="47" t="s">
        <v>839</v>
      </c>
      <c r="Z321" s="55"/>
      <c r="AA321" s="1"/>
      <c r="AB321" s="1"/>
      <c r="AC321" s="245"/>
      <c r="AD321" s="56"/>
      <c r="AQ321" s="139"/>
      <c r="AR321" s="139"/>
      <c r="AS321" s="139"/>
    </row>
    <row r="322" spans="1:53" ht="12" customHeight="1" x14ac:dyDescent="0.25">
      <c r="A322" s="1126"/>
      <c r="B322" s="36" t="s">
        <v>1175</v>
      </c>
      <c r="C322" s="51">
        <f>C329</f>
        <v>17.936099046410437</v>
      </c>
      <c r="D322" s="219">
        <f>C322*$D$5</f>
        <v>3.6230920073749084</v>
      </c>
      <c r="E322" s="57" t="s">
        <v>1176</v>
      </c>
      <c r="F322" s="165"/>
      <c r="G322" s="58"/>
      <c r="H322" s="58"/>
      <c r="I322" s="2">
        <f>SUM(I323:I330)</f>
        <v>6.5736000000000008</v>
      </c>
      <c r="J322" s="59" t="s">
        <v>1176</v>
      </c>
      <c r="K322" s="169"/>
      <c r="L322" s="60"/>
      <c r="M322" s="60"/>
      <c r="N322" s="61">
        <f>SUM(N323:N330)</f>
        <v>8.4000000000000005E-2</v>
      </c>
      <c r="O322" s="60" t="s">
        <v>1176</v>
      </c>
      <c r="P322" s="60"/>
      <c r="Q322" s="62"/>
      <c r="R322" s="63"/>
      <c r="S322" s="61">
        <f>SUM(S323:S330)</f>
        <v>6.5288000000000004</v>
      </c>
      <c r="T322" s="61"/>
      <c r="U322" s="61"/>
      <c r="V322" s="61"/>
      <c r="W322" s="61"/>
      <c r="X322" s="61"/>
      <c r="Y322" s="61">
        <f>SUM(Y323:Y330)</f>
        <v>9.1999999999999998E-3</v>
      </c>
      <c r="Z322" s="64">
        <f>(C322+D322+I322+N322+S322+Y322)*$Z$5</f>
        <v>45.187751593785848</v>
      </c>
      <c r="AA322" s="65">
        <f>C322+D322+I322+N322+S322+Y322+Z322</f>
        <v>79.942542647571202</v>
      </c>
      <c r="AB322" s="66">
        <v>0.25</v>
      </c>
      <c r="AC322" s="244">
        <f>AA322*(1+AB322)</f>
        <v>99.928178309464002</v>
      </c>
      <c r="AD322" s="67"/>
      <c r="AI322" s="139"/>
      <c r="AJ322" s="140"/>
      <c r="AK322" s="141"/>
      <c r="AM322" s="142"/>
      <c r="AN322" s="143"/>
      <c r="AO322" s="142"/>
      <c r="AP322" s="139"/>
      <c r="AQ322" s="139"/>
      <c r="AR322" s="139"/>
      <c r="AS322" s="139"/>
      <c r="AT322" s="139"/>
      <c r="AU322" s="142"/>
      <c r="AV322" s="142"/>
      <c r="AW322" s="144"/>
    </row>
    <row r="323" spans="1:53" ht="12.75" customHeight="1" x14ac:dyDescent="0.25">
      <c r="A323" s="1126"/>
      <c r="B323" s="50" t="s">
        <v>1177</v>
      </c>
      <c r="C323" s="51"/>
      <c r="D323" s="220"/>
      <c r="E323" s="68" t="s">
        <v>1437</v>
      </c>
      <c r="F323" s="69" t="s">
        <v>1438</v>
      </c>
      <c r="G323" s="70">
        <v>0.74</v>
      </c>
      <c r="H323" s="69">
        <v>0.01</v>
      </c>
      <c r="I323" s="71">
        <f>G323*H323</f>
        <v>7.4000000000000003E-3</v>
      </c>
      <c r="J323" s="59" t="s">
        <v>1291</v>
      </c>
      <c r="K323" s="61">
        <v>2</v>
      </c>
      <c r="L323" s="61">
        <v>640</v>
      </c>
      <c r="M323" s="61">
        <v>2</v>
      </c>
      <c r="N323" s="61">
        <v>0.05</v>
      </c>
      <c r="O323" s="60" t="s">
        <v>129</v>
      </c>
      <c r="P323" s="60">
        <v>24100</v>
      </c>
      <c r="Q323" s="60">
        <v>19.68</v>
      </c>
      <c r="R323" s="60">
        <f>P323*Q323%</f>
        <v>4742.88</v>
      </c>
      <c r="S323" s="60">
        <v>6.5288000000000004</v>
      </c>
      <c r="T323" s="239" t="s">
        <v>1435</v>
      </c>
      <c r="U323" s="240">
        <v>6785401.3499999996</v>
      </c>
      <c r="V323" s="241">
        <v>1.32E-2</v>
      </c>
      <c r="W323" s="239">
        <v>1508.3</v>
      </c>
      <c r="X323" s="61">
        <v>59.38</v>
      </c>
      <c r="Y323" s="60">
        <v>9.1999999999999998E-3</v>
      </c>
      <c r="Z323" s="60"/>
      <c r="AA323" s="1"/>
      <c r="AB323" s="1"/>
      <c r="AC323" s="245"/>
      <c r="AD323" s="56"/>
      <c r="AF323" s="151"/>
      <c r="AJ323" s="136"/>
      <c r="AT323" s="139"/>
    </row>
    <row r="324" spans="1:53" x14ac:dyDescent="0.25">
      <c r="A324" s="1126"/>
      <c r="B324" s="74" t="s">
        <v>1178</v>
      </c>
      <c r="C324" s="75">
        <f>C314</f>
        <v>33.667709452234185</v>
      </c>
      <c r="D324" s="220"/>
      <c r="E324" s="68" t="s">
        <v>1439</v>
      </c>
      <c r="F324" s="69" t="s">
        <v>1438</v>
      </c>
      <c r="G324" s="70">
        <v>0.27</v>
      </c>
      <c r="H324" s="69">
        <v>0.01</v>
      </c>
      <c r="I324" s="242">
        <f>G324*H324</f>
        <v>2.7000000000000001E-3</v>
      </c>
      <c r="J324" s="59" t="s">
        <v>1445</v>
      </c>
      <c r="K324" s="61">
        <v>2</v>
      </c>
      <c r="L324" s="61">
        <v>84</v>
      </c>
      <c r="M324" s="61">
        <v>2</v>
      </c>
      <c r="N324" s="61">
        <v>8.9999999999999993E-3</v>
      </c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1"/>
      <c r="AB324" s="1"/>
      <c r="AC324" s="245"/>
      <c r="AD324" s="56"/>
      <c r="AF324" s="151"/>
      <c r="AJ324" s="136"/>
      <c r="AM324" s="145"/>
    </row>
    <row r="325" spans="1:53" ht="12.75" customHeight="1" x14ac:dyDescent="0.25">
      <c r="A325" s="1126"/>
      <c r="B325" s="57" t="s">
        <v>1179</v>
      </c>
      <c r="C325" s="51">
        <f>C315</f>
        <v>22.420123808013045</v>
      </c>
      <c r="D325" s="220"/>
      <c r="E325" s="68" t="s">
        <v>1598</v>
      </c>
      <c r="F325" s="69" t="s">
        <v>1441</v>
      </c>
      <c r="G325" s="70">
        <v>4.4000000000000004</v>
      </c>
      <c r="H325" s="70">
        <v>1</v>
      </c>
      <c r="I325" s="71">
        <f>G325*H325</f>
        <v>4.4000000000000004</v>
      </c>
      <c r="J325" s="59" t="s">
        <v>1513</v>
      </c>
      <c r="K325" s="61">
        <v>2</v>
      </c>
      <c r="L325" s="61">
        <v>25</v>
      </c>
      <c r="M325" s="61">
        <v>0.5</v>
      </c>
      <c r="N325" s="61">
        <v>2.5000000000000001E-2</v>
      </c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1"/>
      <c r="AB325" s="1"/>
      <c r="AC325" s="245"/>
      <c r="AD325" s="56"/>
      <c r="AF325" s="151"/>
      <c r="AJ325" s="136"/>
    </row>
    <row r="326" spans="1:53" ht="12.75" customHeight="1" x14ac:dyDescent="0.25">
      <c r="A326" s="1126"/>
      <c r="B326" s="57" t="s">
        <v>1180</v>
      </c>
      <c r="C326" s="77"/>
      <c r="D326" s="220"/>
      <c r="E326" s="68"/>
      <c r="F326" s="69"/>
      <c r="G326" s="70"/>
      <c r="H326" s="69"/>
      <c r="I326" s="71"/>
      <c r="J326" s="59"/>
      <c r="K326" s="61"/>
      <c r="L326" s="61"/>
      <c r="M326" s="61"/>
      <c r="N326" s="61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1"/>
      <c r="AB326" s="1"/>
      <c r="AC326" s="245"/>
      <c r="AD326" s="56"/>
      <c r="AF326" s="151"/>
      <c r="AJ326" s="136"/>
    </row>
    <row r="327" spans="1:53" ht="12.75" customHeight="1" x14ac:dyDescent="0.25">
      <c r="A327" s="1126"/>
      <c r="B327" s="74" t="s">
        <v>1178</v>
      </c>
      <c r="C327" s="78"/>
      <c r="D327" s="220"/>
      <c r="E327" s="68" t="s">
        <v>1442</v>
      </c>
      <c r="F327" s="69" t="s">
        <v>1443</v>
      </c>
      <c r="G327" s="70">
        <v>419.5</v>
      </c>
      <c r="H327" s="69">
        <v>1E-3</v>
      </c>
      <c r="I327" s="71">
        <f>G327*H327</f>
        <v>0.41949999999999998</v>
      </c>
      <c r="J327" s="59"/>
      <c r="K327" s="61"/>
      <c r="L327" s="61"/>
      <c r="M327" s="61"/>
      <c r="N327" s="61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1"/>
      <c r="AB327" s="1"/>
      <c r="AC327" s="245"/>
      <c r="AD327" s="56"/>
      <c r="AF327" s="151"/>
      <c r="AJ327" s="146"/>
    </row>
    <row r="328" spans="1:53" ht="12.75" customHeight="1" x14ac:dyDescent="0.25">
      <c r="A328" s="1126"/>
      <c r="B328" s="57" t="s">
        <v>1179</v>
      </c>
      <c r="C328" s="78">
        <v>0.8</v>
      </c>
      <c r="D328" s="220"/>
      <c r="E328" s="68" t="s">
        <v>1444</v>
      </c>
      <c r="F328" s="69" t="s">
        <v>1443</v>
      </c>
      <c r="G328" s="70">
        <v>872</v>
      </c>
      <c r="H328" s="69">
        <v>2E-3</v>
      </c>
      <c r="I328" s="71">
        <f>G328*H328</f>
        <v>1.744</v>
      </c>
      <c r="J328" s="59"/>
      <c r="K328" s="61"/>
      <c r="L328" s="61"/>
      <c r="M328" s="61"/>
      <c r="N328" s="61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1"/>
      <c r="AB328" s="1"/>
      <c r="AC328" s="245"/>
      <c r="AD328" s="56"/>
      <c r="AF328" s="151"/>
      <c r="AJ328" s="146"/>
    </row>
    <row r="329" spans="1:53" ht="12.75" customHeight="1" x14ac:dyDescent="0.25">
      <c r="A329" s="1126"/>
      <c r="B329" s="79" t="s">
        <v>1181</v>
      </c>
      <c r="C329" s="51">
        <f>C324*C327+C325*C328</f>
        <v>17.936099046410437</v>
      </c>
      <c r="D329" s="220"/>
      <c r="E329" s="68"/>
      <c r="F329" s="166"/>
      <c r="G329" s="70"/>
      <c r="H329" s="69"/>
      <c r="I329" s="71"/>
      <c r="J329" s="59"/>
      <c r="K329" s="170"/>
      <c r="L329" s="61"/>
      <c r="M329" s="61"/>
      <c r="N329" s="61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1"/>
      <c r="AB329" s="1"/>
      <c r="AC329" s="245"/>
      <c r="AD329" s="56"/>
      <c r="AF329" s="151"/>
      <c r="AJ329" s="136"/>
    </row>
    <row r="330" spans="1:53" ht="12.75" customHeight="1" x14ac:dyDescent="0.25">
      <c r="A330" s="1126"/>
      <c r="B330" s="79"/>
      <c r="C330" s="78"/>
      <c r="D330" s="221"/>
      <c r="E330" s="57"/>
      <c r="F330" s="167"/>
      <c r="G330" s="70"/>
      <c r="H330" s="58"/>
      <c r="I330" s="71"/>
      <c r="J330" s="59"/>
      <c r="K330" s="170"/>
      <c r="L330" s="61"/>
      <c r="M330" s="61"/>
      <c r="N330" s="61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1"/>
      <c r="AB330" s="1"/>
      <c r="AC330" s="245"/>
      <c r="AD330" s="56"/>
      <c r="AF330" s="67"/>
      <c r="AJ330" s="146"/>
    </row>
    <row r="331" spans="1:53" s="803" customFormat="1" ht="56.25" customHeight="1" x14ac:dyDescent="0.25">
      <c r="A331" s="1122" t="s">
        <v>1670</v>
      </c>
      <c r="B331" s="788" t="s">
        <v>1671</v>
      </c>
      <c r="C331" s="788"/>
      <c r="D331" s="800"/>
      <c r="E331" s="791" t="s">
        <v>488</v>
      </c>
      <c r="F331" s="792" t="s">
        <v>837</v>
      </c>
      <c r="G331" s="788" t="s">
        <v>489</v>
      </c>
      <c r="H331" s="791" t="s">
        <v>1170</v>
      </c>
      <c r="I331" s="792" t="s">
        <v>838</v>
      </c>
      <c r="J331" s="793" t="s">
        <v>1171</v>
      </c>
      <c r="K331" s="793" t="s">
        <v>490</v>
      </c>
      <c r="L331" s="794" t="s">
        <v>489</v>
      </c>
      <c r="M331" s="793" t="s">
        <v>1172</v>
      </c>
      <c r="N331" s="792" t="s">
        <v>838</v>
      </c>
      <c r="O331" s="793" t="s">
        <v>1171</v>
      </c>
      <c r="P331" s="793" t="s">
        <v>826</v>
      </c>
      <c r="Q331" s="793" t="s">
        <v>1173</v>
      </c>
      <c r="R331" s="793" t="s">
        <v>1174</v>
      </c>
      <c r="S331" s="793" t="s">
        <v>839</v>
      </c>
      <c r="T331" s="793" t="s">
        <v>1171</v>
      </c>
      <c r="U331" s="793" t="s">
        <v>1392</v>
      </c>
      <c r="V331" s="793" t="s">
        <v>841</v>
      </c>
      <c r="W331" s="795" t="s">
        <v>1173</v>
      </c>
      <c r="X331" s="793" t="s">
        <v>1394</v>
      </c>
      <c r="Y331" s="793" t="s">
        <v>839</v>
      </c>
      <c r="Z331" s="796"/>
      <c r="AA331" s="755"/>
      <c r="AB331" s="755"/>
      <c r="AC331" s="773"/>
      <c r="AD331" s="802"/>
      <c r="AF331" s="804"/>
      <c r="AG331" s="802"/>
      <c r="AH331" s="805"/>
      <c r="AI331" s="805"/>
      <c r="AJ331" s="805"/>
      <c r="AK331" s="805"/>
      <c r="AL331" s="806"/>
      <c r="AM331" s="805"/>
      <c r="AN331" s="805"/>
      <c r="AO331" s="807"/>
      <c r="AP331" s="805"/>
      <c r="AQ331" s="808"/>
      <c r="AR331" s="808"/>
      <c r="AS331" s="808"/>
      <c r="AT331" s="805"/>
      <c r="AU331" s="805"/>
      <c r="AV331" s="807"/>
      <c r="AW331" s="802"/>
      <c r="AX331" s="802"/>
      <c r="AY331" s="802"/>
      <c r="AZ331" s="802"/>
      <c r="BA331" s="802"/>
    </row>
    <row r="332" spans="1:53" s="803" customFormat="1" ht="12" customHeight="1" x14ac:dyDescent="0.25">
      <c r="A332" s="1122"/>
      <c r="B332" s="752" t="s">
        <v>1175</v>
      </c>
      <c r="C332" s="788">
        <f>C339</f>
        <v>11.210061904006523</v>
      </c>
      <c r="D332" s="800">
        <f>C332*$D$5</f>
        <v>2.2644325046093177</v>
      </c>
      <c r="E332" s="754" t="s">
        <v>1176</v>
      </c>
      <c r="F332" s="810"/>
      <c r="G332" s="756"/>
      <c r="H332" s="756"/>
      <c r="I332" s="757">
        <f>SUM(I333:I340)</f>
        <v>7.3936000000000011</v>
      </c>
      <c r="J332" s="758" t="s">
        <v>1176</v>
      </c>
      <c r="K332" s="811"/>
      <c r="L332" s="759"/>
      <c r="M332" s="759"/>
      <c r="N332" s="760">
        <f>SUM(N333:N340)</f>
        <v>4.1000215236991988E-2</v>
      </c>
      <c r="O332" s="759" t="s">
        <v>1176</v>
      </c>
      <c r="P332" s="759"/>
      <c r="Q332" s="812"/>
      <c r="R332" s="813"/>
      <c r="S332" s="760">
        <f>SUM(S333:S340)</f>
        <v>0</v>
      </c>
      <c r="T332" s="760"/>
      <c r="U332" s="760"/>
      <c r="V332" s="760"/>
      <c r="W332" s="760"/>
      <c r="X332" s="760"/>
      <c r="Y332" s="760">
        <f>SUM(Y333:Y340)</f>
        <v>4.3489191438431192</v>
      </c>
      <c r="Z332" s="762">
        <f>(C332+D332+I332+N332+S332+Y332)*$Z$5</f>
        <v>32.840158645199395</v>
      </c>
      <c r="AA332" s="763">
        <f>C332+D332+I332+N332+S332+Y332+Z332</f>
        <v>58.098172412895345</v>
      </c>
      <c r="AB332" s="764">
        <v>0.25</v>
      </c>
      <c r="AC332" s="765">
        <f>AA332*(1+AB332)</f>
        <v>72.622715516119186</v>
      </c>
      <c r="AD332" s="814"/>
      <c r="AF332" s="804"/>
      <c r="AG332" s="802"/>
      <c r="AH332" s="805"/>
      <c r="AI332" s="808"/>
      <c r="AJ332" s="815"/>
      <c r="AK332" s="816"/>
      <c r="AL332" s="806"/>
      <c r="AM332" s="817"/>
      <c r="AN332" s="818"/>
      <c r="AO332" s="817"/>
      <c r="AP332" s="808"/>
      <c r="AQ332" s="808"/>
      <c r="AR332" s="808"/>
      <c r="AS332" s="808"/>
      <c r="AT332" s="808"/>
      <c r="AU332" s="817"/>
      <c r="AV332" s="817"/>
      <c r="AW332" s="819"/>
      <c r="AX332" s="802"/>
      <c r="AY332" s="802"/>
      <c r="AZ332" s="802"/>
      <c r="BA332" s="802"/>
    </row>
    <row r="333" spans="1:53" s="803" customFormat="1" ht="12.75" customHeight="1" x14ac:dyDescent="0.25">
      <c r="A333" s="1122"/>
      <c r="B333" s="766" t="s">
        <v>1177</v>
      </c>
      <c r="C333" s="788"/>
      <c r="D333" s="820"/>
      <c r="E333" s="767" t="s">
        <v>1437</v>
      </c>
      <c r="F333" s="768" t="s">
        <v>1438</v>
      </c>
      <c r="G333" s="769">
        <v>0.74</v>
      </c>
      <c r="H333" s="768">
        <v>0.01</v>
      </c>
      <c r="I333" s="770">
        <f t="shared" ref="I333:I338" si="18">G333*H333</f>
        <v>7.4000000000000003E-3</v>
      </c>
      <c r="J333" s="758" t="s">
        <v>1291</v>
      </c>
      <c r="K333" s="760">
        <v>2</v>
      </c>
      <c r="L333" s="760">
        <v>750</v>
      </c>
      <c r="M333" s="760">
        <v>2</v>
      </c>
      <c r="N333" s="786">
        <f>L333/'Исп. коэффициенты'!E52*(C337+C338)</f>
        <v>3.5345013135337923E-2</v>
      </c>
      <c r="O333" s="759"/>
      <c r="P333" s="759"/>
      <c r="Q333" s="759"/>
      <c r="R333" s="759"/>
      <c r="S333" s="759"/>
      <c r="T333" s="755" t="s">
        <v>1435</v>
      </c>
      <c r="U333" s="756">
        <v>6785401.3499999996</v>
      </c>
      <c r="V333" s="785">
        <f>'Исп. коэффициенты'!E124</f>
        <v>2978.5</v>
      </c>
      <c r="W333" s="761">
        <f>'Исп. коэффициенты'!D124</f>
        <v>1.3599999999999999E-2</v>
      </c>
      <c r="X333" s="760">
        <f>U333*W333</f>
        <v>92281.45835999999</v>
      </c>
      <c r="Y333" s="759">
        <f>X333/'Исп. коэффициенты'!E52/2</f>
        <v>4.3489191438431192</v>
      </c>
      <c r="Z333" s="759"/>
      <c r="AA333" s="755"/>
      <c r="AB333" s="755"/>
      <c r="AC333" s="773"/>
      <c r="AD333" s="802"/>
      <c r="AF333" s="821"/>
      <c r="AG333" s="802"/>
      <c r="AH333" s="805"/>
      <c r="AI333" s="805"/>
      <c r="AJ333" s="822"/>
      <c r="AK333" s="805"/>
      <c r="AL333" s="806"/>
      <c r="AM333" s="805"/>
      <c r="AN333" s="805"/>
      <c r="AO333" s="807"/>
      <c r="AP333" s="805"/>
      <c r="AQ333" s="805"/>
      <c r="AR333" s="807"/>
      <c r="AS333" s="807"/>
      <c r="AT333" s="808"/>
      <c r="AU333" s="805"/>
      <c r="AV333" s="807"/>
      <c r="AW333" s="802"/>
      <c r="AX333" s="802"/>
      <c r="AY333" s="802"/>
      <c r="AZ333" s="802"/>
      <c r="BA333" s="802"/>
    </row>
    <row r="334" spans="1:53" s="803" customFormat="1" x14ac:dyDescent="0.25">
      <c r="A334" s="1122"/>
      <c r="B334" s="774" t="s">
        <v>1178</v>
      </c>
      <c r="C334" s="753">
        <f>C324</f>
        <v>33.667709452234185</v>
      </c>
      <c r="D334" s="820"/>
      <c r="E334" s="767" t="s">
        <v>1439</v>
      </c>
      <c r="F334" s="768" t="s">
        <v>1438</v>
      </c>
      <c r="G334" s="769">
        <v>0.27</v>
      </c>
      <c r="H334" s="768">
        <v>0.01</v>
      </c>
      <c r="I334" s="775">
        <f t="shared" si="18"/>
        <v>2.7000000000000001E-3</v>
      </c>
      <c r="J334" s="758" t="s">
        <v>1445</v>
      </c>
      <c r="K334" s="760">
        <v>2</v>
      </c>
      <c r="L334" s="760">
        <v>95</v>
      </c>
      <c r="M334" s="760">
        <v>2</v>
      </c>
      <c r="N334" s="786">
        <f>L334/'Исп. коэффициенты'!E52*(C337+C338)</f>
        <v>4.4770349971428036E-3</v>
      </c>
      <c r="O334" s="759"/>
      <c r="P334" s="759"/>
      <c r="Q334" s="759"/>
      <c r="R334" s="759"/>
      <c r="S334" s="759"/>
      <c r="T334" s="759"/>
      <c r="U334" s="759"/>
      <c r="V334" s="759"/>
      <c r="W334" s="759"/>
      <c r="X334" s="759"/>
      <c r="Y334" s="759"/>
      <c r="Z334" s="759"/>
      <c r="AA334" s="755"/>
      <c r="AB334" s="755"/>
      <c r="AC334" s="773"/>
      <c r="AD334" s="802"/>
      <c r="AF334" s="821"/>
      <c r="AG334" s="802"/>
      <c r="AH334" s="805"/>
      <c r="AI334" s="805"/>
      <c r="AJ334" s="822"/>
      <c r="AK334" s="805"/>
      <c r="AL334" s="806"/>
      <c r="AM334" s="824"/>
      <c r="AN334" s="805"/>
      <c r="AO334" s="807"/>
      <c r="AP334" s="805"/>
      <c r="AQ334" s="805"/>
      <c r="AR334" s="807"/>
      <c r="AS334" s="807"/>
      <c r="AT334" s="805"/>
      <c r="AU334" s="805"/>
      <c r="AV334" s="807"/>
      <c r="AW334" s="802"/>
      <c r="AX334" s="802"/>
      <c r="AY334" s="802"/>
      <c r="AZ334" s="802"/>
      <c r="BA334" s="802"/>
    </row>
    <row r="335" spans="1:53" s="803" customFormat="1" ht="12.75" customHeight="1" x14ac:dyDescent="0.25">
      <c r="A335" s="1122"/>
      <c r="B335" s="754" t="s">
        <v>1179</v>
      </c>
      <c r="C335" s="788">
        <f>C325</f>
        <v>22.420123808013045</v>
      </c>
      <c r="D335" s="820"/>
      <c r="E335" s="767" t="s">
        <v>1598</v>
      </c>
      <c r="F335" s="768" t="s">
        <v>1441</v>
      </c>
      <c r="G335" s="769">
        <v>4.4000000000000004</v>
      </c>
      <c r="H335" s="769">
        <v>1</v>
      </c>
      <c r="I335" s="770">
        <f t="shared" si="18"/>
        <v>4.4000000000000004</v>
      </c>
      <c r="J335" s="758" t="s">
        <v>1513</v>
      </c>
      <c r="K335" s="760">
        <v>2</v>
      </c>
      <c r="L335" s="760">
        <v>25</v>
      </c>
      <c r="M335" s="760">
        <v>0.5</v>
      </c>
      <c r="N335" s="786">
        <f>L335/'Исп. коэффициенты'!E52*(C337+C338)</f>
        <v>1.1781671045112642E-3</v>
      </c>
      <c r="O335" s="759"/>
      <c r="P335" s="759"/>
      <c r="Q335" s="759"/>
      <c r="R335" s="759"/>
      <c r="S335" s="759"/>
      <c r="T335" s="759"/>
      <c r="U335" s="759"/>
      <c r="V335" s="759"/>
      <c r="W335" s="759"/>
      <c r="X335" s="759"/>
      <c r="Y335" s="759"/>
      <c r="Z335" s="759"/>
      <c r="AA335" s="755"/>
      <c r="AB335" s="755"/>
      <c r="AC335" s="773"/>
      <c r="AD335" s="802"/>
      <c r="AF335" s="821"/>
      <c r="AG335" s="802"/>
      <c r="AH335" s="805"/>
      <c r="AI335" s="805"/>
      <c r="AJ335" s="822"/>
      <c r="AK335" s="805"/>
      <c r="AL335" s="806"/>
      <c r="AM335" s="805"/>
      <c r="AN335" s="805"/>
      <c r="AO335" s="807"/>
      <c r="AP335" s="805"/>
      <c r="AQ335" s="805"/>
      <c r="AR335" s="807"/>
      <c r="AS335" s="807"/>
      <c r="AT335" s="805"/>
      <c r="AU335" s="805"/>
      <c r="AV335" s="807"/>
      <c r="AW335" s="802"/>
      <c r="AX335" s="802"/>
      <c r="AY335" s="802"/>
      <c r="AZ335" s="802"/>
      <c r="BA335" s="802"/>
    </row>
    <row r="336" spans="1:53" s="803" customFormat="1" ht="12.75" customHeight="1" x14ac:dyDescent="0.25">
      <c r="A336" s="1122"/>
      <c r="B336" s="754" t="s">
        <v>1180</v>
      </c>
      <c r="C336" s="789"/>
      <c r="D336" s="820"/>
      <c r="E336" s="767" t="s">
        <v>8</v>
      </c>
      <c r="F336" s="768" t="s">
        <v>1441</v>
      </c>
      <c r="G336" s="769">
        <v>0.82</v>
      </c>
      <c r="H336" s="768">
        <v>1</v>
      </c>
      <c r="I336" s="770">
        <f t="shared" si="18"/>
        <v>0.82</v>
      </c>
      <c r="J336" s="758"/>
      <c r="K336" s="760"/>
      <c r="L336" s="760"/>
      <c r="M336" s="760"/>
      <c r="N336" s="760"/>
      <c r="O336" s="759"/>
      <c r="P336" s="759"/>
      <c r="Q336" s="759"/>
      <c r="R336" s="759"/>
      <c r="S336" s="759"/>
      <c r="T336" s="759"/>
      <c r="U336" s="759"/>
      <c r="V336" s="759"/>
      <c r="W336" s="759"/>
      <c r="X336" s="759"/>
      <c r="Y336" s="759"/>
      <c r="Z336" s="759"/>
      <c r="AA336" s="755"/>
      <c r="AB336" s="755"/>
      <c r="AC336" s="773"/>
      <c r="AD336" s="802"/>
      <c r="AF336" s="821"/>
      <c r="AG336" s="802"/>
      <c r="AH336" s="805"/>
      <c r="AI336" s="805"/>
      <c r="AJ336" s="822"/>
      <c r="AK336" s="805"/>
      <c r="AL336" s="806"/>
      <c r="AM336" s="805"/>
      <c r="AN336" s="805"/>
      <c r="AO336" s="807"/>
      <c r="AP336" s="805"/>
      <c r="AQ336" s="805"/>
      <c r="AR336" s="807"/>
      <c r="AS336" s="807"/>
      <c r="AT336" s="805"/>
      <c r="AU336" s="805"/>
      <c r="AV336" s="807"/>
      <c r="AW336" s="802"/>
      <c r="AX336" s="802"/>
      <c r="AY336" s="802"/>
      <c r="AZ336" s="802"/>
      <c r="BA336" s="802"/>
    </row>
    <row r="337" spans="1:53" s="803" customFormat="1" ht="12.75" customHeight="1" x14ac:dyDescent="0.25">
      <c r="A337" s="1122"/>
      <c r="B337" s="774" t="s">
        <v>1178</v>
      </c>
      <c r="C337" s="784"/>
      <c r="D337" s="820"/>
      <c r="E337" s="767" t="s">
        <v>1442</v>
      </c>
      <c r="F337" s="768" t="s">
        <v>1443</v>
      </c>
      <c r="G337" s="769">
        <v>419.5</v>
      </c>
      <c r="H337" s="768">
        <v>1E-3</v>
      </c>
      <c r="I337" s="770">
        <f t="shared" si="18"/>
        <v>0.41949999999999998</v>
      </c>
      <c r="J337" s="758"/>
      <c r="K337" s="760"/>
      <c r="L337" s="760"/>
      <c r="M337" s="760"/>
      <c r="N337" s="760"/>
      <c r="O337" s="759"/>
      <c r="P337" s="759"/>
      <c r="Q337" s="759"/>
      <c r="R337" s="759"/>
      <c r="S337" s="759"/>
      <c r="T337" s="759"/>
      <c r="U337" s="759"/>
      <c r="V337" s="759"/>
      <c r="W337" s="759"/>
      <c r="X337" s="759"/>
      <c r="Y337" s="759"/>
      <c r="Z337" s="759"/>
      <c r="AA337" s="755"/>
      <c r="AB337" s="755"/>
      <c r="AC337" s="773"/>
      <c r="AD337" s="802"/>
      <c r="AF337" s="821"/>
      <c r="AG337" s="802"/>
      <c r="AH337" s="805"/>
      <c r="AI337" s="805"/>
      <c r="AJ337" s="827"/>
      <c r="AK337" s="805"/>
      <c r="AL337" s="806"/>
      <c r="AM337" s="805"/>
      <c r="AN337" s="805"/>
      <c r="AO337" s="807"/>
      <c r="AP337" s="805"/>
      <c r="AQ337" s="805"/>
      <c r="AR337" s="807"/>
      <c r="AS337" s="807"/>
      <c r="AT337" s="805"/>
      <c r="AU337" s="805"/>
      <c r="AV337" s="807"/>
      <c r="AW337" s="802"/>
      <c r="AX337" s="802"/>
      <c r="AY337" s="802"/>
      <c r="AZ337" s="802"/>
      <c r="BA337" s="802"/>
    </row>
    <row r="338" spans="1:53" s="803" customFormat="1" ht="12.75" customHeight="1" x14ac:dyDescent="0.25">
      <c r="A338" s="1122"/>
      <c r="B338" s="754" t="s">
        <v>1179</v>
      </c>
      <c r="C338" s="784">
        <v>0.5</v>
      </c>
      <c r="D338" s="820"/>
      <c r="E338" s="767" t="s">
        <v>1444</v>
      </c>
      <c r="F338" s="768" t="s">
        <v>1443</v>
      </c>
      <c r="G338" s="769">
        <v>872</v>
      </c>
      <c r="H338" s="768">
        <v>2E-3</v>
      </c>
      <c r="I338" s="770">
        <f t="shared" si="18"/>
        <v>1.744</v>
      </c>
      <c r="J338" s="758"/>
      <c r="K338" s="760"/>
      <c r="L338" s="760"/>
      <c r="M338" s="760"/>
      <c r="N338" s="760"/>
      <c r="O338" s="759"/>
      <c r="P338" s="759"/>
      <c r="Q338" s="759"/>
      <c r="R338" s="759"/>
      <c r="S338" s="759"/>
      <c r="T338" s="759"/>
      <c r="U338" s="759"/>
      <c r="V338" s="759"/>
      <c r="W338" s="759"/>
      <c r="X338" s="759"/>
      <c r="Y338" s="759"/>
      <c r="Z338" s="759"/>
      <c r="AA338" s="755"/>
      <c r="AB338" s="755"/>
      <c r="AC338" s="773"/>
      <c r="AD338" s="802"/>
      <c r="AF338" s="821"/>
      <c r="AG338" s="802"/>
      <c r="AH338" s="805"/>
      <c r="AI338" s="805"/>
      <c r="AJ338" s="827"/>
      <c r="AK338" s="805"/>
      <c r="AL338" s="806"/>
      <c r="AM338" s="805"/>
      <c r="AN338" s="805"/>
      <c r="AO338" s="807"/>
      <c r="AP338" s="805"/>
      <c r="AQ338" s="805"/>
      <c r="AR338" s="807"/>
      <c r="AS338" s="807"/>
      <c r="AT338" s="805"/>
      <c r="AU338" s="805"/>
      <c r="AV338" s="807"/>
      <c r="AW338" s="802"/>
      <c r="AX338" s="802"/>
      <c r="AY338" s="802"/>
      <c r="AZ338" s="802"/>
      <c r="BA338" s="802"/>
    </row>
    <row r="339" spans="1:53" s="803" customFormat="1" ht="12.75" customHeight="1" x14ac:dyDescent="0.25">
      <c r="A339" s="1122"/>
      <c r="B339" s="782" t="s">
        <v>1181</v>
      </c>
      <c r="C339" s="788">
        <f>C334*C337+C335*C338</f>
        <v>11.210061904006523</v>
      </c>
      <c r="D339" s="820"/>
      <c r="E339" s="767"/>
      <c r="F339" s="781"/>
      <c r="G339" s="769"/>
      <c r="H339" s="768"/>
      <c r="I339" s="770"/>
      <c r="J339" s="758"/>
      <c r="K339" s="828"/>
      <c r="L339" s="760"/>
      <c r="M339" s="760"/>
      <c r="N339" s="760"/>
      <c r="O339" s="759"/>
      <c r="P339" s="759"/>
      <c r="Q339" s="759"/>
      <c r="R339" s="759"/>
      <c r="S339" s="759"/>
      <c r="T339" s="759"/>
      <c r="U339" s="759"/>
      <c r="V339" s="759"/>
      <c r="W339" s="759"/>
      <c r="X339" s="759"/>
      <c r="Y339" s="759"/>
      <c r="Z339" s="759"/>
      <c r="AA339" s="755"/>
      <c r="AB339" s="755"/>
      <c r="AC339" s="773"/>
      <c r="AD339" s="802"/>
      <c r="AF339" s="821"/>
      <c r="AG339" s="802"/>
      <c r="AH339" s="805"/>
      <c r="AI339" s="805"/>
      <c r="AJ339" s="822"/>
      <c r="AK339" s="805"/>
      <c r="AL339" s="806"/>
      <c r="AM339" s="805"/>
      <c r="AN339" s="805"/>
      <c r="AO339" s="807"/>
      <c r="AP339" s="805"/>
      <c r="AQ339" s="805"/>
      <c r="AR339" s="807"/>
      <c r="AS339" s="807"/>
      <c r="AT339" s="805"/>
      <c r="AU339" s="805"/>
      <c r="AV339" s="807"/>
      <c r="AW339" s="802"/>
      <c r="AX339" s="802"/>
      <c r="AY339" s="802"/>
      <c r="AZ339" s="802"/>
      <c r="BA339" s="802"/>
    </row>
    <row r="340" spans="1:53" s="803" customFormat="1" ht="12.75" customHeight="1" x14ac:dyDescent="0.25">
      <c r="A340" s="1122"/>
      <c r="B340" s="782"/>
      <c r="C340" s="784"/>
      <c r="D340" s="829"/>
      <c r="E340" s="754"/>
      <c r="F340" s="857"/>
      <c r="G340" s="769"/>
      <c r="H340" s="756"/>
      <c r="I340" s="770"/>
      <c r="J340" s="758"/>
      <c r="K340" s="828"/>
      <c r="L340" s="760"/>
      <c r="M340" s="760"/>
      <c r="N340" s="760"/>
      <c r="O340" s="759"/>
      <c r="P340" s="759"/>
      <c r="Q340" s="759"/>
      <c r="R340" s="759"/>
      <c r="S340" s="759"/>
      <c r="T340" s="759"/>
      <c r="U340" s="759"/>
      <c r="V340" s="759"/>
      <c r="W340" s="759"/>
      <c r="X340" s="759"/>
      <c r="Y340" s="759"/>
      <c r="Z340" s="759"/>
      <c r="AA340" s="755"/>
      <c r="AB340" s="755"/>
      <c r="AC340" s="773"/>
      <c r="AD340" s="802"/>
      <c r="AF340" s="814"/>
      <c r="AG340" s="802"/>
      <c r="AH340" s="805"/>
      <c r="AI340" s="805"/>
      <c r="AJ340" s="827"/>
      <c r="AK340" s="805"/>
      <c r="AL340" s="806"/>
      <c r="AM340" s="805"/>
      <c r="AN340" s="805"/>
      <c r="AO340" s="807"/>
      <c r="AP340" s="805"/>
      <c r="AQ340" s="805"/>
      <c r="AR340" s="807"/>
      <c r="AS340" s="807"/>
      <c r="AT340" s="805"/>
      <c r="AU340" s="805"/>
      <c r="AV340" s="807"/>
      <c r="AW340" s="802"/>
      <c r="AX340" s="802"/>
      <c r="AY340" s="802"/>
      <c r="AZ340" s="802"/>
      <c r="BA340" s="802"/>
    </row>
    <row r="341" spans="1:53" s="803" customFormat="1" ht="56.25" customHeight="1" x14ac:dyDescent="0.25">
      <c r="A341" s="1122" t="s">
        <v>1235</v>
      </c>
      <c r="B341" s="837" t="s">
        <v>1236</v>
      </c>
      <c r="C341" s="837"/>
      <c r="D341" s="834"/>
      <c r="E341" s="791" t="s">
        <v>488</v>
      </c>
      <c r="F341" s="792" t="s">
        <v>837</v>
      </c>
      <c r="G341" s="837" t="s">
        <v>489</v>
      </c>
      <c r="H341" s="791" t="s">
        <v>1170</v>
      </c>
      <c r="I341" s="792" t="s">
        <v>838</v>
      </c>
      <c r="J341" s="793" t="s">
        <v>1171</v>
      </c>
      <c r="K341" s="793" t="s">
        <v>490</v>
      </c>
      <c r="L341" s="794" t="s">
        <v>489</v>
      </c>
      <c r="M341" s="793" t="s">
        <v>1172</v>
      </c>
      <c r="N341" s="792" t="s">
        <v>838</v>
      </c>
      <c r="O341" s="793" t="s">
        <v>1171</v>
      </c>
      <c r="P341" s="793" t="s">
        <v>826</v>
      </c>
      <c r="Q341" s="793" t="s">
        <v>1173</v>
      </c>
      <c r="R341" s="793" t="s">
        <v>1174</v>
      </c>
      <c r="S341" s="793" t="s">
        <v>839</v>
      </c>
      <c r="T341" s="793" t="s">
        <v>1171</v>
      </c>
      <c r="U341" s="793" t="s">
        <v>1392</v>
      </c>
      <c r="V341" s="793" t="s">
        <v>841</v>
      </c>
      <c r="W341" s="795" t="s">
        <v>1173</v>
      </c>
      <c r="X341" s="793" t="s">
        <v>1394</v>
      </c>
      <c r="Y341" s="793" t="s">
        <v>839</v>
      </c>
      <c r="Z341" s="796"/>
      <c r="AA341" s="755"/>
      <c r="AB341" s="755"/>
      <c r="AC341" s="773"/>
      <c r="AD341" s="802"/>
      <c r="AF341" s="804"/>
      <c r="AG341" s="802"/>
      <c r="AH341" s="805"/>
      <c r="AI341" s="805"/>
      <c r="AJ341" s="805"/>
      <c r="AK341" s="805"/>
      <c r="AL341" s="806"/>
      <c r="AM341" s="805"/>
      <c r="AN341" s="805"/>
      <c r="AO341" s="807"/>
      <c r="AP341" s="805"/>
      <c r="AQ341" s="808"/>
      <c r="AR341" s="808"/>
      <c r="AS341" s="808"/>
      <c r="AT341" s="805"/>
      <c r="AU341" s="805"/>
      <c r="AV341" s="807"/>
      <c r="AW341" s="802"/>
      <c r="AX341" s="802"/>
      <c r="AY341" s="802"/>
      <c r="AZ341" s="802"/>
      <c r="BA341" s="802"/>
    </row>
    <row r="342" spans="1:53" s="803" customFormat="1" ht="12" customHeight="1" x14ac:dyDescent="0.25">
      <c r="A342" s="1122"/>
      <c r="B342" s="752" t="s">
        <v>1175</v>
      </c>
      <c r="C342" s="837">
        <f>C349</f>
        <v>20.178111427211743</v>
      </c>
      <c r="D342" s="834">
        <f>C342*$D$5</f>
        <v>4.0759785082967719</v>
      </c>
      <c r="E342" s="754" t="s">
        <v>1176</v>
      </c>
      <c r="F342" s="810"/>
      <c r="G342" s="756"/>
      <c r="H342" s="756"/>
      <c r="I342" s="757">
        <f>SUM(I343:I350)</f>
        <v>7.3936000000000011</v>
      </c>
      <c r="J342" s="758" t="s">
        <v>1176</v>
      </c>
      <c r="K342" s="811"/>
      <c r="L342" s="759"/>
      <c r="M342" s="759"/>
      <c r="N342" s="760">
        <f>SUM(N343:N350)</f>
        <v>7.3800387426585595E-2</v>
      </c>
      <c r="O342" s="759" t="s">
        <v>1176</v>
      </c>
      <c r="P342" s="759"/>
      <c r="Q342" s="812"/>
      <c r="R342" s="813"/>
      <c r="S342" s="760">
        <f>SUM(S343:S350)</f>
        <v>9.8377551924086384E-2</v>
      </c>
      <c r="T342" s="760"/>
      <c r="U342" s="760"/>
      <c r="V342" s="760"/>
      <c r="W342" s="760"/>
      <c r="X342" s="760"/>
      <c r="Y342" s="760">
        <f>SUM(Y343:Y350)</f>
        <v>4.3489191438431192</v>
      </c>
      <c r="Z342" s="762">
        <f>(C342+D342+I342+N342+S342+Y342)*$Z$5</f>
        <v>47.026211745032363</v>
      </c>
      <c r="AA342" s="763">
        <f>C342+D342+I342+N342+S342+Y342+Z342</f>
        <v>83.194998763734674</v>
      </c>
      <c r="AB342" s="764">
        <v>0.25</v>
      </c>
      <c r="AC342" s="765">
        <f>AA342*(1+AB342)</f>
        <v>103.99374845466835</v>
      </c>
      <c r="AD342" s="814"/>
      <c r="AF342" s="804"/>
      <c r="AG342" s="802"/>
      <c r="AH342" s="805"/>
      <c r="AI342" s="808"/>
      <c r="AJ342" s="815"/>
      <c r="AK342" s="816"/>
      <c r="AL342" s="806"/>
      <c r="AM342" s="817"/>
      <c r="AN342" s="818"/>
      <c r="AO342" s="817"/>
      <c r="AP342" s="808"/>
      <c r="AQ342" s="808"/>
      <c r="AR342" s="808"/>
      <c r="AS342" s="808"/>
      <c r="AT342" s="808"/>
      <c r="AU342" s="817"/>
      <c r="AV342" s="817"/>
      <c r="AW342" s="819"/>
      <c r="AX342" s="802"/>
      <c r="AY342" s="802"/>
      <c r="AZ342" s="802"/>
      <c r="BA342" s="802"/>
    </row>
    <row r="343" spans="1:53" s="803" customFormat="1" ht="12.75" customHeight="1" x14ac:dyDescent="0.25">
      <c r="A343" s="1122"/>
      <c r="B343" s="766" t="s">
        <v>1177</v>
      </c>
      <c r="C343" s="837"/>
      <c r="D343" s="835"/>
      <c r="E343" s="767" t="s">
        <v>1437</v>
      </c>
      <c r="F343" s="768" t="s">
        <v>1438</v>
      </c>
      <c r="G343" s="769">
        <v>0.74</v>
      </c>
      <c r="H343" s="768">
        <v>0.01</v>
      </c>
      <c r="I343" s="770">
        <f t="shared" ref="I343:I348" si="19">G343*H343</f>
        <v>7.4000000000000003E-3</v>
      </c>
      <c r="J343" s="758" t="s">
        <v>1291</v>
      </c>
      <c r="K343" s="760">
        <v>2</v>
      </c>
      <c r="L343" s="760">
        <v>750</v>
      </c>
      <c r="M343" s="760">
        <v>2</v>
      </c>
      <c r="N343" s="786">
        <f>L343/'Исп. коэффициенты'!E52*(C347+C348)</f>
        <v>6.3621023643608263E-2</v>
      </c>
      <c r="O343" s="759" t="s">
        <v>186</v>
      </c>
      <c r="P343" s="759">
        <v>5303.64</v>
      </c>
      <c r="Q343" s="759">
        <v>19.68</v>
      </c>
      <c r="R343" s="759">
        <f>P343*Q343%</f>
        <v>1043.7563520000001</v>
      </c>
      <c r="S343" s="759">
        <f>R343/'Исп. коэффициенты'!E52</f>
        <v>9.8377551924086384E-2</v>
      </c>
      <c r="T343" s="755" t="s">
        <v>1435</v>
      </c>
      <c r="U343" s="756">
        <v>6785401.3499999996</v>
      </c>
      <c r="V343" s="785">
        <f>'Исп. коэффициенты'!E124</f>
        <v>2978.5</v>
      </c>
      <c r="W343" s="761">
        <f>'Исп. коэффициенты'!D124</f>
        <v>1.3599999999999999E-2</v>
      </c>
      <c r="X343" s="760">
        <f>U343*W343</f>
        <v>92281.45835999999</v>
      </c>
      <c r="Y343" s="759">
        <f>X343/'Исп. коэффициенты'!E52/2</f>
        <v>4.3489191438431192</v>
      </c>
      <c r="Z343" s="759"/>
      <c r="AA343" s="755"/>
      <c r="AB343" s="755"/>
      <c r="AC343" s="773"/>
      <c r="AD343" s="802"/>
      <c r="AF343" s="821"/>
      <c r="AG343" s="802"/>
      <c r="AH343" s="805"/>
      <c r="AI343" s="805"/>
      <c r="AJ343" s="822"/>
      <c r="AK343" s="805"/>
      <c r="AL343" s="806"/>
      <c r="AM343" s="805"/>
      <c r="AN343" s="805"/>
      <c r="AO343" s="807"/>
      <c r="AP343" s="805"/>
      <c r="AQ343" s="805"/>
      <c r="AR343" s="807"/>
      <c r="AS343" s="807"/>
      <c r="AT343" s="808"/>
      <c r="AU343" s="805"/>
      <c r="AV343" s="807"/>
      <c r="AW343" s="802"/>
      <c r="AX343" s="802"/>
      <c r="AY343" s="802"/>
      <c r="AZ343" s="802"/>
      <c r="BA343" s="802"/>
    </row>
    <row r="344" spans="1:53" s="803" customFormat="1" x14ac:dyDescent="0.25">
      <c r="A344" s="1122"/>
      <c r="B344" s="774" t="s">
        <v>1178</v>
      </c>
      <c r="C344" s="753">
        <f>C334</f>
        <v>33.667709452234185</v>
      </c>
      <c r="D344" s="835"/>
      <c r="E344" s="767" t="s">
        <v>1439</v>
      </c>
      <c r="F344" s="768" t="s">
        <v>1438</v>
      </c>
      <c r="G344" s="769">
        <v>0.27</v>
      </c>
      <c r="H344" s="768">
        <v>0.01</v>
      </c>
      <c r="I344" s="775">
        <f t="shared" si="19"/>
        <v>2.7000000000000001E-3</v>
      </c>
      <c r="J344" s="758" t="s">
        <v>1445</v>
      </c>
      <c r="K344" s="760">
        <v>2</v>
      </c>
      <c r="L344" s="760">
        <v>95</v>
      </c>
      <c r="M344" s="760">
        <v>2</v>
      </c>
      <c r="N344" s="786">
        <f>L344/'Исп. коэффициенты'!E52*(C347+C348)</f>
        <v>8.0586629948570469E-3</v>
      </c>
      <c r="O344" s="759"/>
      <c r="P344" s="759"/>
      <c r="Q344" s="759"/>
      <c r="R344" s="759"/>
      <c r="S344" s="759"/>
      <c r="T344" s="759"/>
      <c r="U344" s="759"/>
      <c r="V344" s="759"/>
      <c r="W344" s="759"/>
      <c r="X344" s="759"/>
      <c r="Y344" s="759"/>
      <c r="Z344" s="759"/>
      <c r="AA344" s="755"/>
      <c r="AB344" s="755"/>
      <c r="AC344" s="773"/>
      <c r="AD344" s="802"/>
      <c r="AF344" s="821"/>
      <c r="AG344" s="802"/>
      <c r="AH344" s="805"/>
      <c r="AI344" s="805"/>
      <c r="AJ344" s="822"/>
      <c r="AK344" s="805"/>
      <c r="AL344" s="806"/>
      <c r="AM344" s="824"/>
      <c r="AN344" s="805"/>
      <c r="AO344" s="807"/>
      <c r="AP344" s="805"/>
      <c r="AQ344" s="805"/>
      <c r="AR344" s="807"/>
      <c r="AS344" s="807"/>
      <c r="AT344" s="805"/>
      <c r="AU344" s="805"/>
      <c r="AV344" s="807"/>
      <c r="AW344" s="802"/>
      <c r="AX344" s="802"/>
      <c r="AY344" s="802"/>
      <c r="AZ344" s="802"/>
      <c r="BA344" s="802"/>
    </row>
    <row r="345" spans="1:53" s="803" customFormat="1" ht="12.75" customHeight="1" x14ac:dyDescent="0.25">
      <c r="A345" s="1122"/>
      <c r="B345" s="754" t="s">
        <v>1179</v>
      </c>
      <c r="C345" s="837">
        <f>C335</f>
        <v>22.420123808013045</v>
      </c>
      <c r="D345" s="835"/>
      <c r="E345" s="767" t="s">
        <v>1598</v>
      </c>
      <c r="F345" s="768" t="s">
        <v>1441</v>
      </c>
      <c r="G345" s="769">
        <v>4.4000000000000004</v>
      </c>
      <c r="H345" s="769">
        <v>1</v>
      </c>
      <c r="I345" s="770">
        <f t="shared" si="19"/>
        <v>4.4000000000000004</v>
      </c>
      <c r="J345" s="758" t="s">
        <v>1513</v>
      </c>
      <c r="K345" s="760">
        <v>2</v>
      </c>
      <c r="L345" s="760">
        <v>25</v>
      </c>
      <c r="M345" s="760">
        <v>0.5</v>
      </c>
      <c r="N345" s="786">
        <f>L345/'Исп. коэффициенты'!E52*(C347+C348)</f>
        <v>2.1207007881202757E-3</v>
      </c>
      <c r="O345" s="759"/>
      <c r="P345" s="759"/>
      <c r="Q345" s="759"/>
      <c r="R345" s="759"/>
      <c r="S345" s="759"/>
      <c r="T345" s="759"/>
      <c r="U345" s="759"/>
      <c r="V345" s="759"/>
      <c r="W345" s="759"/>
      <c r="X345" s="759"/>
      <c r="Y345" s="759"/>
      <c r="Z345" s="759"/>
      <c r="AA345" s="755"/>
      <c r="AB345" s="755"/>
      <c r="AC345" s="773"/>
      <c r="AD345" s="802"/>
      <c r="AF345" s="821"/>
      <c r="AG345" s="802"/>
      <c r="AH345" s="805"/>
      <c r="AI345" s="805"/>
      <c r="AJ345" s="822"/>
      <c r="AK345" s="805"/>
      <c r="AL345" s="806"/>
      <c r="AM345" s="805"/>
      <c r="AN345" s="805"/>
      <c r="AO345" s="807"/>
      <c r="AP345" s="805"/>
      <c r="AQ345" s="805"/>
      <c r="AR345" s="807"/>
      <c r="AS345" s="807"/>
      <c r="AT345" s="805"/>
      <c r="AU345" s="805"/>
      <c r="AV345" s="807"/>
      <c r="AW345" s="802"/>
      <c r="AX345" s="802"/>
      <c r="AY345" s="802"/>
      <c r="AZ345" s="802"/>
      <c r="BA345" s="802"/>
    </row>
    <row r="346" spans="1:53" s="803" customFormat="1" ht="12.75" customHeight="1" x14ac:dyDescent="0.25">
      <c r="A346" s="1122"/>
      <c r="B346" s="754" t="s">
        <v>1180</v>
      </c>
      <c r="C346" s="789"/>
      <c r="D346" s="835"/>
      <c r="E346" s="767" t="s">
        <v>8</v>
      </c>
      <c r="F346" s="768" t="s">
        <v>1441</v>
      </c>
      <c r="G346" s="769">
        <v>0.82</v>
      </c>
      <c r="H346" s="768">
        <v>1</v>
      </c>
      <c r="I346" s="770">
        <f t="shared" si="19"/>
        <v>0.82</v>
      </c>
      <c r="J346" s="758"/>
      <c r="K346" s="760"/>
      <c r="L346" s="760"/>
      <c r="M346" s="760"/>
      <c r="N346" s="760"/>
      <c r="O346" s="759"/>
      <c r="P346" s="759"/>
      <c r="Q346" s="759"/>
      <c r="R346" s="759"/>
      <c r="S346" s="759"/>
      <c r="T346" s="759"/>
      <c r="U346" s="759"/>
      <c r="V346" s="759"/>
      <c r="W346" s="759"/>
      <c r="X346" s="759"/>
      <c r="Y346" s="759"/>
      <c r="Z346" s="759"/>
      <c r="AA346" s="755"/>
      <c r="AB346" s="755"/>
      <c r="AC346" s="773"/>
      <c r="AD346" s="802"/>
      <c r="AF346" s="821"/>
      <c r="AG346" s="802"/>
      <c r="AH346" s="805"/>
      <c r="AI346" s="805"/>
      <c r="AJ346" s="822"/>
      <c r="AK346" s="805"/>
      <c r="AL346" s="806"/>
      <c r="AM346" s="805"/>
      <c r="AN346" s="805"/>
      <c r="AO346" s="807"/>
      <c r="AP346" s="805"/>
      <c r="AQ346" s="805"/>
      <c r="AR346" s="807"/>
      <c r="AS346" s="807"/>
      <c r="AT346" s="805"/>
      <c r="AU346" s="805"/>
      <c r="AV346" s="807"/>
      <c r="AW346" s="802"/>
      <c r="AX346" s="802"/>
      <c r="AY346" s="802"/>
      <c r="AZ346" s="802"/>
      <c r="BA346" s="802"/>
    </row>
    <row r="347" spans="1:53" s="803" customFormat="1" ht="12.75" customHeight="1" x14ac:dyDescent="0.25">
      <c r="A347" s="1122"/>
      <c r="B347" s="774" t="s">
        <v>1178</v>
      </c>
      <c r="C347" s="784"/>
      <c r="D347" s="835"/>
      <c r="E347" s="767" t="s">
        <v>1442</v>
      </c>
      <c r="F347" s="768" t="s">
        <v>1443</v>
      </c>
      <c r="G347" s="769">
        <v>419.5</v>
      </c>
      <c r="H347" s="768">
        <v>1E-3</v>
      </c>
      <c r="I347" s="770">
        <f t="shared" si="19"/>
        <v>0.41949999999999998</v>
      </c>
      <c r="J347" s="758"/>
      <c r="K347" s="760"/>
      <c r="L347" s="760"/>
      <c r="M347" s="760"/>
      <c r="N347" s="760"/>
      <c r="O347" s="759"/>
      <c r="P347" s="759"/>
      <c r="Q347" s="759"/>
      <c r="R347" s="759"/>
      <c r="S347" s="759"/>
      <c r="T347" s="759"/>
      <c r="U347" s="759"/>
      <c r="V347" s="759"/>
      <c r="W347" s="759"/>
      <c r="X347" s="759"/>
      <c r="Y347" s="759"/>
      <c r="Z347" s="759"/>
      <c r="AA347" s="755"/>
      <c r="AB347" s="755"/>
      <c r="AC347" s="773"/>
      <c r="AD347" s="802"/>
      <c r="AF347" s="821"/>
      <c r="AG347" s="802"/>
      <c r="AH347" s="805"/>
      <c r="AI347" s="805"/>
      <c r="AJ347" s="827"/>
      <c r="AK347" s="805"/>
      <c r="AL347" s="806"/>
      <c r="AM347" s="805"/>
      <c r="AN347" s="805"/>
      <c r="AO347" s="807"/>
      <c r="AP347" s="805"/>
      <c r="AQ347" s="805"/>
      <c r="AR347" s="807"/>
      <c r="AS347" s="807"/>
      <c r="AT347" s="805"/>
      <c r="AU347" s="805"/>
      <c r="AV347" s="807"/>
      <c r="AW347" s="802"/>
      <c r="AX347" s="802"/>
      <c r="AY347" s="802"/>
      <c r="AZ347" s="802"/>
      <c r="BA347" s="802"/>
    </row>
    <row r="348" spans="1:53" s="803" customFormat="1" ht="12.75" customHeight="1" x14ac:dyDescent="0.25">
      <c r="A348" s="1122"/>
      <c r="B348" s="754" t="s">
        <v>1179</v>
      </c>
      <c r="C348" s="784">
        <v>0.9</v>
      </c>
      <c r="D348" s="835"/>
      <c r="E348" s="767" t="s">
        <v>1444</v>
      </c>
      <c r="F348" s="768" t="s">
        <v>1443</v>
      </c>
      <c r="G348" s="769">
        <v>872</v>
      </c>
      <c r="H348" s="768">
        <v>2E-3</v>
      </c>
      <c r="I348" s="770">
        <f t="shared" si="19"/>
        <v>1.744</v>
      </c>
      <c r="J348" s="758"/>
      <c r="K348" s="760"/>
      <c r="L348" s="760"/>
      <c r="M348" s="760"/>
      <c r="N348" s="760"/>
      <c r="O348" s="759"/>
      <c r="P348" s="759"/>
      <c r="Q348" s="759"/>
      <c r="R348" s="759"/>
      <c r="S348" s="759"/>
      <c r="T348" s="759"/>
      <c r="U348" s="759"/>
      <c r="V348" s="759"/>
      <c r="W348" s="759"/>
      <c r="X348" s="759"/>
      <c r="Y348" s="759"/>
      <c r="Z348" s="759"/>
      <c r="AA348" s="755"/>
      <c r="AB348" s="755"/>
      <c r="AC348" s="773"/>
      <c r="AD348" s="802"/>
      <c r="AF348" s="821"/>
      <c r="AG348" s="802"/>
      <c r="AH348" s="805"/>
      <c r="AI348" s="805"/>
      <c r="AJ348" s="827"/>
      <c r="AK348" s="805"/>
      <c r="AL348" s="806"/>
      <c r="AM348" s="805"/>
      <c r="AN348" s="805"/>
      <c r="AO348" s="807"/>
      <c r="AP348" s="805"/>
      <c r="AQ348" s="805"/>
      <c r="AR348" s="807"/>
      <c r="AS348" s="807"/>
      <c r="AT348" s="805"/>
      <c r="AU348" s="805"/>
      <c r="AV348" s="807"/>
      <c r="AW348" s="802"/>
      <c r="AX348" s="802"/>
      <c r="AY348" s="802"/>
      <c r="AZ348" s="802"/>
      <c r="BA348" s="802"/>
    </row>
    <row r="349" spans="1:53" s="803" customFormat="1" ht="12.75" customHeight="1" x14ac:dyDescent="0.25">
      <c r="A349" s="1122"/>
      <c r="B349" s="782" t="s">
        <v>1181</v>
      </c>
      <c r="C349" s="837">
        <f>C344*C347+C345*C348</f>
        <v>20.178111427211743</v>
      </c>
      <c r="D349" s="835"/>
      <c r="E349" s="767"/>
      <c r="F349" s="781"/>
      <c r="G349" s="769"/>
      <c r="H349" s="768"/>
      <c r="I349" s="770"/>
      <c r="J349" s="758"/>
      <c r="K349" s="828"/>
      <c r="L349" s="760"/>
      <c r="M349" s="760"/>
      <c r="N349" s="760"/>
      <c r="O349" s="759"/>
      <c r="P349" s="759"/>
      <c r="Q349" s="759"/>
      <c r="R349" s="759"/>
      <c r="S349" s="759"/>
      <c r="T349" s="759"/>
      <c r="U349" s="759"/>
      <c r="V349" s="759"/>
      <c r="W349" s="759"/>
      <c r="X349" s="759"/>
      <c r="Y349" s="759"/>
      <c r="Z349" s="759"/>
      <c r="AA349" s="755"/>
      <c r="AB349" s="755"/>
      <c r="AC349" s="773"/>
      <c r="AD349" s="802"/>
      <c r="AF349" s="821"/>
      <c r="AG349" s="802"/>
      <c r="AH349" s="805"/>
      <c r="AI349" s="805"/>
      <c r="AJ349" s="822"/>
      <c r="AK349" s="805"/>
      <c r="AL349" s="806"/>
      <c r="AM349" s="805"/>
      <c r="AN349" s="805"/>
      <c r="AO349" s="807"/>
      <c r="AP349" s="805"/>
      <c r="AQ349" s="805"/>
      <c r="AR349" s="807"/>
      <c r="AS349" s="807"/>
      <c r="AT349" s="805"/>
      <c r="AU349" s="805"/>
      <c r="AV349" s="807"/>
      <c r="AW349" s="802"/>
      <c r="AX349" s="802"/>
      <c r="AY349" s="802"/>
      <c r="AZ349" s="802"/>
      <c r="BA349" s="802"/>
    </row>
    <row r="350" spans="1:53" s="803" customFormat="1" ht="12.75" customHeight="1" x14ac:dyDescent="0.25">
      <c r="A350" s="1122"/>
      <c r="B350" s="782"/>
      <c r="C350" s="784"/>
      <c r="D350" s="836"/>
      <c r="E350" s="754"/>
      <c r="F350" s="857"/>
      <c r="G350" s="769"/>
      <c r="H350" s="756"/>
      <c r="I350" s="770"/>
      <c r="J350" s="758"/>
      <c r="K350" s="828"/>
      <c r="L350" s="760"/>
      <c r="M350" s="760"/>
      <c r="N350" s="760"/>
      <c r="O350" s="759"/>
      <c r="P350" s="759"/>
      <c r="Q350" s="759"/>
      <c r="R350" s="759"/>
      <c r="S350" s="759"/>
      <c r="T350" s="759"/>
      <c r="U350" s="759"/>
      <c r="V350" s="759"/>
      <c r="W350" s="759"/>
      <c r="X350" s="759"/>
      <c r="Y350" s="759"/>
      <c r="Z350" s="759"/>
      <c r="AA350" s="755"/>
      <c r="AB350" s="755"/>
      <c r="AC350" s="773"/>
      <c r="AD350" s="802"/>
      <c r="AF350" s="814"/>
      <c r="AG350" s="802"/>
      <c r="AH350" s="805"/>
      <c r="AI350" s="805"/>
      <c r="AJ350" s="827"/>
      <c r="AK350" s="805"/>
      <c r="AL350" s="806"/>
      <c r="AM350" s="805"/>
      <c r="AN350" s="805"/>
      <c r="AO350" s="807"/>
      <c r="AP350" s="805"/>
      <c r="AQ350" s="805"/>
      <c r="AR350" s="807"/>
      <c r="AS350" s="807"/>
      <c r="AT350" s="805"/>
      <c r="AU350" s="805"/>
      <c r="AV350" s="807"/>
      <c r="AW350" s="802"/>
      <c r="AX350" s="802"/>
      <c r="AY350" s="802"/>
      <c r="AZ350" s="802"/>
      <c r="BA350" s="802"/>
    </row>
    <row r="351" spans="1:53" ht="56.25" customHeight="1" x14ac:dyDescent="0.25">
      <c r="A351" s="1126" t="s">
        <v>189</v>
      </c>
      <c r="B351" s="258" t="s">
        <v>1237</v>
      </c>
      <c r="C351" s="51"/>
      <c r="D351" s="219"/>
      <c r="E351" s="52" t="s">
        <v>488</v>
      </c>
      <c r="F351" s="53" t="s">
        <v>837</v>
      </c>
      <c r="G351" s="51" t="s">
        <v>489</v>
      </c>
      <c r="H351" s="52" t="s">
        <v>1170</v>
      </c>
      <c r="I351" s="53" t="s">
        <v>838</v>
      </c>
      <c r="J351" s="47" t="s">
        <v>1171</v>
      </c>
      <c r="K351" s="47" t="s">
        <v>490</v>
      </c>
      <c r="L351" s="54" t="s">
        <v>489</v>
      </c>
      <c r="M351" s="47" t="s">
        <v>1172</v>
      </c>
      <c r="N351" s="53" t="s">
        <v>838</v>
      </c>
      <c r="O351" s="47" t="s">
        <v>1171</v>
      </c>
      <c r="P351" s="47" t="s">
        <v>826</v>
      </c>
      <c r="Q351" s="47" t="s">
        <v>1173</v>
      </c>
      <c r="R351" s="47" t="s">
        <v>1174</v>
      </c>
      <c r="S351" s="47" t="s">
        <v>839</v>
      </c>
      <c r="T351" s="47" t="s">
        <v>1171</v>
      </c>
      <c r="U351" s="47" t="s">
        <v>1392</v>
      </c>
      <c r="V351" s="47" t="s">
        <v>841</v>
      </c>
      <c r="W351" s="231" t="s">
        <v>1173</v>
      </c>
      <c r="X351" s="47" t="s">
        <v>1394</v>
      </c>
      <c r="Y351" s="47" t="s">
        <v>839</v>
      </c>
      <c r="Z351" s="55"/>
      <c r="AA351" s="1"/>
      <c r="AB351" s="1"/>
      <c r="AC351" s="245"/>
      <c r="AD351" s="56"/>
      <c r="AQ351" s="139"/>
      <c r="AR351" s="139"/>
      <c r="AS351" s="139"/>
    </row>
    <row r="352" spans="1:53" ht="12" customHeight="1" x14ac:dyDescent="0.25">
      <c r="A352" s="1126"/>
      <c r="B352" s="36" t="s">
        <v>1175</v>
      </c>
      <c r="C352" s="51">
        <f>C359</f>
        <v>31.388173331218262</v>
      </c>
      <c r="D352" s="219">
        <f>C352*$D$5</f>
        <v>6.3404110129060891</v>
      </c>
      <c r="E352" s="57" t="s">
        <v>1176</v>
      </c>
      <c r="F352" s="165"/>
      <c r="G352" s="58"/>
      <c r="H352" s="58"/>
      <c r="I352" s="2">
        <f>SUM(I353:I360)</f>
        <v>7.3936000000000011</v>
      </c>
      <c r="J352" s="59" t="s">
        <v>1176</v>
      </c>
      <c r="K352" s="169"/>
      <c r="L352" s="60"/>
      <c r="M352" s="60"/>
      <c r="N352" s="61">
        <f>SUM(N353:N360)</f>
        <v>8.4000000000000005E-2</v>
      </c>
      <c r="O352" s="60" t="s">
        <v>1176</v>
      </c>
      <c r="P352" s="60"/>
      <c r="Q352" s="62"/>
      <c r="R352" s="63"/>
      <c r="S352" s="61">
        <f>SUM(S353:S360)</f>
        <v>1.1382000000000001</v>
      </c>
      <c r="T352" s="61"/>
      <c r="U352" s="61"/>
      <c r="V352" s="61"/>
      <c r="W352" s="61"/>
      <c r="X352" s="61"/>
      <c r="Y352" s="61">
        <f>SUM(Y353:Y360)</f>
        <v>9.1999999999999998E-3</v>
      </c>
      <c r="Z352" s="64">
        <f>(C352+D352+I352+N352+S352+Y352)*$Z$5</f>
        <v>60.268359881155291</v>
      </c>
      <c r="AA352" s="65">
        <f>C352+D352+I352+N352+S352+Y352+Z352</f>
        <v>106.62194422527963</v>
      </c>
      <c r="AB352" s="66">
        <v>0.25</v>
      </c>
      <c r="AC352" s="244">
        <f>AA352*(1+AB352)</f>
        <v>133.27743028159955</v>
      </c>
      <c r="AD352" s="67"/>
      <c r="AI352" s="139"/>
      <c r="AJ352" s="140"/>
      <c r="AK352" s="141"/>
      <c r="AM352" s="142"/>
      <c r="AN352" s="143"/>
      <c r="AO352" s="142"/>
      <c r="AP352" s="139"/>
      <c r="AQ352" s="139"/>
      <c r="AR352" s="139"/>
      <c r="AS352" s="139"/>
      <c r="AT352" s="139"/>
      <c r="AU352" s="142"/>
      <c r="AV352" s="142"/>
      <c r="AW352" s="144"/>
    </row>
    <row r="353" spans="1:49" ht="12.75" customHeight="1" x14ac:dyDescent="0.25">
      <c r="A353" s="1126"/>
      <c r="B353" s="50" t="s">
        <v>1177</v>
      </c>
      <c r="C353" s="51"/>
      <c r="D353" s="220"/>
      <c r="E353" s="68" t="s">
        <v>1437</v>
      </c>
      <c r="F353" s="69" t="s">
        <v>1438</v>
      </c>
      <c r="G353" s="70">
        <v>0.74</v>
      </c>
      <c r="H353" s="69">
        <v>0.01</v>
      </c>
      <c r="I353" s="71">
        <f t="shared" ref="I353:I358" si="20">G353*H353</f>
        <v>7.4000000000000003E-3</v>
      </c>
      <c r="J353" s="59" t="s">
        <v>1291</v>
      </c>
      <c r="K353" s="61">
        <v>2</v>
      </c>
      <c r="L353" s="61">
        <v>640</v>
      </c>
      <c r="M353" s="61">
        <v>2</v>
      </c>
      <c r="N353" s="61">
        <v>0.05</v>
      </c>
      <c r="O353" s="60" t="s">
        <v>186</v>
      </c>
      <c r="P353" s="60">
        <v>5303.64</v>
      </c>
      <c r="Q353" s="60">
        <v>19.68</v>
      </c>
      <c r="R353" s="60">
        <f>P353*Q353%</f>
        <v>1043.7563520000001</v>
      </c>
      <c r="S353" s="60">
        <v>1.1382000000000001</v>
      </c>
      <c r="T353" s="239" t="s">
        <v>1435</v>
      </c>
      <c r="U353" s="240">
        <v>6785401.3499999996</v>
      </c>
      <c r="V353" s="241">
        <v>1.32E-2</v>
      </c>
      <c r="W353" s="239">
        <v>1508.3</v>
      </c>
      <c r="X353" s="61">
        <v>59.38</v>
      </c>
      <c r="Y353" s="60">
        <v>9.1999999999999998E-3</v>
      </c>
      <c r="Z353" s="60"/>
      <c r="AA353" s="1"/>
      <c r="AB353" s="1"/>
      <c r="AC353" s="245"/>
      <c r="AD353" s="56"/>
      <c r="AF353" s="151"/>
      <c r="AJ353" s="136"/>
      <c r="AT353" s="139"/>
    </row>
    <row r="354" spans="1:49" x14ac:dyDescent="0.25">
      <c r="A354" s="1126"/>
      <c r="B354" s="74" t="s">
        <v>1178</v>
      </c>
      <c r="C354" s="75">
        <f>C344</f>
        <v>33.667709452234185</v>
      </c>
      <c r="D354" s="220"/>
      <c r="E354" s="68" t="s">
        <v>1439</v>
      </c>
      <c r="F354" s="69" t="s">
        <v>1438</v>
      </c>
      <c r="G354" s="70">
        <v>0.27</v>
      </c>
      <c r="H354" s="69">
        <v>0.01</v>
      </c>
      <c r="I354" s="242">
        <f t="shared" si="20"/>
        <v>2.7000000000000001E-3</v>
      </c>
      <c r="J354" s="59" t="s">
        <v>1445</v>
      </c>
      <c r="K354" s="61">
        <v>2</v>
      </c>
      <c r="L354" s="61">
        <v>84</v>
      </c>
      <c r="M354" s="61">
        <v>2</v>
      </c>
      <c r="N354" s="61">
        <v>8.9999999999999993E-3</v>
      </c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1"/>
      <c r="AB354" s="1"/>
      <c r="AC354" s="245"/>
      <c r="AD354" s="56"/>
      <c r="AF354" s="151"/>
      <c r="AJ354" s="136"/>
      <c r="AM354" s="145"/>
    </row>
    <row r="355" spans="1:49" ht="12.75" customHeight="1" x14ac:dyDescent="0.25">
      <c r="A355" s="1126"/>
      <c r="B355" s="57" t="s">
        <v>1179</v>
      </c>
      <c r="C355" s="51">
        <f>C345</f>
        <v>22.420123808013045</v>
      </c>
      <c r="D355" s="220"/>
      <c r="E355" s="68" t="s">
        <v>1598</v>
      </c>
      <c r="F355" s="69" t="s">
        <v>1441</v>
      </c>
      <c r="G355" s="70">
        <v>4.4000000000000004</v>
      </c>
      <c r="H355" s="70">
        <v>1</v>
      </c>
      <c r="I355" s="71">
        <f t="shared" si="20"/>
        <v>4.4000000000000004</v>
      </c>
      <c r="J355" s="59" t="s">
        <v>1513</v>
      </c>
      <c r="K355" s="61">
        <v>2</v>
      </c>
      <c r="L355" s="61">
        <v>25</v>
      </c>
      <c r="M355" s="61">
        <v>0.5</v>
      </c>
      <c r="N355" s="61">
        <v>2.5000000000000001E-2</v>
      </c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1"/>
      <c r="AB355" s="1"/>
      <c r="AC355" s="245"/>
      <c r="AD355" s="56"/>
      <c r="AF355" s="151"/>
      <c r="AJ355" s="136"/>
    </row>
    <row r="356" spans="1:49" ht="12.75" customHeight="1" x14ac:dyDescent="0.25">
      <c r="A356" s="1126"/>
      <c r="B356" s="57" t="s">
        <v>1180</v>
      </c>
      <c r="C356" s="77"/>
      <c r="D356" s="220"/>
      <c r="E356" s="68" t="s">
        <v>8</v>
      </c>
      <c r="F356" s="69" t="s">
        <v>1441</v>
      </c>
      <c r="G356" s="70">
        <v>0.82</v>
      </c>
      <c r="H356" s="69">
        <v>1</v>
      </c>
      <c r="I356" s="71">
        <f t="shared" si="20"/>
        <v>0.82</v>
      </c>
      <c r="J356" s="59"/>
      <c r="K356" s="61"/>
      <c r="L356" s="61"/>
      <c r="M356" s="61"/>
      <c r="N356" s="61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1"/>
      <c r="AB356" s="1"/>
      <c r="AC356" s="245"/>
      <c r="AD356" s="56"/>
      <c r="AF356" s="151"/>
      <c r="AJ356" s="136"/>
    </row>
    <row r="357" spans="1:49" ht="12.75" customHeight="1" x14ac:dyDescent="0.25">
      <c r="A357" s="1126"/>
      <c r="B357" s="74" t="s">
        <v>1178</v>
      </c>
      <c r="C357" s="78"/>
      <c r="D357" s="220"/>
      <c r="E357" s="68" t="s">
        <v>1442</v>
      </c>
      <c r="F357" s="69" t="s">
        <v>1443</v>
      </c>
      <c r="G357" s="70">
        <v>419.5</v>
      </c>
      <c r="H357" s="69">
        <v>1E-3</v>
      </c>
      <c r="I357" s="71">
        <f t="shared" si="20"/>
        <v>0.41949999999999998</v>
      </c>
      <c r="J357" s="59"/>
      <c r="K357" s="61"/>
      <c r="L357" s="61"/>
      <c r="M357" s="61"/>
      <c r="N357" s="61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1"/>
      <c r="AB357" s="1"/>
      <c r="AC357" s="245"/>
      <c r="AD357" s="56"/>
      <c r="AF357" s="151"/>
      <c r="AJ357" s="146"/>
    </row>
    <row r="358" spans="1:49" ht="12.75" customHeight="1" x14ac:dyDescent="0.25">
      <c r="A358" s="1126"/>
      <c r="B358" s="57" t="s">
        <v>1179</v>
      </c>
      <c r="C358" s="78">
        <v>1.4</v>
      </c>
      <c r="D358" s="220"/>
      <c r="E358" s="68" t="s">
        <v>1444</v>
      </c>
      <c r="F358" s="69" t="s">
        <v>1443</v>
      </c>
      <c r="G358" s="70">
        <v>872</v>
      </c>
      <c r="H358" s="69">
        <v>2E-3</v>
      </c>
      <c r="I358" s="71">
        <f t="shared" si="20"/>
        <v>1.744</v>
      </c>
      <c r="J358" s="59"/>
      <c r="K358" s="61"/>
      <c r="L358" s="61"/>
      <c r="M358" s="61"/>
      <c r="N358" s="61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1"/>
      <c r="AB358" s="1"/>
      <c r="AC358" s="245"/>
      <c r="AD358" s="56"/>
      <c r="AF358" s="151"/>
      <c r="AJ358" s="146"/>
    </row>
    <row r="359" spans="1:49" ht="12.75" customHeight="1" x14ac:dyDescent="0.25">
      <c r="A359" s="1126"/>
      <c r="B359" s="79" t="s">
        <v>1181</v>
      </c>
      <c r="C359" s="51">
        <f>C354*C357+C355*C358</f>
        <v>31.388173331218262</v>
      </c>
      <c r="D359" s="220"/>
      <c r="E359" s="68"/>
      <c r="F359" s="166"/>
      <c r="G359" s="70"/>
      <c r="H359" s="69"/>
      <c r="I359" s="71"/>
      <c r="J359" s="59"/>
      <c r="K359" s="170"/>
      <c r="L359" s="61"/>
      <c r="M359" s="61"/>
      <c r="N359" s="61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1"/>
      <c r="AB359" s="1"/>
      <c r="AC359" s="245"/>
      <c r="AD359" s="56"/>
      <c r="AF359" s="151"/>
      <c r="AJ359" s="136"/>
    </row>
    <row r="360" spans="1:49" ht="12.75" customHeight="1" x14ac:dyDescent="0.25">
      <c r="A360" s="1126"/>
      <c r="B360" s="79"/>
      <c r="C360" s="78"/>
      <c r="D360" s="221"/>
      <c r="E360" s="57"/>
      <c r="F360" s="167"/>
      <c r="G360" s="70"/>
      <c r="H360" s="58"/>
      <c r="I360" s="71"/>
      <c r="J360" s="59"/>
      <c r="K360" s="170"/>
      <c r="L360" s="61"/>
      <c r="M360" s="61"/>
      <c r="N360" s="61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1"/>
      <c r="AB360" s="1"/>
      <c r="AC360" s="245"/>
      <c r="AD360" s="56"/>
      <c r="AF360" s="67"/>
      <c r="AJ360" s="146"/>
    </row>
    <row r="361" spans="1:49" ht="56.25" customHeight="1" x14ac:dyDescent="0.25">
      <c r="A361" s="1126" t="s">
        <v>188</v>
      </c>
      <c r="B361" s="259" t="s">
        <v>1019</v>
      </c>
      <c r="C361" s="51"/>
      <c r="D361" s="219"/>
      <c r="E361" s="52" t="s">
        <v>488</v>
      </c>
      <c r="F361" s="53" t="s">
        <v>837</v>
      </c>
      <c r="G361" s="51" t="s">
        <v>489</v>
      </c>
      <c r="H361" s="52" t="s">
        <v>1170</v>
      </c>
      <c r="I361" s="53" t="s">
        <v>838</v>
      </c>
      <c r="J361" s="47" t="s">
        <v>1171</v>
      </c>
      <c r="K361" s="47" t="s">
        <v>490</v>
      </c>
      <c r="L361" s="54" t="s">
        <v>489</v>
      </c>
      <c r="M361" s="47" t="s">
        <v>1172</v>
      </c>
      <c r="N361" s="53" t="s">
        <v>838</v>
      </c>
      <c r="O361" s="47" t="s">
        <v>1171</v>
      </c>
      <c r="P361" s="47" t="s">
        <v>826</v>
      </c>
      <c r="Q361" s="47" t="s">
        <v>1173</v>
      </c>
      <c r="R361" s="47" t="s">
        <v>1174</v>
      </c>
      <c r="S361" s="47" t="s">
        <v>839</v>
      </c>
      <c r="T361" s="47" t="s">
        <v>1171</v>
      </c>
      <c r="U361" s="47" t="s">
        <v>1392</v>
      </c>
      <c r="V361" s="47" t="s">
        <v>841</v>
      </c>
      <c r="W361" s="231" t="s">
        <v>1173</v>
      </c>
      <c r="X361" s="47" t="s">
        <v>1394</v>
      </c>
      <c r="Y361" s="47" t="s">
        <v>839</v>
      </c>
      <c r="Z361" s="55"/>
      <c r="AA361" s="1"/>
      <c r="AB361" s="1"/>
      <c r="AC361" s="245"/>
      <c r="AD361" s="56"/>
      <c r="AQ361" s="139"/>
      <c r="AR361" s="139"/>
      <c r="AS361" s="139"/>
    </row>
    <row r="362" spans="1:49" ht="12" customHeight="1" x14ac:dyDescent="0.25">
      <c r="A362" s="1126"/>
      <c r="B362" s="36" t="s">
        <v>1175</v>
      </c>
      <c r="C362" s="51">
        <f>C369</f>
        <v>51.603808498644625</v>
      </c>
      <c r="D362" s="219">
        <f>C362*$D$5</f>
        <v>10.423969316726215</v>
      </c>
      <c r="E362" s="57" t="s">
        <v>1176</v>
      </c>
      <c r="F362" s="165"/>
      <c r="G362" s="58"/>
      <c r="H362" s="58"/>
      <c r="I362" s="2">
        <f>SUM(I363:I370)</f>
        <v>7.3936000000000011</v>
      </c>
      <c r="J362" s="59" t="s">
        <v>1176</v>
      </c>
      <c r="K362" s="169"/>
      <c r="L362" s="60"/>
      <c r="M362" s="60"/>
      <c r="N362" s="61">
        <f>SUM(N363:N370)</f>
        <v>8.4000000000000005E-2</v>
      </c>
      <c r="O362" s="60" t="s">
        <v>1176</v>
      </c>
      <c r="P362" s="60"/>
      <c r="Q362" s="62"/>
      <c r="R362" s="63"/>
      <c r="S362" s="61">
        <f>SUM(S363:S370)</f>
        <v>1.1382000000000001</v>
      </c>
      <c r="T362" s="61"/>
      <c r="U362" s="61"/>
      <c r="V362" s="61"/>
      <c r="W362" s="61"/>
      <c r="X362" s="61"/>
      <c r="Y362" s="61">
        <f>SUM(Y363:Y370)</f>
        <v>9.1999999999999998E-3</v>
      </c>
      <c r="Z362" s="64">
        <f>(C362+D362+I362+N362+S362+Y362)*$Z$5</f>
        <v>91.86187217730928</v>
      </c>
      <c r="AA362" s="65">
        <f>C362+D362+I362+N362+S362+Y362+Z362</f>
        <v>162.51464999268012</v>
      </c>
      <c r="AB362" s="66">
        <v>0.25</v>
      </c>
      <c r="AC362" s="244">
        <f>AA362*(1+AB362)</f>
        <v>203.14331249085015</v>
      </c>
      <c r="AD362" s="67"/>
      <c r="AI362" s="139"/>
      <c r="AJ362" s="140"/>
      <c r="AK362" s="141"/>
      <c r="AM362" s="142"/>
      <c r="AN362" s="143"/>
      <c r="AO362" s="142"/>
      <c r="AP362" s="139"/>
      <c r="AQ362" s="139"/>
      <c r="AR362" s="139"/>
      <c r="AS362" s="139"/>
      <c r="AT362" s="139"/>
      <c r="AU362" s="142"/>
      <c r="AV362" s="142"/>
      <c r="AW362" s="144"/>
    </row>
    <row r="363" spans="1:49" ht="12.75" customHeight="1" x14ac:dyDescent="0.25">
      <c r="A363" s="1126"/>
      <c r="B363" s="50" t="s">
        <v>1177</v>
      </c>
      <c r="C363" s="51"/>
      <c r="D363" s="220"/>
      <c r="E363" s="68" t="s">
        <v>1437</v>
      </c>
      <c r="F363" s="69" t="s">
        <v>1438</v>
      </c>
      <c r="G363" s="70">
        <v>0.74</v>
      </c>
      <c r="H363" s="69">
        <v>0.01</v>
      </c>
      <c r="I363" s="71">
        <f t="shared" ref="I363:I368" si="21">G363*H363</f>
        <v>7.4000000000000003E-3</v>
      </c>
      <c r="J363" s="59" t="s">
        <v>1291</v>
      </c>
      <c r="K363" s="61">
        <v>2</v>
      </c>
      <c r="L363" s="61">
        <v>640</v>
      </c>
      <c r="M363" s="61">
        <v>2</v>
      </c>
      <c r="N363" s="61">
        <v>0.05</v>
      </c>
      <c r="O363" s="60" t="s">
        <v>186</v>
      </c>
      <c r="P363" s="60">
        <v>5303.64</v>
      </c>
      <c r="Q363" s="60">
        <v>19.68</v>
      </c>
      <c r="R363" s="60">
        <f>P363*Q363%</f>
        <v>1043.7563520000001</v>
      </c>
      <c r="S363" s="60">
        <v>1.1382000000000001</v>
      </c>
      <c r="T363" s="239" t="s">
        <v>1435</v>
      </c>
      <c r="U363" s="240">
        <v>6785401.3499999996</v>
      </c>
      <c r="V363" s="241">
        <v>1.32E-2</v>
      </c>
      <c r="W363" s="239">
        <v>1508.3</v>
      </c>
      <c r="X363" s="61">
        <v>59.38</v>
      </c>
      <c r="Y363" s="60">
        <v>9.1999999999999998E-3</v>
      </c>
      <c r="Z363" s="60"/>
      <c r="AA363" s="1"/>
      <c r="AB363" s="1"/>
      <c r="AC363" s="245"/>
      <c r="AD363" s="56"/>
      <c r="AF363" s="151"/>
      <c r="AJ363" s="136"/>
      <c r="AT363" s="139"/>
    </row>
    <row r="364" spans="1:49" x14ac:dyDescent="0.25">
      <c r="A364" s="1126"/>
      <c r="B364" s="74" t="s">
        <v>1178</v>
      </c>
      <c r="C364" s="75">
        <f>C354</f>
        <v>33.667709452234185</v>
      </c>
      <c r="D364" s="220"/>
      <c r="E364" s="68" t="s">
        <v>1439</v>
      </c>
      <c r="F364" s="69" t="s">
        <v>1438</v>
      </c>
      <c r="G364" s="70">
        <v>0.27</v>
      </c>
      <c r="H364" s="69">
        <v>0.01</v>
      </c>
      <c r="I364" s="242">
        <f t="shared" si="21"/>
        <v>2.7000000000000001E-3</v>
      </c>
      <c r="J364" s="59" t="s">
        <v>1445</v>
      </c>
      <c r="K364" s="61">
        <v>2</v>
      </c>
      <c r="L364" s="61">
        <v>84</v>
      </c>
      <c r="M364" s="61">
        <v>2</v>
      </c>
      <c r="N364" s="61">
        <v>8.9999999999999993E-3</v>
      </c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1"/>
      <c r="AB364" s="1"/>
      <c r="AC364" s="245"/>
      <c r="AD364" s="56"/>
      <c r="AF364" s="151"/>
      <c r="AJ364" s="136"/>
      <c r="AM364" s="145"/>
    </row>
    <row r="365" spans="1:49" ht="12.75" customHeight="1" x14ac:dyDescent="0.25">
      <c r="A365" s="1126"/>
      <c r="B365" s="57" t="s">
        <v>1179</v>
      </c>
      <c r="C365" s="51">
        <f>C355</f>
        <v>22.420123808013045</v>
      </c>
      <c r="D365" s="220"/>
      <c r="E365" s="68" t="s">
        <v>1598</v>
      </c>
      <c r="F365" s="69" t="s">
        <v>1441</v>
      </c>
      <c r="G365" s="70">
        <v>4.4000000000000004</v>
      </c>
      <c r="H365" s="70">
        <v>1</v>
      </c>
      <c r="I365" s="71">
        <f t="shared" si="21"/>
        <v>4.4000000000000004</v>
      </c>
      <c r="J365" s="59" t="s">
        <v>1513</v>
      </c>
      <c r="K365" s="61">
        <v>2</v>
      </c>
      <c r="L365" s="61">
        <v>25</v>
      </c>
      <c r="M365" s="61">
        <v>0.5</v>
      </c>
      <c r="N365" s="61">
        <v>2.5000000000000001E-2</v>
      </c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1"/>
      <c r="AB365" s="1"/>
      <c r="AC365" s="245"/>
      <c r="AD365" s="56"/>
      <c r="AF365" s="151"/>
      <c r="AJ365" s="136"/>
    </row>
    <row r="366" spans="1:49" ht="12.75" customHeight="1" x14ac:dyDescent="0.25">
      <c r="A366" s="1126"/>
      <c r="B366" s="57" t="s">
        <v>1180</v>
      </c>
      <c r="C366" s="77"/>
      <c r="D366" s="220"/>
      <c r="E366" s="68" t="s">
        <v>8</v>
      </c>
      <c r="F366" s="69" t="s">
        <v>1441</v>
      </c>
      <c r="G366" s="70">
        <v>0.82</v>
      </c>
      <c r="H366" s="69">
        <v>1</v>
      </c>
      <c r="I366" s="71">
        <f t="shared" si="21"/>
        <v>0.82</v>
      </c>
      <c r="J366" s="59"/>
      <c r="K366" s="61"/>
      <c r="L366" s="61"/>
      <c r="M366" s="61"/>
      <c r="N366" s="61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1"/>
      <c r="AB366" s="1"/>
      <c r="AC366" s="245"/>
      <c r="AD366" s="56"/>
      <c r="AF366" s="151"/>
      <c r="AJ366" s="136"/>
    </row>
    <row r="367" spans="1:49" ht="12.75" customHeight="1" x14ac:dyDescent="0.25">
      <c r="A367" s="1126"/>
      <c r="B367" s="74" t="s">
        <v>1178</v>
      </c>
      <c r="C367" s="78">
        <v>1</v>
      </c>
      <c r="D367" s="220"/>
      <c r="E367" s="68" t="s">
        <v>1442</v>
      </c>
      <c r="F367" s="69" t="s">
        <v>1443</v>
      </c>
      <c r="G367" s="70">
        <v>419.5</v>
      </c>
      <c r="H367" s="69">
        <v>1E-3</v>
      </c>
      <c r="I367" s="71">
        <f t="shared" si="21"/>
        <v>0.41949999999999998</v>
      </c>
      <c r="J367" s="59"/>
      <c r="K367" s="61"/>
      <c r="L367" s="61"/>
      <c r="M367" s="61"/>
      <c r="N367" s="61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1"/>
      <c r="AB367" s="1"/>
      <c r="AC367" s="245"/>
      <c r="AD367" s="56"/>
      <c r="AF367" s="151"/>
      <c r="AJ367" s="146"/>
    </row>
    <row r="368" spans="1:49" ht="12.75" customHeight="1" x14ac:dyDescent="0.25">
      <c r="A368" s="1126"/>
      <c r="B368" s="57" t="s">
        <v>1179</v>
      </c>
      <c r="C368" s="78">
        <v>0.8</v>
      </c>
      <c r="D368" s="220"/>
      <c r="E368" s="68" t="s">
        <v>1444</v>
      </c>
      <c r="F368" s="69" t="s">
        <v>1443</v>
      </c>
      <c r="G368" s="70">
        <v>872</v>
      </c>
      <c r="H368" s="69">
        <v>2E-3</v>
      </c>
      <c r="I368" s="71">
        <f t="shared" si="21"/>
        <v>1.744</v>
      </c>
      <c r="J368" s="59"/>
      <c r="K368" s="61"/>
      <c r="L368" s="61"/>
      <c r="M368" s="61"/>
      <c r="N368" s="61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1"/>
      <c r="AB368" s="1"/>
      <c r="AC368" s="245"/>
      <c r="AD368" s="56"/>
      <c r="AF368" s="151"/>
      <c r="AJ368" s="146"/>
    </row>
    <row r="369" spans="1:53" ht="12.75" customHeight="1" x14ac:dyDescent="0.25">
      <c r="A369" s="1126"/>
      <c r="B369" s="79" t="s">
        <v>1181</v>
      </c>
      <c r="C369" s="51">
        <f>C364*C367+C365*C368</f>
        <v>51.603808498644625</v>
      </c>
      <c r="D369" s="220"/>
      <c r="E369" s="68"/>
      <c r="F369" s="166"/>
      <c r="G369" s="70"/>
      <c r="H369" s="69"/>
      <c r="I369" s="71"/>
      <c r="J369" s="59"/>
      <c r="K369" s="170"/>
      <c r="L369" s="61"/>
      <c r="M369" s="61"/>
      <c r="N369" s="61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1"/>
      <c r="AB369" s="1"/>
      <c r="AC369" s="245"/>
      <c r="AD369" s="56"/>
      <c r="AF369" s="151"/>
      <c r="AJ369" s="136"/>
    </row>
    <row r="370" spans="1:53" ht="12.75" customHeight="1" x14ac:dyDescent="0.25">
      <c r="A370" s="1126"/>
      <c r="B370" s="79"/>
      <c r="C370" s="78"/>
      <c r="D370" s="221"/>
      <c r="E370" s="57"/>
      <c r="F370" s="167"/>
      <c r="G370" s="70"/>
      <c r="H370" s="58"/>
      <c r="I370" s="71"/>
      <c r="J370" s="59"/>
      <c r="K370" s="170"/>
      <c r="L370" s="61"/>
      <c r="M370" s="61"/>
      <c r="N370" s="61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1"/>
      <c r="AB370" s="1"/>
      <c r="AC370" s="245"/>
      <c r="AD370" s="56"/>
      <c r="AF370" s="67"/>
      <c r="AJ370" s="146"/>
    </row>
    <row r="371" spans="1:53" s="803" customFormat="1" ht="56.25" customHeight="1" x14ac:dyDescent="0.25">
      <c r="A371" s="1122" t="s">
        <v>191</v>
      </c>
      <c r="B371" s="753" t="s">
        <v>1017</v>
      </c>
      <c r="C371" s="837"/>
      <c r="D371" s="834"/>
      <c r="E371" s="791" t="s">
        <v>488</v>
      </c>
      <c r="F371" s="792" t="s">
        <v>837</v>
      </c>
      <c r="G371" s="837" t="s">
        <v>489</v>
      </c>
      <c r="H371" s="791" t="s">
        <v>1170</v>
      </c>
      <c r="I371" s="792" t="s">
        <v>838</v>
      </c>
      <c r="J371" s="793" t="s">
        <v>1171</v>
      </c>
      <c r="K371" s="793" t="s">
        <v>490</v>
      </c>
      <c r="L371" s="794" t="s">
        <v>489</v>
      </c>
      <c r="M371" s="793" t="s">
        <v>1172</v>
      </c>
      <c r="N371" s="792" t="s">
        <v>838</v>
      </c>
      <c r="O371" s="793" t="s">
        <v>1171</v>
      </c>
      <c r="P371" s="793" t="s">
        <v>826</v>
      </c>
      <c r="Q371" s="793" t="s">
        <v>1173</v>
      </c>
      <c r="R371" s="793" t="s">
        <v>1174</v>
      </c>
      <c r="S371" s="793" t="s">
        <v>839</v>
      </c>
      <c r="T371" s="793" t="s">
        <v>1171</v>
      </c>
      <c r="U371" s="793" t="s">
        <v>1392</v>
      </c>
      <c r="V371" s="793" t="s">
        <v>841</v>
      </c>
      <c r="W371" s="795" t="s">
        <v>1173</v>
      </c>
      <c r="X371" s="793" t="s">
        <v>1394</v>
      </c>
      <c r="Y371" s="793" t="s">
        <v>839</v>
      </c>
      <c r="Z371" s="796"/>
      <c r="AA371" s="755"/>
      <c r="AB371" s="755"/>
      <c r="AC371" s="773"/>
      <c r="AD371" s="802"/>
      <c r="AF371" s="804"/>
      <c r="AG371" s="802"/>
      <c r="AH371" s="805"/>
      <c r="AI371" s="805"/>
      <c r="AJ371" s="805"/>
      <c r="AK371" s="805"/>
      <c r="AL371" s="806"/>
      <c r="AM371" s="805"/>
      <c r="AN371" s="805"/>
      <c r="AO371" s="807"/>
      <c r="AP371" s="805"/>
      <c r="AQ371" s="808"/>
      <c r="AR371" s="808"/>
      <c r="AS371" s="808"/>
      <c r="AT371" s="805"/>
      <c r="AU371" s="805"/>
      <c r="AV371" s="807"/>
      <c r="AW371" s="802"/>
      <c r="AX371" s="802"/>
      <c r="AY371" s="802"/>
      <c r="AZ371" s="802"/>
      <c r="BA371" s="802"/>
    </row>
    <row r="372" spans="1:53" s="803" customFormat="1" ht="12" customHeight="1" x14ac:dyDescent="0.25">
      <c r="A372" s="1122"/>
      <c r="B372" s="752" t="s">
        <v>1175</v>
      </c>
      <c r="C372" s="837">
        <f>C379</f>
        <v>24.662136188814351</v>
      </c>
      <c r="D372" s="834">
        <f>C372*$D$5</f>
        <v>4.9817515101404997</v>
      </c>
      <c r="E372" s="754" t="s">
        <v>1176</v>
      </c>
      <c r="F372" s="810"/>
      <c r="G372" s="756"/>
      <c r="H372" s="756"/>
      <c r="I372" s="757">
        <f>SUM(I373:I380)</f>
        <v>7.3936000000000011</v>
      </c>
      <c r="J372" s="758" t="s">
        <v>1176</v>
      </c>
      <c r="K372" s="811"/>
      <c r="L372" s="759"/>
      <c r="M372" s="759"/>
      <c r="N372" s="760">
        <f>SUM(N373:N380)</f>
        <v>9.0200473521382385E-2</v>
      </c>
      <c r="O372" s="759" t="s">
        <v>1176</v>
      </c>
      <c r="P372" s="759"/>
      <c r="Q372" s="812"/>
      <c r="R372" s="813"/>
      <c r="S372" s="760">
        <f>SUM(S373:S380)</f>
        <v>9.8377551924086384E-2</v>
      </c>
      <c r="T372" s="760"/>
      <c r="U372" s="760"/>
      <c r="V372" s="760"/>
      <c r="W372" s="760"/>
      <c r="X372" s="760"/>
      <c r="Y372" s="760">
        <f>SUM(Y373:Y380)</f>
        <v>4.3489191438431192</v>
      </c>
      <c r="Z372" s="762">
        <f>(C372+D372+I372+N372+S372+Y372)*$Z$5</f>
        <v>54.055283653819345</v>
      </c>
      <c r="AA372" s="763">
        <f>C372+D372+I372+N372+S372+Y372+Z372</f>
        <v>95.630268522062778</v>
      </c>
      <c r="AB372" s="764">
        <v>0.25</v>
      </c>
      <c r="AC372" s="765">
        <f>AA372*(1+AB372)</f>
        <v>119.53783565257848</v>
      </c>
      <c r="AD372" s="814"/>
      <c r="AF372" s="804"/>
      <c r="AG372" s="802"/>
      <c r="AH372" s="805"/>
      <c r="AI372" s="808"/>
      <c r="AJ372" s="815"/>
      <c r="AK372" s="816"/>
      <c r="AL372" s="806"/>
      <c r="AM372" s="817"/>
      <c r="AN372" s="818"/>
      <c r="AO372" s="817"/>
      <c r="AP372" s="808"/>
      <c r="AQ372" s="808"/>
      <c r="AR372" s="808"/>
      <c r="AS372" s="808"/>
      <c r="AT372" s="808"/>
      <c r="AU372" s="817"/>
      <c r="AV372" s="817"/>
      <c r="AW372" s="819"/>
      <c r="AX372" s="802"/>
      <c r="AY372" s="802"/>
      <c r="AZ372" s="802"/>
      <c r="BA372" s="802"/>
    </row>
    <row r="373" spans="1:53" s="803" customFormat="1" ht="12.75" customHeight="1" x14ac:dyDescent="0.25">
      <c r="A373" s="1122"/>
      <c r="B373" s="766" t="s">
        <v>1177</v>
      </c>
      <c r="C373" s="837"/>
      <c r="D373" s="835"/>
      <c r="E373" s="767" t="s">
        <v>1437</v>
      </c>
      <c r="F373" s="768" t="s">
        <v>1438</v>
      </c>
      <c r="G373" s="769">
        <v>0.74</v>
      </c>
      <c r="H373" s="768">
        <v>0.01</v>
      </c>
      <c r="I373" s="770">
        <f t="shared" ref="I373:I378" si="22">G373*H373</f>
        <v>7.4000000000000003E-3</v>
      </c>
      <c r="J373" s="758" t="s">
        <v>1291</v>
      </c>
      <c r="K373" s="760">
        <v>2</v>
      </c>
      <c r="L373" s="760">
        <v>750</v>
      </c>
      <c r="M373" s="760">
        <v>2</v>
      </c>
      <c r="N373" s="786">
        <f>L373/'Исп. коэффициенты'!E52*(C377+C378)</f>
        <v>7.7759028897743443E-2</v>
      </c>
      <c r="O373" s="759" t="s">
        <v>186</v>
      </c>
      <c r="P373" s="759">
        <v>5303.64</v>
      </c>
      <c r="Q373" s="759">
        <v>19.68</v>
      </c>
      <c r="R373" s="759">
        <f>P373*Q373%</f>
        <v>1043.7563520000001</v>
      </c>
      <c r="S373" s="759">
        <f>R373/'Исп. коэффициенты'!E52</f>
        <v>9.8377551924086384E-2</v>
      </c>
      <c r="T373" s="755" t="s">
        <v>1435</v>
      </c>
      <c r="U373" s="756">
        <v>6785401.3499999996</v>
      </c>
      <c r="V373" s="785">
        <f>'Исп. коэффициенты'!E124</f>
        <v>2978.5</v>
      </c>
      <c r="W373" s="761">
        <f>'Исп. коэффициенты'!D124</f>
        <v>1.3599999999999999E-2</v>
      </c>
      <c r="X373" s="760">
        <f>U373*W373</f>
        <v>92281.45835999999</v>
      </c>
      <c r="Y373" s="759">
        <f>X373/'Исп. коэффициенты'!E52/2</f>
        <v>4.3489191438431192</v>
      </c>
      <c r="Z373" s="759"/>
      <c r="AA373" s="755"/>
      <c r="AB373" s="755"/>
      <c r="AC373" s="773"/>
      <c r="AD373" s="802"/>
      <c r="AF373" s="821"/>
      <c r="AG373" s="802"/>
      <c r="AH373" s="805"/>
      <c r="AI373" s="805"/>
      <c r="AJ373" s="822"/>
      <c r="AK373" s="805"/>
      <c r="AL373" s="806"/>
      <c r="AM373" s="805"/>
      <c r="AN373" s="805"/>
      <c r="AO373" s="807"/>
      <c r="AP373" s="805"/>
      <c r="AQ373" s="805"/>
      <c r="AR373" s="807"/>
      <c r="AS373" s="807"/>
      <c r="AT373" s="808"/>
      <c r="AU373" s="805"/>
      <c r="AV373" s="807"/>
      <c r="AW373" s="802"/>
      <c r="AX373" s="802"/>
      <c r="AY373" s="802"/>
      <c r="AZ373" s="802"/>
      <c r="BA373" s="802"/>
    </row>
    <row r="374" spans="1:53" s="803" customFormat="1" x14ac:dyDescent="0.25">
      <c r="A374" s="1122"/>
      <c r="B374" s="774" t="s">
        <v>1178</v>
      </c>
      <c r="C374" s="753"/>
      <c r="D374" s="835"/>
      <c r="E374" s="767" t="s">
        <v>1439</v>
      </c>
      <c r="F374" s="768" t="s">
        <v>1438</v>
      </c>
      <c r="G374" s="769">
        <v>0.27</v>
      </c>
      <c r="H374" s="768">
        <v>0.01</v>
      </c>
      <c r="I374" s="775">
        <f t="shared" si="22"/>
        <v>2.7000000000000001E-3</v>
      </c>
      <c r="J374" s="758" t="s">
        <v>1445</v>
      </c>
      <c r="K374" s="760">
        <v>2</v>
      </c>
      <c r="L374" s="760">
        <v>95</v>
      </c>
      <c r="M374" s="760">
        <v>2</v>
      </c>
      <c r="N374" s="786">
        <f>L374/'Исп. коэффициенты'!E52*(C377+C378)</f>
        <v>9.8494769937141693E-3</v>
      </c>
      <c r="O374" s="759"/>
      <c r="P374" s="759"/>
      <c r="Q374" s="759"/>
      <c r="R374" s="759"/>
      <c r="S374" s="759"/>
      <c r="T374" s="759"/>
      <c r="U374" s="759"/>
      <c r="V374" s="759"/>
      <c r="W374" s="759"/>
      <c r="X374" s="759"/>
      <c r="Y374" s="759"/>
      <c r="Z374" s="759"/>
      <c r="AA374" s="755"/>
      <c r="AB374" s="755"/>
      <c r="AC374" s="773"/>
      <c r="AD374" s="802"/>
      <c r="AF374" s="821"/>
      <c r="AG374" s="802"/>
      <c r="AH374" s="805"/>
      <c r="AI374" s="805"/>
      <c r="AJ374" s="822"/>
      <c r="AK374" s="805"/>
      <c r="AL374" s="806"/>
      <c r="AM374" s="824"/>
      <c r="AN374" s="805"/>
      <c r="AO374" s="807"/>
      <c r="AP374" s="805"/>
      <c r="AQ374" s="805"/>
      <c r="AR374" s="807"/>
      <c r="AS374" s="807"/>
      <c r="AT374" s="805"/>
      <c r="AU374" s="805"/>
      <c r="AV374" s="807"/>
      <c r="AW374" s="802"/>
      <c r="AX374" s="802"/>
      <c r="AY374" s="802"/>
      <c r="AZ374" s="802"/>
      <c r="BA374" s="802"/>
    </row>
    <row r="375" spans="1:53" s="803" customFormat="1" ht="12.75" customHeight="1" x14ac:dyDescent="0.25">
      <c r="A375" s="1122"/>
      <c r="B375" s="754" t="s">
        <v>1179</v>
      </c>
      <c r="C375" s="837">
        <f>C365</f>
        <v>22.420123808013045</v>
      </c>
      <c r="D375" s="835"/>
      <c r="E375" s="767" t="s">
        <v>1598</v>
      </c>
      <c r="F375" s="768" t="s">
        <v>1441</v>
      </c>
      <c r="G375" s="769">
        <v>4.4000000000000004</v>
      </c>
      <c r="H375" s="769">
        <v>1</v>
      </c>
      <c r="I375" s="770">
        <f t="shared" si="22"/>
        <v>4.4000000000000004</v>
      </c>
      <c r="J375" s="758" t="s">
        <v>1513</v>
      </c>
      <c r="K375" s="760">
        <v>2</v>
      </c>
      <c r="L375" s="760">
        <v>25</v>
      </c>
      <c r="M375" s="760">
        <v>0.5</v>
      </c>
      <c r="N375" s="786">
        <f>L375/'Исп. коэффициенты'!E52*(C377+C378)</f>
        <v>2.5919676299247813E-3</v>
      </c>
      <c r="O375" s="759"/>
      <c r="P375" s="759"/>
      <c r="Q375" s="759"/>
      <c r="R375" s="759"/>
      <c r="S375" s="759"/>
      <c r="T375" s="759"/>
      <c r="U375" s="759"/>
      <c r="V375" s="759"/>
      <c r="W375" s="759"/>
      <c r="X375" s="759"/>
      <c r="Y375" s="759"/>
      <c r="Z375" s="759"/>
      <c r="AA375" s="755"/>
      <c r="AB375" s="755"/>
      <c r="AC375" s="773"/>
      <c r="AD375" s="802"/>
      <c r="AF375" s="821"/>
      <c r="AG375" s="802"/>
      <c r="AH375" s="805"/>
      <c r="AI375" s="805"/>
      <c r="AJ375" s="822"/>
      <c r="AK375" s="805"/>
      <c r="AL375" s="806"/>
      <c r="AM375" s="805"/>
      <c r="AN375" s="805"/>
      <c r="AO375" s="807"/>
      <c r="AP375" s="805"/>
      <c r="AQ375" s="805"/>
      <c r="AR375" s="807"/>
      <c r="AS375" s="807"/>
      <c r="AT375" s="805"/>
      <c r="AU375" s="805"/>
      <c r="AV375" s="807"/>
      <c r="AW375" s="802"/>
      <c r="AX375" s="802"/>
      <c r="AY375" s="802"/>
      <c r="AZ375" s="802"/>
      <c r="BA375" s="802"/>
    </row>
    <row r="376" spans="1:53" s="803" customFormat="1" ht="12.75" customHeight="1" x14ac:dyDescent="0.25">
      <c r="A376" s="1122"/>
      <c r="B376" s="754" t="s">
        <v>1180</v>
      </c>
      <c r="C376" s="789"/>
      <c r="D376" s="835"/>
      <c r="E376" s="767" t="s">
        <v>8</v>
      </c>
      <c r="F376" s="768" t="s">
        <v>1441</v>
      </c>
      <c r="G376" s="769">
        <v>0.82</v>
      </c>
      <c r="H376" s="768">
        <v>1</v>
      </c>
      <c r="I376" s="770">
        <f t="shared" si="22"/>
        <v>0.82</v>
      </c>
      <c r="J376" s="758"/>
      <c r="K376" s="760"/>
      <c r="L376" s="760"/>
      <c r="M376" s="760"/>
      <c r="N376" s="760"/>
      <c r="O376" s="759"/>
      <c r="P376" s="759"/>
      <c r="Q376" s="759"/>
      <c r="R376" s="759"/>
      <c r="S376" s="759"/>
      <c r="T376" s="759"/>
      <c r="U376" s="759"/>
      <c r="V376" s="759"/>
      <c r="W376" s="759"/>
      <c r="X376" s="759"/>
      <c r="Y376" s="759"/>
      <c r="Z376" s="759"/>
      <c r="AA376" s="755"/>
      <c r="AB376" s="755"/>
      <c r="AC376" s="773"/>
      <c r="AD376" s="802"/>
      <c r="AF376" s="821"/>
      <c r="AG376" s="802"/>
      <c r="AH376" s="805"/>
      <c r="AI376" s="805"/>
      <c r="AJ376" s="822"/>
      <c r="AK376" s="805"/>
      <c r="AL376" s="806"/>
      <c r="AM376" s="805"/>
      <c r="AN376" s="805"/>
      <c r="AO376" s="807"/>
      <c r="AP376" s="805"/>
      <c r="AQ376" s="805"/>
      <c r="AR376" s="807"/>
      <c r="AS376" s="807"/>
      <c r="AT376" s="805"/>
      <c r="AU376" s="805"/>
      <c r="AV376" s="807"/>
      <c r="AW376" s="802"/>
      <c r="AX376" s="802"/>
      <c r="AY376" s="802"/>
      <c r="AZ376" s="802"/>
      <c r="BA376" s="802"/>
    </row>
    <row r="377" spans="1:53" s="803" customFormat="1" ht="12.75" customHeight="1" x14ac:dyDescent="0.25">
      <c r="A377" s="1122"/>
      <c r="B377" s="774" t="s">
        <v>1178</v>
      </c>
      <c r="C377" s="784"/>
      <c r="D377" s="835"/>
      <c r="E377" s="767" t="s">
        <v>1442</v>
      </c>
      <c r="F377" s="768" t="s">
        <v>1443</v>
      </c>
      <c r="G377" s="769">
        <v>419.5</v>
      </c>
      <c r="H377" s="768">
        <v>1E-3</v>
      </c>
      <c r="I377" s="770">
        <f t="shared" si="22"/>
        <v>0.41949999999999998</v>
      </c>
      <c r="J377" s="758"/>
      <c r="K377" s="760"/>
      <c r="L377" s="760"/>
      <c r="M377" s="760"/>
      <c r="N377" s="760"/>
      <c r="O377" s="759"/>
      <c r="P377" s="759"/>
      <c r="Q377" s="759"/>
      <c r="R377" s="759"/>
      <c r="S377" s="759"/>
      <c r="T377" s="759"/>
      <c r="U377" s="759"/>
      <c r="V377" s="759"/>
      <c r="W377" s="759"/>
      <c r="X377" s="759"/>
      <c r="Y377" s="759"/>
      <c r="Z377" s="759"/>
      <c r="AA377" s="755"/>
      <c r="AB377" s="755"/>
      <c r="AC377" s="773"/>
      <c r="AD377" s="802"/>
      <c r="AF377" s="821"/>
      <c r="AG377" s="802"/>
      <c r="AH377" s="805"/>
      <c r="AI377" s="805"/>
      <c r="AJ377" s="827"/>
      <c r="AK377" s="805"/>
      <c r="AL377" s="806"/>
      <c r="AM377" s="805"/>
      <c r="AN377" s="805"/>
      <c r="AO377" s="807"/>
      <c r="AP377" s="805"/>
      <c r="AQ377" s="805"/>
      <c r="AR377" s="807"/>
      <c r="AS377" s="807"/>
      <c r="AT377" s="805"/>
      <c r="AU377" s="805"/>
      <c r="AV377" s="807"/>
      <c r="AW377" s="802"/>
      <c r="AX377" s="802"/>
      <c r="AY377" s="802"/>
      <c r="AZ377" s="802"/>
      <c r="BA377" s="802"/>
    </row>
    <row r="378" spans="1:53" s="803" customFormat="1" ht="12.75" customHeight="1" x14ac:dyDescent="0.25">
      <c r="A378" s="1122"/>
      <c r="B378" s="754" t="s">
        <v>1179</v>
      </c>
      <c r="C378" s="784">
        <v>1.1000000000000001</v>
      </c>
      <c r="D378" s="835"/>
      <c r="E378" s="767" t="s">
        <v>1444</v>
      </c>
      <c r="F378" s="768" t="s">
        <v>1443</v>
      </c>
      <c r="G378" s="769">
        <v>872</v>
      </c>
      <c r="H378" s="768">
        <v>2E-3</v>
      </c>
      <c r="I378" s="770">
        <f t="shared" si="22"/>
        <v>1.744</v>
      </c>
      <c r="J378" s="758"/>
      <c r="K378" s="760"/>
      <c r="L378" s="760"/>
      <c r="M378" s="760"/>
      <c r="N378" s="760"/>
      <c r="O378" s="759"/>
      <c r="P378" s="759"/>
      <c r="Q378" s="759"/>
      <c r="R378" s="759"/>
      <c r="S378" s="759"/>
      <c r="T378" s="759"/>
      <c r="U378" s="759"/>
      <c r="V378" s="759"/>
      <c r="W378" s="759"/>
      <c r="X378" s="759"/>
      <c r="Y378" s="759"/>
      <c r="Z378" s="759"/>
      <c r="AA378" s="755"/>
      <c r="AB378" s="755"/>
      <c r="AC378" s="773"/>
      <c r="AD378" s="802"/>
      <c r="AF378" s="821"/>
      <c r="AG378" s="802"/>
      <c r="AH378" s="805"/>
      <c r="AI378" s="805"/>
      <c r="AJ378" s="827"/>
      <c r="AK378" s="805"/>
      <c r="AL378" s="806"/>
      <c r="AM378" s="805"/>
      <c r="AN378" s="805"/>
      <c r="AO378" s="807"/>
      <c r="AP378" s="805"/>
      <c r="AQ378" s="805"/>
      <c r="AR378" s="807"/>
      <c r="AS378" s="807"/>
      <c r="AT378" s="805"/>
      <c r="AU378" s="805"/>
      <c r="AV378" s="807"/>
      <c r="AW378" s="802"/>
      <c r="AX378" s="802"/>
      <c r="AY378" s="802"/>
      <c r="AZ378" s="802"/>
      <c r="BA378" s="802"/>
    </row>
    <row r="379" spans="1:53" s="803" customFormat="1" ht="12.75" customHeight="1" x14ac:dyDescent="0.25">
      <c r="A379" s="1122"/>
      <c r="B379" s="782" t="s">
        <v>1181</v>
      </c>
      <c r="C379" s="837">
        <f>C374*C377+C375*C378</f>
        <v>24.662136188814351</v>
      </c>
      <c r="D379" s="835"/>
      <c r="E379" s="767"/>
      <c r="F379" s="781"/>
      <c r="G379" s="769"/>
      <c r="H379" s="768"/>
      <c r="I379" s="770"/>
      <c r="J379" s="758"/>
      <c r="K379" s="828"/>
      <c r="L379" s="760"/>
      <c r="M379" s="760"/>
      <c r="N379" s="760"/>
      <c r="O379" s="759"/>
      <c r="P379" s="759"/>
      <c r="Q379" s="759"/>
      <c r="R379" s="759"/>
      <c r="S379" s="759"/>
      <c r="T379" s="759"/>
      <c r="U379" s="759"/>
      <c r="V379" s="759"/>
      <c r="W379" s="759"/>
      <c r="X379" s="759"/>
      <c r="Y379" s="759"/>
      <c r="Z379" s="759"/>
      <c r="AA379" s="755"/>
      <c r="AB379" s="755"/>
      <c r="AC379" s="773"/>
      <c r="AD379" s="802"/>
      <c r="AF379" s="821"/>
      <c r="AG379" s="802"/>
      <c r="AH379" s="805"/>
      <c r="AI379" s="805"/>
      <c r="AJ379" s="822"/>
      <c r="AK379" s="805"/>
      <c r="AL379" s="806"/>
      <c r="AM379" s="805"/>
      <c r="AN379" s="805"/>
      <c r="AO379" s="807"/>
      <c r="AP379" s="805"/>
      <c r="AQ379" s="805"/>
      <c r="AR379" s="807"/>
      <c r="AS379" s="807"/>
      <c r="AT379" s="805"/>
      <c r="AU379" s="805"/>
      <c r="AV379" s="807"/>
      <c r="AW379" s="802"/>
      <c r="AX379" s="802"/>
      <c r="AY379" s="802"/>
      <c r="AZ379" s="802"/>
      <c r="BA379" s="802"/>
    </row>
    <row r="380" spans="1:53" s="803" customFormat="1" ht="12.75" customHeight="1" x14ac:dyDescent="0.25">
      <c r="A380" s="1122"/>
      <c r="B380" s="782"/>
      <c r="C380" s="784"/>
      <c r="D380" s="836"/>
      <c r="E380" s="754"/>
      <c r="F380" s="857"/>
      <c r="G380" s="769"/>
      <c r="H380" s="756"/>
      <c r="I380" s="770"/>
      <c r="J380" s="758"/>
      <c r="K380" s="828"/>
      <c r="L380" s="760"/>
      <c r="M380" s="760"/>
      <c r="N380" s="760"/>
      <c r="O380" s="759"/>
      <c r="P380" s="759"/>
      <c r="Q380" s="759"/>
      <c r="R380" s="759"/>
      <c r="S380" s="759"/>
      <c r="T380" s="759"/>
      <c r="U380" s="759"/>
      <c r="V380" s="759"/>
      <c r="W380" s="759"/>
      <c r="X380" s="759"/>
      <c r="Y380" s="759"/>
      <c r="Z380" s="759"/>
      <c r="AA380" s="755"/>
      <c r="AB380" s="755"/>
      <c r="AC380" s="773"/>
      <c r="AD380" s="802"/>
      <c r="AF380" s="814"/>
      <c r="AG380" s="802"/>
      <c r="AH380" s="805"/>
      <c r="AI380" s="805"/>
      <c r="AJ380" s="827"/>
      <c r="AK380" s="805"/>
      <c r="AL380" s="806"/>
      <c r="AM380" s="805"/>
      <c r="AN380" s="805"/>
      <c r="AO380" s="807"/>
      <c r="AP380" s="805"/>
      <c r="AQ380" s="805"/>
      <c r="AR380" s="807"/>
      <c r="AS380" s="807"/>
      <c r="AT380" s="805"/>
      <c r="AU380" s="805"/>
      <c r="AV380" s="807"/>
      <c r="AW380" s="802"/>
      <c r="AX380" s="802"/>
      <c r="AY380" s="802"/>
      <c r="AZ380" s="802"/>
      <c r="BA380" s="802"/>
    </row>
    <row r="381" spans="1:53" s="803" customFormat="1" ht="56.25" customHeight="1" x14ac:dyDescent="0.25">
      <c r="A381" s="1122" t="s">
        <v>531</v>
      </c>
      <c r="B381" s="753"/>
      <c r="C381" s="837"/>
      <c r="D381" s="834"/>
      <c r="E381" s="791" t="s">
        <v>488</v>
      </c>
      <c r="F381" s="792" t="s">
        <v>837</v>
      </c>
      <c r="G381" s="837" t="s">
        <v>489</v>
      </c>
      <c r="H381" s="791" t="s">
        <v>1170</v>
      </c>
      <c r="I381" s="792" t="s">
        <v>838</v>
      </c>
      <c r="J381" s="793" t="s">
        <v>1171</v>
      </c>
      <c r="K381" s="793" t="s">
        <v>490</v>
      </c>
      <c r="L381" s="794" t="s">
        <v>489</v>
      </c>
      <c r="M381" s="793" t="s">
        <v>1172</v>
      </c>
      <c r="N381" s="792" t="s">
        <v>838</v>
      </c>
      <c r="O381" s="793" t="s">
        <v>1171</v>
      </c>
      <c r="P381" s="793" t="s">
        <v>826</v>
      </c>
      <c r="Q381" s="793" t="s">
        <v>1173</v>
      </c>
      <c r="R381" s="793" t="s">
        <v>1174</v>
      </c>
      <c r="S381" s="793" t="s">
        <v>839</v>
      </c>
      <c r="T381" s="793" t="s">
        <v>1171</v>
      </c>
      <c r="U381" s="793" t="s">
        <v>1392</v>
      </c>
      <c r="V381" s="793" t="s">
        <v>841</v>
      </c>
      <c r="W381" s="795" t="s">
        <v>1173</v>
      </c>
      <c r="X381" s="793" t="s">
        <v>1394</v>
      </c>
      <c r="Y381" s="793" t="s">
        <v>839</v>
      </c>
      <c r="Z381" s="796"/>
      <c r="AA381" s="755"/>
      <c r="AB381" s="755"/>
      <c r="AC381" s="773"/>
      <c r="AD381" s="802"/>
      <c r="AF381" s="804"/>
      <c r="AG381" s="802"/>
      <c r="AH381" s="805"/>
      <c r="AI381" s="805"/>
      <c r="AJ381" s="805"/>
      <c r="AK381" s="805"/>
      <c r="AL381" s="806"/>
      <c r="AM381" s="805"/>
      <c r="AN381" s="805"/>
      <c r="AO381" s="807"/>
      <c r="AP381" s="805"/>
      <c r="AQ381" s="808"/>
      <c r="AR381" s="808"/>
      <c r="AS381" s="808"/>
      <c r="AT381" s="805"/>
      <c r="AU381" s="805"/>
      <c r="AV381" s="807"/>
      <c r="AW381" s="802"/>
      <c r="AX381" s="802"/>
      <c r="AY381" s="802"/>
      <c r="AZ381" s="802"/>
      <c r="BA381" s="802"/>
    </row>
    <row r="382" spans="1:53" s="803" customFormat="1" ht="12" customHeight="1" x14ac:dyDescent="0.25">
      <c r="A382" s="1122"/>
      <c r="B382" s="752" t="s">
        <v>1175</v>
      </c>
      <c r="C382" s="837">
        <f>C389</f>
        <v>35.872198092820874</v>
      </c>
      <c r="D382" s="834">
        <f>C382*$D$5</f>
        <v>7.2461840147498169</v>
      </c>
      <c r="E382" s="754" t="s">
        <v>1176</v>
      </c>
      <c r="F382" s="810"/>
      <c r="G382" s="756"/>
      <c r="H382" s="756"/>
      <c r="I382" s="757">
        <f>SUM(I383:I390)</f>
        <v>7.3936000000000011</v>
      </c>
      <c r="J382" s="758" t="s">
        <v>1176</v>
      </c>
      <c r="K382" s="811"/>
      <c r="L382" s="759"/>
      <c r="M382" s="759"/>
      <c r="N382" s="760">
        <f>SUM(N383:N390)</f>
        <v>0.13120068875837437</v>
      </c>
      <c r="O382" s="759" t="s">
        <v>1176</v>
      </c>
      <c r="P382" s="759"/>
      <c r="Q382" s="812"/>
      <c r="R382" s="813"/>
      <c r="S382" s="760">
        <f>SUM(S383:S390)</f>
        <v>9.8377551924086384E-2</v>
      </c>
      <c r="T382" s="760"/>
      <c r="U382" s="760"/>
      <c r="V382" s="760"/>
      <c r="W382" s="760"/>
      <c r="X382" s="760"/>
      <c r="Y382" s="760">
        <f>SUM(Y383:Y390)</f>
        <v>4.3489191438431192</v>
      </c>
      <c r="Z382" s="762">
        <f>(C382+D382+I382+N382+S382+Y382)*$Z$5</f>
        <v>71.627963425786817</v>
      </c>
      <c r="AA382" s="763">
        <f>C382+D382+I382+N382+S382+Y382+Z382</f>
        <v>126.7184429178831</v>
      </c>
      <c r="AB382" s="764">
        <v>0.25</v>
      </c>
      <c r="AC382" s="765">
        <f>AA382*(1+AB382)</f>
        <v>158.39805364735386</v>
      </c>
      <c r="AD382" s="814"/>
      <c r="AF382" s="804"/>
      <c r="AG382" s="802"/>
      <c r="AH382" s="805"/>
      <c r="AI382" s="808"/>
      <c r="AJ382" s="815"/>
      <c r="AK382" s="816"/>
      <c r="AL382" s="806"/>
      <c r="AM382" s="817"/>
      <c r="AN382" s="818"/>
      <c r="AO382" s="817"/>
      <c r="AP382" s="808"/>
      <c r="AQ382" s="808"/>
      <c r="AR382" s="808"/>
      <c r="AS382" s="808"/>
      <c r="AT382" s="808"/>
      <c r="AU382" s="817"/>
      <c r="AV382" s="817"/>
      <c r="AW382" s="819"/>
      <c r="AX382" s="802"/>
      <c r="AY382" s="802"/>
      <c r="AZ382" s="802"/>
      <c r="BA382" s="802"/>
    </row>
    <row r="383" spans="1:53" s="803" customFormat="1" ht="12.75" customHeight="1" x14ac:dyDescent="0.25">
      <c r="A383" s="1122"/>
      <c r="B383" s="766" t="s">
        <v>1177</v>
      </c>
      <c r="C383" s="837"/>
      <c r="D383" s="835"/>
      <c r="E383" s="767" t="s">
        <v>1437</v>
      </c>
      <c r="F383" s="768" t="s">
        <v>1438</v>
      </c>
      <c r="G383" s="769">
        <v>0.74</v>
      </c>
      <c r="H383" s="768">
        <v>0.01</v>
      </c>
      <c r="I383" s="770">
        <f t="shared" ref="I383:I388" si="23">G383*H383</f>
        <v>7.4000000000000003E-3</v>
      </c>
      <c r="J383" s="758" t="s">
        <v>1291</v>
      </c>
      <c r="K383" s="760">
        <v>2</v>
      </c>
      <c r="L383" s="760">
        <v>750</v>
      </c>
      <c r="M383" s="760">
        <v>2</v>
      </c>
      <c r="N383" s="786">
        <f>L383/'Исп. коэффициенты'!E52*(C387+C388)</f>
        <v>0.11310404203308136</v>
      </c>
      <c r="O383" s="759" t="s">
        <v>186</v>
      </c>
      <c r="P383" s="759">
        <v>5303.64</v>
      </c>
      <c r="Q383" s="759">
        <v>19.68</v>
      </c>
      <c r="R383" s="759">
        <f>P383*Q383%</f>
        <v>1043.7563520000001</v>
      </c>
      <c r="S383" s="759">
        <f>R383/'Исп. коэффициенты'!E52</f>
        <v>9.8377551924086384E-2</v>
      </c>
      <c r="T383" s="755" t="s">
        <v>1435</v>
      </c>
      <c r="U383" s="756">
        <v>6785401.3499999996</v>
      </c>
      <c r="V383" s="785">
        <f>'Исп. коэффициенты'!E124</f>
        <v>2978.5</v>
      </c>
      <c r="W383" s="761">
        <f>'Исп. коэффициенты'!D124</f>
        <v>1.3599999999999999E-2</v>
      </c>
      <c r="X383" s="760">
        <f>U383*W383</f>
        <v>92281.45835999999</v>
      </c>
      <c r="Y383" s="759">
        <f>X383/'Исп. коэффициенты'!E52/2</f>
        <v>4.3489191438431192</v>
      </c>
      <c r="Z383" s="759"/>
      <c r="AA383" s="755"/>
      <c r="AB383" s="755"/>
      <c r="AC383" s="773"/>
      <c r="AD383" s="802"/>
      <c r="AF383" s="821"/>
      <c r="AG383" s="802"/>
      <c r="AH383" s="805"/>
      <c r="AI383" s="805"/>
      <c r="AJ383" s="822"/>
      <c r="AK383" s="805"/>
      <c r="AL383" s="806"/>
      <c r="AM383" s="805"/>
      <c r="AN383" s="805"/>
      <c r="AO383" s="807"/>
      <c r="AP383" s="805"/>
      <c r="AQ383" s="805"/>
      <c r="AR383" s="807"/>
      <c r="AS383" s="807"/>
      <c r="AT383" s="808"/>
      <c r="AU383" s="805"/>
      <c r="AV383" s="807"/>
      <c r="AW383" s="802"/>
      <c r="AX383" s="802"/>
      <c r="AY383" s="802"/>
      <c r="AZ383" s="802"/>
      <c r="BA383" s="802"/>
    </row>
    <row r="384" spans="1:53" s="803" customFormat="1" x14ac:dyDescent="0.25">
      <c r="A384" s="1122"/>
      <c r="B384" s="774" t="s">
        <v>1178</v>
      </c>
      <c r="C384" s="753"/>
      <c r="D384" s="835"/>
      <c r="E384" s="767" t="s">
        <v>1439</v>
      </c>
      <c r="F384" s="768" t="s">
        <v>1438</v>
      </c>
      <c r="G384" s="769">
        <v>0.27</v>
      </c>
      <c r="H384" s="768">
        <v>0.01</v>
      </c>
      <c r="I384" s="775">
        <f t="shared" si="23"/>
        <v>2.7000000000000001E-3</v>
      </c>
      <c r="J384" s="758" t="s">
        <v>1445</v>
      </c>
      <c r="K384" s="760">
        <v>2</v>
      </c>
      <c r="L384" s="760">
        <v>95</v>
      </c>
      <c r="M384" s="760">
        <v>2</v>
      </c>
      <c r="N384" s="786">
        <f>L384/'Исп. коэффициенты'!E52*(C387+C388)</f>
        <v>1.4326511990856973E-2</v>
      </c>
      <c r="O384" s="759"/>
      <c r="P384" s="759"/>
      <c r="Q384" s="759"/>
      <c r="R384" s="759"/>
      <c r="S384" s="759"/>
      <c r="T384" s="759"/>
      <c r="U384" s="759"/>
      <c r="V384" s="759"/>
      <c r="W384" s="759"/>
      <c r="X384" s="759"/>
      <c r="Y384" s="759"/>
      <c r="Z384" s="759"/>
      <c r="AA384" s="755"/>
      <c r="AB384" s="755"/>
      <c r="AC384" s="773"/>
      <c r="AD384" s="802"/>
      <c r="AF384" s="821"/>
      <c r="AG384" s="802"/>
      <c r="AH384" s="805"/>
      <c r="AI384" s="805"/>
      <c r="AJ384" s="822"/>
      <c r="AK384" s="805"/>
      <c r="AL384" s="806"/>
      <c r="AM384" s="824"/>
      <c r="AN384" s="805"/>
      <c r="AO384" s="807"/>
      <c r="AP384" s="805"/>
      <c r="AQ384" s="805"/>
      <c r="AR384" s="807"/>
      <c r="AS384" s="807"/>
      <c r="AT384" s="805"/>
      <c r="AU384" s="805"/>
      <c r="AV384" s="807"/>
      <c r="AW384" s="802"/>
      <c r="AX384" s="802"/>
      <c r="AY384" s="802"/>
      <c r="AZ384" s="802"/>
      <c r="BA384" s="802"/>
    </row>
    <row r="385" spans="1:53" s="803" customFormat="1" ht="12.75" customHeight="1" x14ac:dyDescent="0.25">
      <c r="A385" s="1122"/>
      <c r="B385" s="754" t="s">
        <v>1179</v>
      </c>
      <c r="C385" s="837">
        <f>C375</f>
        <v>22.420123808013045</v>
      </c>
      <c r="D385" s="835"/>
      <c r="E385" s="767" t="s">
        <v>1598</v>
      </c>
      <c r="F385" s="768" t="s">
        <v>1441</v>
      </c>
      <c r="G385" s="769">
        <v>4.4000000000000004</v>
      </c>
      <c r="H385" s="769">
        <v>1</v>
      </c>
      <c r="I385" s="770">
        <f t="shared" si="23"/>
        <v>4.4000000000000004</v>
      </c>
      <c r="J385" s="758" t="s">
        <v>1513</v>
      </c>
      <c r="K385" s="760">
        <v>2</v>
      </c>
      <c r="L385" s="760">
        <v>25</v>
      </c>
      <c r="M385" s="760">
        <v>0.5</v>
      </c>
      <c r="N385" s="786">
        <f>L385/'Исп. коэффициенты'!E52*(C387+C388)</f>
        <v>3.7701347344360455E-3</v>
      </c>
      <c r="O385" s="759"/>
      <c r="P385" s="759"/>
      <c r="Q385" s="759"/>
      <c r="R385" s="759"/>
      <c r="S385" s="759"/>
      <c r="T385" s="759"/>
      <c r="U385" s="759"/>
      <c r="V385" s="759"/>
      <c r="W385" s="759"/>
      <c r="X385" s="759"/>
      <c r="Y385" s="759"/>
      <c r="Z385" s="759"/>
      <c r="AA385" s="755"/>
      <c r="AB385" s="755"/>
      <c r="AC385" s="773"/>
      <c r="AD385" s="802"/>
      <c r="AF385" s="821"/>
      <c r="AG385" s="802"/>
      <c r="AH385" s="805"/>
      <c r="AI385" s="805"/>
      <c r="AJ385" s="822"/>
      <c r="AK385" s="805"/>
      <c r="AL385" s="806"/>
      <c r="AM385" s="805"/>
      <c r="AN385" s="805"/>
      <c r="AO385" s="807"/>
      <c r="AP385" s="805"/>
      <c r="AQ385" s="805"/>
      <c r="AR385" s="807"/>
      <c r="AS385" s="807"/>
      <c r="AT385" s="805"/>
      <c r="AU385" s="805"/>
      <c r="AV385" s="807"/>
      <c r="AW385" s="802"/>
      <c r="AX385" s="802"/>
      <c r="AY385" s="802"/>
      <c r="AZ385" s="802"/>
      <c r="BA385" s="802"/>
    </row>
    <row r="386" spans="1:53" s="803" customFormat="1" ht="12.75" customHeight="1" x14ac:dyDescent="0.25">
      <c r="A386" s="1122"/>
      <c r="B386" s="754" t="s">
        <v>1180</v>
      </c>
      <c r="C386" s="789"/>
      <c r="D386" s="835"/>
      <c r="E386" s="767" t="s">
        <v>8</v>
      </c>
      <c r="F386" s="768" t="s">
        <v>1441</v>
      </c>
      <c r="G386" s="769">
        <v>0.82</v>
      </c>
      <c r="H386" s="768">
        <v>1</v>
      </c>
      <c r="I386" s="770">
        <f t="shared" si="23"/>
        <v>0.82</v>
      </c>
      <c r="J386" s="758"/>
      <c r="K386" s="760"/>
      <c r="L386" s="760"/>
      <c r="M386" s="760"/>
      <c r="N386" s="760"/>
      <c r="O386" s="759"/>
      <c r="P386" s="759"/>
      <c r="Q386" s="759"/>
      <c r="R386" s="759"/>
      <c r="S386" s="759"/>
      <c r="T386" s="759"/>
      <c r="U386" s="759"/>
      <c r="V386" s="759"/>
      <c r="W386" s="759"/>
      <c r="X386" s="759"/>
      <c r="Y386" s="759"/>
      <c r="Z386" s="759"/>
      <c r="AA386" s="755"/>
      <c r="AB386" s="755"/>
      <c r="AC386" s="773"/>
      <c r="AD386" s="802"/>
      <c r="AF386" s="821"/>
      <c r="AG386" s="802"/>
      <c r="AH386" s="805"/>
      <c r="AI386" s="805"/>
      <c r="AJ386" s="822"/>
      <c r="AK386" s="805"/>
      <c r="AL386" s="806"/>
      <c r="AM386" s="805"/>
      <c r="AN386" s="805"/>
      <c r="AO386" s="807"/>
      <c r="AP386" s="805"/>
      <c r="AQ386" s="805"/>
      <c r="AR386" s="807"/>
      <c r="AS386" s="807"/>
      <c r="AT386" s="805"/>
      <c r="AU386" s="805"/>
      <c r="AV386" s="807"/>
      <c r="AW386" s="802"/>
      <c r="AX386" s="802"/>
      <c r="AY386" s="802"/>
      <c r="AZ386" s="802"/>
      <c r="BA386" s="802"/>
    </row>
    <row r="387" spans="1:53" s="803" customFormat="1" ht="12.75" customHeight="1" x14ac:dyDescent="0.25">
      <c r="A387" s="1122"/>
      <c r="B387" s="774" t="s">
        <v>1178</v>
      </c>
      <c r="C387" s="784"/>
      <c r="D387" s="835"/>
      <c r="E387" s="767" t="s">
        <v>1442</v>
      </c>
      <c r="F387" s="768" t="s">
        <v>1443</v>
      </c>
      <c r="G387" s="769">
        <v>419.5</v>
      </c>
      <c r="H387" s="768">
        <v>1E-3</v>
      </c>
      <c r="I387" s="770">
        <f t="shared" si="23"/>
        <v>0.41949999999999998</v>
      </c>
      <c r="J387" s="758"/>
      <c r="K387" s="760"/>
      <c r="L387" s="760"/>
      <c r="M387" s="760"/>
      <c r="N387" s="760"/>
      <c r="O387" s="759"/>
      <c r="P387" s="759"/>
      <c r="Q387" s="759"/>
      <c r="R387" s="759"/>
      <c r="S387" s="759"/>
      <c r="T387" s="759"/>
      <c r="U387" s="759"/>
      <c r="V387" s="759"/>
      <c r="W387" s="759"/>
      <c r="X387" s="759"/>
      <c r="Y387" s="759"/>
      <c r="Z387" s="759"/>
      <c r="AA387" s="755"/>
      <c r="AB387" s="755"/>
      <c r="AC387" s="773"/>
      <c r="AD387" s="802"/>
      <c r="AF387" s="821"/>
      <c r="AG387" s="802"/>
      <c r="AH387" s="805"/>
      <c r="AI387" s="805"/>
      <c r="AJ387" s="827"/>
      <c r="AK387" s="805"/>
      <c r="AL387" s="806"/>
      <c r="AM387" s="805"/>
      <c r="AN387" s="805"/>
      <c r="AO387" s="807"/>
      <c r="AP387" s="805"/>
      <c r="AQ387" s="805"/>
      <c r="AR387" s="807"/>
      <c r="AS387" s="807"/>
      <c r="AT387" s="805"/>
      <c r="AU387" s="805"/>
      <c r="AV387" s="807"/>
      <c r="AW387" s="802"/>
      <c r="AX387" s="802"/>
      <c r="AY387" s="802"/>
      <c r="AZ387" s="802"/>
      <c r="BA387" s="802"/>
    </row>
    <row r="388" spans="1:53" s="803" customFormat="1" ht="12.75" customHeight="1" x14ac:dyDescent="0.25">
      <c r="A388" s="1122"/>
      <c r="B388" s="754" t="s">
        <v>1179</v>
      </c>
      <c r="C388" s="784">
        <v>1.6</v>
      </c>
      <c r="D388" s="835"/>
      <c r="E388" s="767" t="s">
        <v>1444</v>
      </c>
      <c r="F388" s="768" t="s">
        <v>1443</v>
      </c>
      <c r="G388" s="769">
        <v>872</v>
      </c>
      <c r="H388" s="768">
        <v>2E-3</v>
      </c>
      <c r="I388" s="770">
        <f t="shared" si="23"/>
        <v>1.744</v>
      </c>
      <c r="J388" s="758"/>
      <c r="K388" s="760"/>
      <c r="L388" s="760"/>
      <c r="M388" s="760"/>
      <c r="N388" s="760"/>
      <c r="O388" s="759"/>
      <c r="P388" s="759"/>
      <c r="Q388" s="759"/>
      <c r="R388" s="759"/>
      <c r="S388" s="759"/>
      <c r="T388" s="759"/>
      <c r="U388" s="759"/>
      <c r="V388" s="759"/>
      <c r="W388" s="759"/>
      <c r="X388" s="759"/>
      <c r="Y388" s="759"/>
      <c r="Z388" s="759"/>
      <c r="AA388" s="755"/>
      <c r="AB388" s="755"/>
      <c r="AC388" s="773"/>
      <c r="AD388" s="802"/>
      <c r="AF388" s="821"/>
      <c r="AG388" s="802"/>
      <c r="AH388" s="805"/>
      <c r="AI388" s="805"/>
      <c r="AJ388" s="827"/>
      <c r="AK388" s="805"/>
      <c r="AL388" s="806"/>
      <c r="AM388" s="805"/>
      <c r="AN388" s="805"/>
      <c r="AO388" s="807"/>
      <c r="AP388" s="805"/>
      <c r="AQ388" s="805"/>
      <c r="AR388" s="807"/>
      <c r="AS388" s="807"/>
      <c r="AT388" s="805"/>
      <c r="AU388" s="805"/>
      <c r="AV388" s="807"/>
      <c r="AW388" s="802"/>
      <c r="AX388" s="802"/>
      <c r="AY388" s="802"/>
      <c r="AZ388" s="802"/>
      <c r="BA388" s="802"/>
    </row>
    <row r="389" spans="1:53" s="803" customFormat="1" ht="12.75" customHeight="1" x14ac:dyDescent="0.25">
      <c r="A389" s="1122"/>
      <c r="B389" s="782" t="s">
        <v>1181</v>
      </c>
      <c r="C389" s="837">
        <f>C384*C387+C385*C388</f>
        <v>35.872198092820874</v>
      </c>
      <c r="D389" s="835"/>
      <c r="E389" s="767"/>
      <c r="F389" s="781"/>
      <c r="G389" s="769"/>
      <c r="H389" s="768"/>
      <c r="I389" s="770"/>
      <c r="J389" s="758"/>
      <c r="K389" s="828"/>
      <c r="L389" s="760"/>
      <c r="M389" s="760"/>
      <c r="N389" s="760"/>
      <c r="O389" s="759"/>
      <c r="P389" s="759"/>
      <c r="Q389" s="759"/>
      <c r="R389" s="759"/>
      <c r="S389" s="759"/>
      <c r="T389" s="759"/>
      <c r="U389" s="759"/>
      <c r="V389" s="759"/>
      <c r="W389" s="759"/>
      <c r="X389" s="759"/>
      <c r="Y389" s="759"/>
      <c r="Z389" s="759"/>
      <c r="AA389" s="755"/>
      <c r="AB389" s="755"/>
      <c r="AC389" s="773"/>
      <c r="AD389" s="802"/>
      <c r="AF389" s="821"/>
      <c r="AG389" s="802"/>
      <c r="AH389" s="805"/>
      <c r="AI389" s="805"/>
      <c r="AJ389" s="822"/>
      <c r="AK389" s="805"/>
      <c r="AL389" s="806"/>
      <c r="AM389" s="805"/>
      <c r="AN389" s="805"/>
      <c r="AO389" s="807"/>
      <c r="AP389" s="805"/>
      <c r="AQ389" s="805"/>
      <c r="AR389" s="807"/>
      <c r="AS389" s="807"/>
      <c r="AT389" s="805"/>
      <c r="AU389" s="805"/>
      <c r="AV389" s="807"/>
      <c r="AW389" s="802"/>
      <c r="AX389" s="802"/>
      <c r="AY389" s="802"/>
      <c r="AZ389" s="802"/>
      <c r="BA389" s="802"/>
    </row>
    <row r="390" spans="1:53" s="803" customFormat="1" ht="12.75" customHeight="1" x14ac:dyDescent="0.25">
      <c r="A390" s="1122"/>
      <c r="B390" s="782"/>
      <c r="C390" s="784"/>
      <c r="D390" s="836"/>
      <c r="E390" s="754"/>
      <c r="F390" s="857"/>
      <c r="G390" s="769"/>
      <c r="H390" s="756"/>
      <c r="I390" s="770"/>
      <c r="J390" s="758"/>
      <c r="K390" s="828"/>
      <c r="L390" s="760"/>
      <c r="M390" s="760"/>
      <c r="N390" s="760"/>
      <c r="O390" s="759"/>
      <c r="P390" s="759"/>
      <c r="Q390" s="759"/>
      <c r="R390" s="759"/>
      <c r="S390" s="759"/>
      <c r="T390" s="759"/>
      <c r="U390" s="759"/>
      <c r="V390" s="759"/>
      <c r="W390" s="759"/>
      <c r="X390" s="759"/>
      <c r="Y390" s="759"/>
      <c r="Z390" s="759"/>
      <c r="AA390" s="755"/>
      <c r="AB390" s="755"/>
      <c r="AC390" s="773"/>
      <c r="AD390" s="802"/>
      <c r="AF390" s="814"/>
      <c r="AG390" s="802"/>
      <c r="AH390" s="805"/>
      <c r="AI390" s="805"/>
      <c r="AJ390" s="827"/>
      <c r="AK390" s="805"/>
      <c r="AL390" s="806"/>
      <c r="AM390" s="805"/>
      <c r="AN390" s="805"/>
      <c r="AO390" s="807"/>
      <c r="AP390" s="805"/>
      <c r="AQ390" s="805"/>
      <c r="AR390" s="807"/>
      <c r="AS390" s="807"/>
      <c r="AT390" s="805"/>
      <c r="AU390" s="805"/>
      <c r="AV390" s="807"/>
      <c r="AW390" s="802"/>
      <c r="AX390" s="802"/>
      <c r="AY390" s="802"/>
      <c r="AZ390" s="802"/>
      <c r="BA390" s="802"/>
    </row>
    <row r="391" spans="1:53" ht="56.25" customHeight="1" x14ac:dyDescent="0.25">
      <c r="A391" s="1126" t="s">
        <v>190</v>
      </c>
      <c r="B391" s="259" t="s">
        <v>1014</v>
      </c>
      <c r="C391" s="51"/>
      <c r="D391" s="219"/>
      <c r="E391" s="52" t="s">
        <v>488</v>
      </c>
      <c r="F391" s="53" t="s">
        <v>837</v>
      </c>
      <c r="G391" s="51" t="s">
        <v>489</v>
      </c>
      <c r="H391" s="52" t="s">
        <v>1170</v>
      </c>
      <c r="I391" s="53" t="s">
        <v>838</v>
      </c>
      <c r="J391" s="47" t="s">
        <v>1171</v>
      </c>
      <c r="K391" s="47" t="s">
        <v>490</v>
      </c>
      <c r="L391" s="54" t="s">
        <v>489</v>
      </c>
      <c r="M391" s="47" t="s">
        <v>1172</v>
      </c>
      <c r="N391" s="53" t="s">
        <v>838</v>
      </c>
      <c r="O391" s="47" t="s">
        <v>1171</v>
      </c>
      <c r="P391" s="47" t="s">
        <v>826</v>
      </c>
      <c r="Q391" s="47" t="s">
        <v>1173</v>
      </c>
      <c r="R391" s="47" t="s">
        <v>1174</v>
      </c>
      <c r="S391" s="47" t="s">
        <v>839</v>
      </c>
      <c r="T391" s="47" t="s">
        <v>1171</v>
      </c>
      <c r="U391" s="47" t="s">
        <v>1392</v>
      </c>
      <c r="V391" s="47" t="s">
        <v>841</v>
      </c>
      <c r="W391" s="231" t="s">
        <v>1173</v>
      </c>
      <c r="X391" s="47" t="s">
        <v>1394</v>
      </c>
      <c r="Y391" s="47" t="s">
        <v>839</v>
      </c>
      <c r="Z391" s="55"/>
      <c r="AA391" s="1"/>
      <c r="AB391" s="1"/>
      <c r="AC391" s="245"/>
      <c r="AD391" s="56"/>
      <c r="AQ391" s="139"/>
      <c r="AR391" s="139"/>
      <c r="AS391" s="139"/>
    </row>
    <row r="392" spans="1:53" ht="12" customHeight="1" x14ac:dyDescent="0.25">
      <c r="A392" s="1126"/>
      <c r="B392" s="36" t="s">
        <v>1175</v>
      </c>
      <c r="C392" s="51">
        <f>C399</f>
        <v>17.936099046410437</v>
      </c>
      <c r="D392" s="219">
        <f>C392*$D$5</f>
        <v>3.6230920073749084</v>
      </c>
      <c r="E392" s="57" t="s">
        <v>1176</v>
      </c>
      <c r="F392" s="165"/>
      <c r="G392" s="58"/>
      <c r="H392" s="58"/>
      <c r="I392" s="2">
        <f>SUM(I393:I400)</f>
        <v>7.3936000000000011</v>
      </c>
      <c r="J392" s="59" t="s">
        <v>1176</v>
      </c>
      <c r="K392" s="169"/>
      <c r="L392" s="60"/>
      <c r="M392" s="60"/>
      <c r="N392" s="61">
        <f>SUM(N393:N400)</f>
        <v>8.4000000000000005E-2</v>
      </c>
      <c r="O392" s="60" t="s">
        <v>1176</v>
      </c>
      <c r="P392" s="60"/>
      <c r="Q392" s="62"/>
      <c r="R392" s="63"/>
      <c r="S392" s="61">
        <f>SUM(S393:S400)</f>
        <v>1.1382000000000001</v>
      </c>
      <c r="T392" s="61"/>
      <c r="U392" s="61"/>
      <c r="V392" s="61"/>
      <c r="W392" s="61"/>
      <c r="X392" s="61"/>
      <c r="Y392" s="61">
        <f>SUM(Y393:Y400)</f>
        <v>9.1999999999999998E-3</v>
      </c>
      <c r="Z392" s="64">
        <f>(C392+D392+I392+N392+S392+Y392)*$Z$5</f>
        <v>39.245113725098022</v>
      </c>
      <c r="AA392" s="65">
        <f>C392+D392+I392+N392+S392+Y392+Z392</f>
        <v>69.429304778883363</v>
      </c>
      <c r="AB392" s="66">
        <v>0.25</v>
      </c>
      <c r="AC392" s="244">
        <f>AA392*(1+AB392)</f>
        <v>86.786630973604204</v>
      </c>
      <c r="AD392" s="67"/>
      <c r="AI392" s="139"/>
      <c r="AJ392" s="140"/>
      <c r="AK392" s="141"/>
      <c r="AM392" s="142"/>
      <c r="AN392" s="143"/>
      <c r="AO392" s="142"/>
      <c r="AP392" s="139"/>
      <c r="AQ392" s="139"/>
      <c r="AR392" s="139"/>
      <c r="AS392" s="139"/>
      <c r="AT392" s="139"/>
      <c r="AU392" s="142"/>
      <c r="AV392" s="142"/>
      <c r="AW392" s="144"/>
    </row>
    <row r="393" spans="1:53" ht="12.75" customHeight="1" x14ac:dyDescent="0.25">
      <c r="A393" s="1126"/>
      <c r="B393" s="50" t="s">
        <v>1177</v>
      </c>
      <c r="C393" s="51"/>
      <c r="D393" s="220"/>
      <c r="E393" s="68" t="s">
        <v>1437</v>
      </c>
      <c r="F393" s="69" t="s">
        <v>1438</v>
      </c>
      <c r="G393" s="70">
        <v>0.74</v>
      </c>
      <c r="H393" s="69">
        <v>0.01</v>
      </c>
      <c r="I393" s="71">
        <f t="shared" ref="I393:I398" si="24">G393*H393</f>
        <v>7.4000000000000003E-3</v>
      </c>
      <c r="J393" s="59" t="s">
        <v>1291</v>
      </c>
      <c r="K393" s="61">
        <v>2</v>
      </c>
      <c r="L393" s="61">
        <v>640</v>
      </c>
      <c r="M393" s="61">
        <v>2</v>
      </c>
      <c r="N393" s="61">
        <v>0.05</v>
      </c>
      <c r="O393" s="60" t="s">
        <v>186</v>
      </c>
      <c r="P393" s="60">
        <v>5303.64</v>
      </c>
      <c r="Q393" s="60">
        <v>19.68</v>
      </c>
      <c r="R393" s="60">
        <f>P393*Q393%</f>
        <v>1043.7563520000001</v>
      </c>
      <c r="S393" s="60">
        <v>1.1382000000000001</v>
      </c>
      <c r="T393" s="239" t="s">
        <v>1435</v>
      </c>
      <c r="U393" s="240">
        <v>6785401.3499999996</v>
      </c>
      <c r="V393" s="241">
        <v>1.32E-2</v>
      </c>
      <c r="W393" s="239">
        <v>1508.3</v>
      </c>
      <c r="X393" s="61">
        <v>59.38</v>
      </c>
      <c r="Y393" s="60">
        <v>9.1999999999999998E-3</v>
      </c>
      <c r="Z393" s="60"/>
      <c r="AA393" s="1"/>
      <c r="AB393" s="1"/>
      <c r="AC393" s="245"/>
      <c r="AD393" s="56"/>
      <c r="AF393" s="151"/>
      <c r="AJ393" s="136"/>
      <c r="AT393" s="139"/>
    </row>
    <row r="394" spans="1:53" x14ac:dyDescent="0.25">
      <c r="A394" s="1126"/>
      <c r="B394" s="74" t="s">
        <v>1178</v>
      </c>
      <c r="C394" s="75">
        <f>C364</f>
        <v>33.667709452234185</v>
      </c>
      <c r="D394" s="220"/>
      <c r="E394" s="68" t="s">
        <v>1439</v>
      </c>
      <c r="F394" s="69" t="s">
        <v>1438</v>
      </c>
      <c r="G394" s="70">
        <v>0.27</v>
      </c>
      <c r="H394" s="69">
        <v>0.01</v>
      </c>
      <c r="I394" s="242">
        <f t="shared" si="24"/>
        <v>2.7000000000000001E-3</v>
      </c>
      <c r="J394" s="59" t="s">
        <v>1445</v>
      </c>
      <c r="K394" s="61">
        <v>2</v>
      </c>
      <c r="L394" s="61">
        <v>84</v>
      </c>
      <c r="M394" s="61">
        <v>2</v>
      </c>
      <c r="N394" s="61">
        <v>8.9999999999999993E-3</v>
      </c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1"/>
      <c r="AB394" s="1"/>
      <c r="AC394" s="245"/>
      <c r="AD394" s="56"/>
      <c r="AF394" s="151"/>
      <c r="AJ394" s="136"/>
      <c r="AM394" s="145"/>
    </row>
    <row r="395" spans="1:53" ht="12.75" customHeight="1" x14ac:dyDescent="0.25">
      <c r="A395" s="1126"/>
      <c r="B395" s="57" t="s">
        <v>1179</v>
      </c>
      <c r="C395" s="51">
        <f>C385</f>
        <v>22.420123808013045</v>
      </c>
      <c r="D395" s="220"/>
      <c r="E395" s="68" t="s">
        <v>1598</v>
      </c>
      <c r="F395" s="69" t="s">
        <v>1441</v>
      </c>
      <c r="G395" s="70">
        <v>4.4000000000000004</v>
      </c>
      <c r="H395" s="70">
        <v>1</v>
      </c>
      <c r="I395" s="71">
        <f t="shared" si="24"/>
        <v>4.4000000000000004</v>
      </c>
      <c r="J395" s="59" t="s">
        <v>1513</v>
      </c>
      <c r="K395" s="61">
        <v>2</v>
      </c>
      <c r="L395" s="61">
        <v>25</v>
      </c>
      <c r="M395" s="61">
        <v>0.5</v>
      </c>
      <c r="N395" s="61">
        <v>2.5000000000000001E-2</v>
      </c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1"/>
      <c r="AB395" s="1"/>
      <c r="AC395" s="245"/>
      <c r="AD395" s="56"/>
      <c r="AF395" s="151"/>
      <c r="AJ395" s="136"/>
    </row>
    <row r="396" spans="1:53" ht="12.75" customHeight="1" x14ac:dyDescent="0.25">
      <c r="A396" s="1126"/>
      <c r="B396" s="57" t="s">
        <v>1180</v>
      </c>
      <c r="C396" s="77"/>
      <c r="D396" s="220"/>
      <c r="E396" s="68" t="s">
        <v>8</v>
      </c>
      <c r="F396" s="69" t="s">
        <v>1441</v>
      </c>
      <c r="G396" s="70">
        <v>0.82</v>
      </c>
      <c r="H396" s="69">
        <v>1</v>
      </c>
      <c r="I396" s="71">
        <f t="shared" si="24"/>
        <v>0.82</v>
      </c>
      <c r="J396" s="59"/>
      <c r="K396" s="61"/>
      <c r="L396" s="61"/>
      <c r="M396" s="61"/>
      <c r="N396" s="61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1"/>
      <c r="AB396" s="1"/>
      <c r="AC396" s="245"/>
      <c r="AD396" s="56"/>
      <c r="AF396" s="151"/>
      <c r="AJ396" s="136"/>
    </row>
    <row r="397" spans="1:53" ht="12.75" customHeight="1" x14ac:dyDescent="0.25">
      <c r="A397" s="1126"/>
      <c r="B397" s="74" t="s">
        <v>1178</v>
      </c>
      <c r="C397" s="78"/>
      <c r="D397" s="220"/>
      <c r="E397" s="68" t="s">
        <v>1442</v>
      </c>
      <c r="F397" s="69" t="s">
        <v>1443</v>
      </c>
      <c r="G397" s="70">
        <v>419.5</v>
      </c>
      <c r="H397" s="69">
        <v>1E-3</v>
      </c>
      <c r="I397" s="71">
        <f t="shared" si="24"/>
        <v>0.41949999999999998</v>
      </c>
      <c r="J397" s="59"/>
      <c r="K397" s="61"/>
      <c r="L397" s="61"/>
      <c r="M397" s="61"/>
      <c r="N397" s="61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1"/>
      <c r="AB397" s="1"/>
      <c r="AC397" s="245"/>
      <c r="AD397" s="56"/>
      <c r="AF397" s="151"/>
      <c r="AJ397" s="146"/>
    </row>
    <row r="398" spans="1:53" ht="12.75" customHeight="1" x14ac:dyDescent="0.25">
      <c r="A398" s="1126"/>
      <c r="B398" s="57" t="s">
        <v>1179</v>
      </c>
      <c r="C398" s="78">
        <v>0.8</v>
      </c>
      <c r="D398" s="220"/>
      <c r="E398" s="68" t="s">
        <v>1444</v>
      </c>
      <c r="F398" s="69" t="s">
        <v>1443</v>
      </c>
      <c r="G398" s="70">
        <v>872</v>
      </c>
      <c r="H398" s="69">
        <v>2E-3</v>
      </c>
      <c r="I398" s="71">
        <f t="shared" si="24"/>
        <v>1.744</v>
      </c>
      <c r="J398" s="59"/>
      <c r="K398" s="61"/>
      <c r="L398" s="61"/>
      <c r="M398" s="61"/>
      <c r="N398" s="61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1"/>
      <c r="AB398" s="1"/>
      <c r="AC398" s="245"/>
      <c r="AD398" s="56"/>
      <c r="AF398" s="151"/>
      <c r="AJ398" s="146"/>
    </row>
    <row r="399" spans="1:53" ht="12.75" customHeight="1" x14ac:dyDescent="0.25">
      <c r="A399" s="1126"/>
      <c r="B399" s="79" t="s">
        <v>1181</v>
      </c>
      <c r="C399" s="51">
        <f>C394*C397+C395*C398</f>
        <v>17.936099046410437</v>
      </c>
      <c r="D399" s="220"/>
      <c r="E399" s="68"/>
      <c r="F399" s="166"/>
      <c r="G399" s="70"/>
      <c r="H399" s="69"/>
      <c r="I399" s="71"/>
      <c r="J399" s="59"/>
      <c r="K399" s="170"/>
      <c r="L399" s="61"/>
      <c r="M399" s="61"/>
      <c r="N399" s="61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1"/>
      <c r="AB399" s="1"/>
      <c r="AC399" s="245"/>
      <c r="AD399" s="56"/>
      <c r="AF399" s="151"/>
      <c r="AJ399" s="136"/>
    </row>
    <row r="400" spans="1:53" ht="12.75" customHeight="1" x14ac:dyDescent="0.25">
      <c r="A400" s="1126"/>
      <c r="B400" s="79"/>
      <c r="C400" s="78"/>
      <c r="D400" s="221"/>
      <c r="E400" s="57"/>
      <c r="F400" s="167"/>
      <c r="G400" s="70"/>
      <c r="H400" s="58"/>
      <c r="I400" s="71"/>
      <c r="J400" s="59"/>
      <c r="K400" s="170"/>
      <c r="L400" s="61"/>
      <c r="M400" s="61"/>
      <c r="N400" s="61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1"/>
      <c r="AB400" s="1"/>
      <c r="AC400" s="245"/>
      <c r="AD400" s="56"/>
      <c r="AF400" s="67"/>
      <c r="AJ400" s="146"/>
    </row>
    <row r="401" spans="1:53" s="803" customFormat="1" ht="56.25" customHeight="1" x14ac:dyDescent="0.25">
      <c r="A401" s="1122" t="s">
        <v>0</v>
      </c>
      <c r="B401" s="753" t="s">
        <v>1009</v>
      </c>
      <c r="C401" s="837"/>
      <c r="D401" s="834"/>
      <c r="E401" s="791" t="s">
        <v>488</v>
      </c>
      <c r="F401" s="792" t="s">
        <v>837</v>
      </c>
      <c r="G401" s="837" t="s">
        <v>489</v>
      </c>
      <c r="H401" s="791" t="s">
        <v>1170</v>
      </c>
      <c r="I401" s="792" t="s">
        <v>838</v>
      </c>
      <c r="J401" s="793" t="s">
        <v>1171</v>
      </c>
      <c r="K401" s="793" t="s">
        <v>490</v>
      </c>
      <c r="L401" s="794" t="s">
        <v>489</v>
      </c>
      <c r="M401" s="793" t="s">
        <v>1172</v>
      </c>
      <c r="N401" s="792" t="s">
        <v>838</v>
      </c>
      <c r="O401" s="793" t="s">
        <v>1171</v>
      </c>
      <c r="P401" s="793" t="s">
        <v>826</v>
      </c>
      <c r="Q401" s="793" t="s">
        <v>1173</v>
      </c>
      <c r="R401" s="793" t="s">
        <v>1174</v>
      </c>
      <c r="S401" s="793" t="s">
        <v>839</v>
      </c>
      <c r="T401" s="793" t="s">
        <v>1171</v>
      </c>
      <c r="U401" s="793" t="s">
        <v>1392</v>
      </c>
      <c r="V401" s="793" t="s">
        <v>841</v>
      </c>
      <c r="W401" s="795" t="s">
        <v>1173</v>
      </c>
      <c r="X401" s="793" t="s">
        <v>1394</v>
      </c>
      <c r="Y401" s="793" t="s">
        <v>839</v>
      </c>
      <c r="Z401" s="796"/>
      <c r="AA401" s="755"/>
      <c r="AB401" s="755"/>
      <c r="AC401" s="773"/>
      <c r="AD401" s="802"/>
      <c r="AF401" s="804"/>
      <c r="AG401" s="802"/>
      <c r="AH401" s="805"/>
      <c r="AI401" s="805"/>
      <c r="AJ401" s="805"/>
      <c r="AK401" s="805"/>
      <c r="AL401" s="806"/>
      <c r="AM401" s="805"/>
      <c r="AN401" s="805"/>
      <c r="AO401" s="807"/>
      <c r="AP401" s="805"/>
      <c r="AQ401" s="808"/>
      <c r="AR401" s="808"/>
      <c r="AS401" s="808"/>
      <c r="AT401" s="805"/>
      <c r="AU401" s="805"/>
      <c r="AV401" s="807"/>
      <c r="AW401" s="802"/>
      <c r="AX401" s="802"/>
      <c r="AY401" s="802"/>
      <c r="AZ401" s="802"/>
      <c r="BA401" s="802"/>
    </row>
    <row r="402" spans="1:53" s="803" customFormat="1" ht="12" customHeight="1" x14ac:dyDescent="0.25">
      <c r="A402" s="1122"/>
      <c r="B402" s="752" t="s">
        <v>1175</v>
      </c>
      <c r="C402" s="837">
        <f>C409</f>
        <v>31.388173331218262</v>
      </c>
      <c r="D402" s="834">
        <f>C402*$D$5</f>
        <v>6.3404110129060891</v>
      </c>
      <c r="E402" s="754" t="s">
        <v>1176</v>
      </c>
      <c r="F402" s="810"/>
      <c r="G402" s="756"/>
      <c r="H402" s="756"/>
      <c r="I402" s="757">
        <f>SUM(I403:I410)</f>
        <v>7.3936000000000011</v>
      </c>
      <c r="J402" s="758" t="s">
        <v>1176</v>
      </c>
      <c r="K402" s="811"/>
      <c r="L402" s="759"/>
      <c r="M402" s="759"/>
      <c r="N402" s="760">
        <f>SUM(N403:N410)</f>
        <v>0.11480060266357756</v>
      </c>
      <c r="O402" s="759" t="s">
        <v>1176</v>
      </c>
      <c r="P402" s="759"/>
      <c r="Q402" s="812"/>
      <c r="R402" s="813"/>
      <c r="S402" s="760">
        <f>SUM(S403:S410)</f>
        <v>9.8377551924086384E-2</v>
      </c>
      <c r="T402" s="760"/>
      <c r="U402" s="760"/>
      <c r="V402" s="760"/>
      <c r="W402" s="760"/>
      <c r="X402" s="760"/>
      <c r="Y402" s="760">
        <f>SUM(Y403:Y410)</f>
        <v>4.3489191438431192</v>
      </c>
      <c r="Z402" s="762">
        <f>(C402+D402+I402+N402+S402+Y402)*$Z$5</f>
        <v>64.598891516999828</v>
      </c>
      <c r="AA402" s="763">
        <f>C402+D402+I402+N402+S402+Y402+Z402</f>
        <v>114.28317315955496</v>
      </c>
      <c r="AB402" s="764">
        <v>0.25</v>
      </c>
      <c r="AC402" s="765">
        <f>AA402*(1+AB402)</f>
        <v>142.8539664494437</v>
      </c>
      <c r="AD402" s="814"/>
      <c r="AF402" s="804"/>
      <c r="AG402" s="802"/>
      <c r="AH402" s="805"/>
      <c r="AI402" s="808"/>
      <c r="AJ402" s="815"/>
      <c r="AK402" s="816"/>
      <c r="AL402" s="806"/>
      <c r="AM402" s="817"/>
      <c r="AN402" s="818"/>
      <c r="AO402" s="817"/>
      <c r="AP402" s="808"/>
      <c r="AQ402" s="808"/>
      <c r="AR402" s="808"/>
      <c r="AS402" s="808"/>
      <c r="AT402" s="808"/>
      <c r="AU402" s="817"/>
      <c r="AV402" s="817"/>
      <c r="AW402" s="819"/>
      <c r="AX402" s="802"/>
      <c r="AY402" s="802"/>
      <c r="AZ402" s="802"/>
      <c r="BA402" s="802"/>
    </row>
    <row r="403" spans="1:53" s="803" customFormat="1" ht="12.75" customHeight="1" x14ac:dyDescent="0.25">
      <c r="A403" s="1122"/>
      <c r="B403" s="766" t="s">
        <v>1177</v>
      </c>
      <c r="C403" s="837"/>
      <c r="D403" s="835"/>
      <c r="E403" s="767" t="s">
        <v>1437</v>
      </c>
      <c r="F403" s="768" t="s">
        <v>1438</v>
      </c>
      <c r="G403" s="769">
        <v>0.74</v>
      </c>
      <c r="H403" s="768">
        <v>0.01</v>
      </c>
      <c r="I403" s="770">
        <f t="shared" ref="I403:I408" si="25">G403*H403</f>
        <v>7.4000000000000003E-3</v>
      </c>
      <c r="J403" s="758" t="s">
        <v>1291</v>
      </c>
      <c r="K403" s="760">
        <v>2</v>
      </c>
      <c r="L403" s="760">
        <v>750</v>
      </c>
      <c r="M403" s="760">
        <v>2</v>
      </c>
      <c r="N403" s="786">
        <f>L403/'Исп. коэффициенты'!E52*(C407+C408)</f>
        <v>9.8966036778946179E-2</v>
      </c>
      <c r="O403" s="759" t="s">
        <v>186</v>
      </c>
      <c r="P403" s="759">
        <v>5303.64</v>
      </c>
      <c r="Q403" s="759">
        <v>19.68</v>
      </c>
      <c r="R403" s="759">
        <f>P403*Q403%</f>
        <v>1043.7563520000001</v>
      </c>
      <c r="S403" s="759">
        <f>R403/'Исп. коэффициенты'!E52</f>
        <v>9.8377551924086384E-2</v>
      </c>
      <c r="T403" s="755" t="s">
        <v>1435</v>
      </c>
      <c r="U403" s="756">
        <v>6785401.3499999996</v>
      </c>
      <c r="V403" s="785">
        <f>'Исп. коэффициенты'!E124</f>
        <v>2978.5</v>
      </c>
      <c r="W403" s="761">
        <f>'Исп. коэффициенты'!D124</f>
        <v>1.3599999999999999E-2</v>
      </c>
      <c r="X403" s="760">
        <f>U403*W403</f>
        <v>92281.45835999999</v>
      </c>
      <c r="Y403" s="759">
        <f>X403/'Исп. коэффициенты'!E52/2</f>
        <v>4.3489191438431192</v>
      </c>
      <c r="Z403" s="759"/>
      <c r="AA403" s="755"/>
      <c r="AB403" s="755"/>
      <c r="AC403" s="773"/>
      <c r="AD403" s="802"/>
      <c r="AF403" s="821"/>
      <c r="AG403" s="802"/>
      <c r="AH403" s="805"/>
      <c r="AI403" s="805"/>
      <c r="AJ403" s="822"/>
      <c r="AK403" s="805"/>
      <c r="AL403" s="806"/>
      <c r="AM403" s="805"/>
      <c r="AN403" s="805"/>
      <c r="AO403" s="807"/>
      <c r="AP403" s="805"/>
      <c r="AQ403" s="805"/>
      <c r="AR403" s="807"/>
      <c r="AS403" s="807"/>
      <c r="AT403" s="808"/>
      <c r="AU403" s="805"/>
      <c r="AV403" s="807"/>
      <c r="AW403" s="802"/>
      <c r="AX403" s="802"/>
      <c r="AY403" s="802"/>
      <c r="AZ403" s="802"/>
      <c r="BA403" s="802"/>
    </row>
    <row r="404" spans="1:53" s="803" customFormat="1" x14ac:dyDescent="0.25">
      <c r="A404" s="1122"/>
      <c r="B404" s="774" t="s">
        <v>1178</v>
      </c>
      <c r="C404" s="753"/>
      <c r="D404" s="835"/>
      <c r="E404" s="767" t="s">
        <v>1439</v>
      </c>
      <c r="F404" s="768" t="s">
        <v>1438</v>
      </c>
      <c r="G404" s="769">
        <v>0.27</v>
      </c>
      <c r="H404" s="768">
        <v>0.01</v>
      </c>
      <c r="I404" s="775">
        <f t="shared" si="25"/>
        <v>2.7000000000000001E-3</v>
      </c>
      <c r="J404" s="758" t="s">
        <v>1445</v>
      </c>
      <c r="K404" s="760">
        <v>2</v>
      </c>
      <c r="L404" s="760">
        <v>95</v>
      </c>
      <c r="M404" s="760">
        <v>2</v>
      </c>
      <c r="N404" s="786">
        <f>L404/'Исп. коэффициенты'!E52*(C407+C408)</f>
        <v>1.2535697991999849E-2</v>
      </c>
      <c r="O404" s="759"/>
      <c r="P404" s="759"/>
      <c r="Q404" s="759"/>
      <c r="R404" s="759"/>
      <c r="S404" s="759"/>
      <c r="T404" s="759"/>
      <c r="U404" s="759"/>
      <c r="V404" s="759"/>
      <c r="W404" s="759"/>
      <c r="X404" s="759"/>
      <c r="Y404" s="759"/>
      <c r="Z404" s="759"/>
      <c r="AA404" s="755"/>
      <c r="AB404" s="755"/>
      <c r="AC404" s="773"/>
      <c r="AD404" s="802"/>
      <c r="AF404" s="821"/>
      <c r="AG404" s="802"/>
      <c r="AH404" s="805"/>
      <c r="AI404" s="805"/>
      <c r="AJ404" s="822"/>
      <c r="AK404" s="805"/>
      <c r="AL404" s="806"/>
      <c r="AM404" s="824"/>
      <c r="AN404" s="805"/>
      <c r="AO404" s="807"/>
      <c r="AP404" s="805"/>
      <c r="AQ404" s="805"/>
      <c r="AR404" s="807"/>
      <c r="AS404" s="807"/>
      <c r="AT404" s="805"/>
      <c r="AU404" s="805"/>
      <c r="AV404" s="807"/>
      <c r="AW404" s="802"/>
      <c r="AX404" s="802"/>
      <c r="AY404" s="802"/>
      <c r="AZ404" s="802"/>
      <c r="BA404" s="802"/>
    </row>
    <row r="405" spans="1:53" s="803" customFormat="1" ht="12.75" customHeight="1" x14ac:dyDescent="0.25">
      <c r="A405" s="1122"/>
      <c r="B405" s="754" t="s">
        <v>1179</v>
      </c>
      <c r="C405" s="837">
        <f>C395</f>
        <v>22.420123808013045</v>
      </c>
      <c r="D405" s="835"/>
      <c r="E405" s="767" t="s">
        <v>1598</v>
      </c>
      <c r="F405" s="768" t="s">
        <v>1441</v>
      </c>
      <c r="G405" s="769">
        <v>4.4000000000000004</v>
      </c>
      <c r="H405" s="769">
        <v>1</v>
      </c>
      <c r="I405" s="770">
        <f t="shared" si="25"/>
        <v>4.4000000000000004</v>
      </c>
      <c r="J405" s="758" t="s">
        <v>1513</v>
      </c>
      <c r="K405" s="760">
        <v>2</v>
      </c>
      <c r="L405" s="760">
        <v>25</v>
      </c>
      <c r="M405" s="760">
        <v>0.5</v>
      </c>
      <c r="N405" s="786">
        <f>L405/'Исп. коэффициенты'!E52*(C407+C408)</f>
        <v>3.2988678926315395E-3</v>
      </c>
      <c r="O405" s="759"/>
      <c r="P405" s="759"/>
      <c r="Q405" s="759"/>
      <c r="R405" s="759"/>
      <c r="S405" s="759"/>
      <c r="T405" s="759"/>
      <c r="U405" s="759"/>
      <c r="V405" s="759"/>
      <c r="W405" s="759"/>
      <c r="X405" s="759"/>
      <c r="Y405" s="759"/>
      <c r="Z405" s="759"/>
      <c r="AA405" s="755"/>
      <c r="AB405" s="755"/>
      <c r="AC405" s="773"/>
      <c r="AD405" s="802"/>
      <c r="AF405" s="821"/>
      <c r="AG405" s="802"/>
      <c r="AH405" s="805"/>
      <c r="AI405" s="805"/>
      <c r="AJ405" s="822"/>
      <c r="AK405" s="805"/>
      <c r="AL405" s="806"/>
      <c r="AM405" s="805"/>
      <c r="AN405" s="805"/>
      <c r="AO405" s="807"/>
      <c r="AP405" s="805"/>
      <c r="AQ405" s="805"/>
      <c r="AR405" s="807"/>
      <c r="AS405" s="807"/>
      <c r="AT405" s="805"/>
      <c r="AU405" s="805"/>
      <c r="AV405" s="807"/>
      <c r="AW405" s="802"/>
      <c r="AX405" s="802"/>
      <c r="AY405" s="802"/>
      <c r="AZ405" s="802"/>
      <c r="BA405" s="802"/>
    </row>
    <row r="406" spans="1:53" s="803" customFormat="1" ht="12.75" customHeight="1" x14ac:dyDescent="0.25">
      <c r="A406" s="1122"/>
      <c r="B406" s="754" t="s">
        <v>1180</v>
      </c>
      <c r="C406" s="789"/>
      <c r="D406" s="835"/>
      <c r="E406" s="767" t="s">
        <v>8</v>
      </c>
      <c r="F406" s="768" t="s">
        <v>1441</v>
      </c>
      <c r="G406" s="769">
        <v>0.82</v>
      </c>
      <c r="H406" s="768">
        <v>1</v>
      </c>
      <c r="I406" s="770">
        <f t="shared" si="25"/>
        <v>0.82</v>
      </c>
      <c r="J406" s="758"/>
      <c r="K406" s="760"/>
      <c r="L406" s="760"/>
      <c r="M406" s="760"/>
      <c r="N406" s="760"/>
      <c r="O406" s="759"/>
      <c r="P406" s="759"/>
      <c r="Q406" s="759"/>
      <c r="R406" s="759"/>
      <c r="S406" s="759"/>
      <c r="T406" s="759"/>
      <c r="U406" s="759"/>
      <c r="V406" s="759"/>
      <c r="W406" s="759"/>
      <c r="X406" s="759"/>
      <c r="Y406" s="759"/>
      <c r="Z406" s="759"/>
      <c r="AA406" s="755"/>
      <c r="AB406" s="755"/>
      <c r="AC406" s="773"/>
      <c r="AD406" s="802"/>
      <c r="AF406" s="821"/>
      <c r="AG406" s="802"/>
      <c r="AH406" s="805"/>
      <c r="AI406" s="805"/>
      <c r="AJ406" s="822"/>
      <c r="AK406" s="805"/>
      <c r="AL406" s="806"/>
      <c r="AM406" s="805"/>
      <c r="AN406" s="805"/>
      <c r="AO406" s="807"/>
      <c r="AP406" s="805"/>
      <c r="AQ406" s="805"/>
      <c r="AR406" s="807"/>
      <c r="AS406" s="807"/>
      <c r="AT406" s="805"/>
      <c r="AU406" s="805"/>
      <c r="AV406" s="807"/>
      <c r="AW406" s="802"/>
      <c r="AX406" s="802"/>
      <c r="AY406" s="802"/>
      <c r="AZ406" s="802"/>
      <c r="BA406" s="802"/>
    </row>
    <row r="407" spans="1:53" s="803" customFormat="1" ht="12.75" customHeight="1" x14ac:dyDescent="0.25">
      <c r="A407" s="1122"/>
      <c r="B407" s="774" t="s">
        <v>1178</v>
      </c>
      <c r="C407" s="784"/>
      <c r="D407" s="835"/>
      <c r="E407" s="767" t="s">
        <v>1442</v>
      </c>
      <c r="F407" s="768" t="s">
        <v>1443</v>
      </c>
      <c r="G407" s="769">
        <v>419.5</v>
      </c>
      <c r="H407" s="768">
        <v>1E-3</v>
      </c>
      <c r="I407" s="770">
        <f t="shared" si="25"/>
        <v>0.41949999999999998</v>
      </c>
      <c r="J407" s="758"/>
      <c r="K407" s="760"/>
      <c r="L407" s="760"/>
      <c r="M407" s="760"/>
      <c r="N407" s="760"/>
      <c r="O407" s="759"/>
      <c r="P407" s="759"/>
      <c r="Q407" s="759"/>
      <c r="R407" s="759"/>
      <c r="S407" s="759"/>
      <c r="T407" s="759"/>
      <c r="U407" s="759"/>
      <c r="V407" s="759"/>
      <c r="W407" s="759"/>
      <c r="X407" s="759"/>
      <c r="Y407" s="759"/>
      <c r="Z407" s="759"/>
      <c r="AA407" s="755"/>
      <c r="AB407" s="755"/>
      <c r="AC407" s="773"/>
      <c r="AD407" s="802"/>
      <c r="AF407" s="821"/>
      <c r="AG407" s="802"/>
      <c r="AH407" s="805"/>
      <c r="AI407" s="805"/>
      <c r="AJ407" s="827"/>
      <c r="AK407" s="805"/>
      <c r="AL407" s="806"/>
      <c r="AM407" s="805"/>
      <c r="AN407" s="805"/>
      <c r="AO407" s="807"/>
      <c r="AP407" s="805"/>
      <c r="AQ407" s="805"/>
      <c r="AR407" s="807"/>
      <c r="AS407" s="807"/>
      <c r="AT407" s="805"/>
      <c r="AU407" s="805"/>
      <c r="AV407" s="807"/>
      <c r="AW407" s="802"/>
      <c r="AX407" s="802"/>
      <c r="AY407" s="802"/>
      <c r="AZ407" s="802"/>
      <c r="BA407" s="802"/>
    </row>
    <row r="408" spans="1:53" s="803" customFormat="1" ht="12.75" customHeight="1" x14ac:dyDescent="0.25">
      <c r="A408" s="1122"/>
      <c r="B408" s="754" t="s">
        <v>1179</v>
      </c>
      <c r="C408" s="784">
        <v>1.4</v>
      </c>
      <c r="D408" s="835"/>
      <c r="E408" s="767" t="s">
        <v>1444</v>
      </c>
      <c r="F408" s="768" t="s">
        <v>1443</v>
      </c>
      <c r="G408" s="769">
        <v>872</v>
      </c>
      <c r="H408" s="768">
        <v>2E-3</v>
      </c>
      <c r="I408" s="770">
        <f t="shared" si="25"/>
        <v>1.744</v>
      </c>
      <c r="J408" s="758"/>
      <c r="K408" s="760"/>
      <c r="L408" s="760"/>
      <c r="M408" s="760"/>
      <c r="N408" s="760"/>
      <c r="O408" s="759"/>
      <c r="P408" s="759"/>
      <c r="Q408" s="759"/>
      <c r="R408" s="759"/>
      <c r="S408" s="759"/>
      <c r="T408" s="759"/>
      <c r="U408" s="759"/>
      <c r="V408" s="759"/>
      <c r="W408" s="759"/>
      <c r="X408" s="759"/>
      <c r="Y408" s="759"/>
      <c r="Z408" s="759"/>
      <c r="AA408" s="755"/>
      <c r="AB408" s="755"/>
      <c r="AC408" s="773"/>
      <c r="AD408" s="802"/>
      <c r="AF408" s="821"/>
      <c r="AG408" s="802"/>
      <c r="AH408" s="805"/>
      <c r="AI408" s="805"/>
      <c r="AJ408" s="827"/>
      <c r="AK408" s="805"/>
      <c r="AL408" s="806"/>
      <c r="AM408" s="805"/>
      <c r="AN408" s="805"/>
      <c r="AO408" s="807"/>
      <c r="AP408" s="805"/>
      <c r="AQ408" s="805"/>
      <c r="AR408" s="807"/>
      <c r="AS408" s="807"/>
      <c r="AT408" s="805"/>
      <c r="AU408" s="805"/>
      <c r="AV408" s="807"/>
      <c r="AW408" s="802"/>
      <c r="AX408" s="802"/>
      <c r="AY408" s="802"/>
      <c r="AZ408" s="802"/>
      <c r="BA408" s="802"/>
    </row>
    <row r="409" spans="1:53" s="803" customFormat="1" ht="12.75" customHeight="1" x14ac:dyDescent="0.25">
      <c r="A409" s="1122"/>
      <c r="B409" s="782" t="s">
        <v>1181</v>
      </c>
      <c r="C409" s="837">
        <f>C404*C407+C405*C408</f>
        <v>31.388173331218262</v>
      </c>
      <c r="D409" s="835"/>
      <c r="E409" s="767"/>
      <c r="F409" s="781"/>
      <c r="G409" s="769"/>
      <c r="H409" s="768"/>
      <c r="I409" s="770"/>
      <c r="J409" s="758"/>
      <c r="K409" s="828"/>
      <c r="L409" s="760"/>
      <c r="M409" s="760"/>
      <c r="N409" s="760"/>
      <c r="O409" s="759"/>
      <c r="P409" s="759"/>
      <c r="Q409" s="759"/>
      <c r="R409" s="759"/>
      <c r="S409" s="759"/>
      <c r="T409" s="759"/>
      <c r="U409" s="759"/>
      <c r="V409" s="759"/>
      <c r="W409" s="759"/>
      <c r="X409" s="759"/>
      <c r="Y409" s="759"/>
      <c r="Z409" s="759"/>
      <c r="AA409" s="755"/>
      <c r="AB409" s="755"/>
      <c r="AC409" s="773"/>
      <c r="AD409" s="802"/>
      <c r="AF409" s="821"/>
      <c r="AG409" s="802"/>
      <c r="AH409" s="805"/>
      <c r="AI409" s="805"/>
      <c r="AJ409" s="822"/>
      <c r="AK409" s="805"/>
      <c r="AL409" s="806"/>
      <c r="AM409" s="805"/>
      <c r="AN409" s="805"/>
      <c r="AO409" s="807"/>
      <c r="AP409" s="805"/>
      <c r="AQ409" s="805"/>
      <c r="AR409" s="807"/>
      <c r="AS409" s="807"/>
      <c r="AT409" s="805"/>
      <c r="AU409" s="805"/>
      <c r="AV409" s="807"/>
      <c r="AW409" s="802"/>
      <c r="AX409" s="802"/>
      <c r="AY409" s="802"/>
      <c r="AZ409" s="802"/>
      <c r="BA409" s="802"/>
    </row>
    <row r="410" spans="1:53" s="803" customFormat="1" ht="12.75" customHeight="1" x14ac:dyDescent="0.25">
      <c r="A410" s="1122"/>
      <c r="B410" s="782"/>
      <c r="C410" s="784"/>
      <c r="D410" s="836"/>
      <c r="E410" s="754"/>
      <c r="F410" s="857"/>
      <c r="G410" s="769"/>
      <c r="H410" s="756"/>
      <c r="I410" s="770"/>
      <c r="J410" s="758"/>
      <c r="K410" s="828"/>
      <c r="L410" s="760"/>
      <c r="M410" s="760"/>
      <c r="N410" s="760"/>
      <c r="O410" s="759"/>
      <c r="P410" s="759"/>
      <c r="Q410" s="759"/>
      <c r="R410" s="759"/>
      <c r="S410" s="759"/>
      <c r="T410" s="759"/>
      <c r="U410" s="759"/>
      <c r="V410" s="759"/>
      <c r="W410" s="759"/>
      <c r="X410" s="759"/>
      <c r="Y410" s="759"/>
      <c r="Z410" s="759"/>
      <c r="AA410" s="755"/>
      <c r="AB410" s="755"/>
      <c r="AC410" s="773"/>
      <c r="AD410" s="802"/>
      <c r="AF410" s="814"/>
      <c r="AG410" s="802"/>
      <c r="AH410" s="805"/>
      <c r="AI410" s="805"/>
      <c r="AJ410" s="827"/>
      <c r="AK410" s="805"/>
      <c r="AL410" s="806"/>
      <c r="AM410" s="805"/>
      <c r="AN410" s="805"/>
      <c r="AO410" s="807"/>
      <c r="AP410" s="805"/>
      <c r="AQ410" s="805"/>
      <c r="AR410" s="807"/>
      <c r="AS410" s="807"/>
      <c r="AT410" s="805"/>
      <c r="AU410" s="805"/>
      <c r="AV410" s="807"/>
      <c r="AW410" s="802"/>
      <c r="AX410" s="802"/>
      <c r="AY410" s="802"/>
      <c r="AZ410" s="802"/>
      <c r="BA410" s="802"/>
    </row>
    <row r="411" spans="1:53" s="803" customFormat="1" ht="56.25" customHeight="1" x14ac:dyDescent="0.25">
      <c r="A411" s="1122" t="s">
        <v>1011</v>
      </c>
      <c r="B411" s="753" t="s">
        <v>1010</v>
      </c>
      <c r="C411" s="837"/>
      <c r="D411" s="834"/>
      <c r="E411" s="791" t="s">
        <v>488</v>
      </c>
      <c r="F411" s="792" t="s">
        <v>837</v>
      </c>
      <c r="G411" s="837" t="s">
        <v>489</v>
      </c>
      <c r="H411" s="791" t="s">
        <v>1170</v>
      </c>
      <c r="I411" s="792" t="s">
        <v>838</v>
      </c>
      <c r="J411" s="793" t="s">
        <v>1171</v>
      </c>
      <c r="K411" s="793" t="s">
        <v>490</v>
      </c>
      <c r="L411" s="794" t="s">
        <v>489</v>
      </c>
      <c r="M411" s="793" t="s">
        <v>1172</v>
      </c>
      <c r="N411" s="792" t="s">
        <v>838</v>
      </c>
      <c r="O411" s="793" t="s">
        <v>1171</v>
      </c>
      <c r="P411" s="793" t="s">
        <v>826</v>
      </c>
      <c r="Q411" s="793" t="s">
        <v>1173</v>
      </c>
      <c r="R411" s="793" t="s">
        <v>1174</v>
      </c>
      <c r="S411" s="793" t="s">
        <v>839</v>
      </c>
      <c r="T411" s="793" t="s">
        <v>1171</v>
      </c>
      <c r="U411" s="793" t="s">
        <v>1392</v>
      </c>
      <c r="V411" s="793" t="s">
        <v>841</v>
      </c>
      <c r="W411" s="795" t="s">
        <v>1173</v>
      </c>
      <c r="X411" s="793" t="s">
        <v>1394</v>
      </c>
      <c r="Y411" s="793" t="s">
        <v>839</v>
      </c>
      <c r="Z411" s="796"/>
      <c r="AA411" s="755"/>
      <c r="AB411" s="755"/>
      <c r="AC411" s="773"/>
      <c r="AD411" s="802"/>
      <c r="AF411" s="804"/>
      <c r="AG411" s="802"/>
      <c r="AH411" s="805"/>
      <c r="AI411" s="805"/>
      <c r="AJ411" s="805"/>
      <c r="AK411" s="805"/>
      <c r="AL411" s="806"/>
      <c r="AM411" s="805"/>
      <c r="AN411" s="805"/>
      <c r="AO411" s="807"/>
      <c r="AP411" s="805"/>
      <c r="AQ411" s="808"/>
      <c r="AR411" s="808"/>
      <c r="AS411" s="808"/>
      <c r="AT411" s="805"/>
      <c r="AU411" s="805"/>
      <c r="AV411" s="807"/>
      <c r="AW411" s="802"/>
      <c r="AX411" s="802"/>
      <c r="AY411" s="802"/>
      <c r="AZ411" s="802"/>
      <c r="BA411" s="802"/>
    </row>
    <row r="412" spans="1:53" s="803" customFormat="1" ht="12" customHeight="1" x14ac:dyDescent="0.25">
      <c r="A412" s="1122"/>
      <c r="B412" s="752" t="s">
        <v>1175</v>
      </c>
      <c r="C412" s="837">
        <f>C419</f>
        <v>31.388173331218262</v>
      </c>
      <c r="D412" s="834">
        <f>C412*$D$5</f>
        <v>6.3404110129060891</v>
      </c>
      <c r="E412" s="754" t="s">
        <v>1176</v>
      </c>
      <c r="F412" s="810"/>
      <c r="G412" s="756"/>
      <c r="H412" s="756"/>
      <c r="I412" s="757">
        <f>SUM(I413:I420)</f>
        <v>7.3936000000000011</v>
      </c>
      <c r="J412" s="758" t="s">
        <v>1176</v>
      </c>
      <c r="K412" s="811"/>
      <c r="L412" s="759"/>
      <c r="M412" s="759"/>
      <c r="N412" s="760">
        <f>SUM(N413:N420)</f>
        <v>0.11480060266357756</v>
      </c>
      <c r="O412" s="759" t="s">
        <v>1176</v>
      </c>
      <c r="P412" s="759"/>
      <c r="Q412" s="812"/>
      <c r="R412" s="813"/>
      <c r="S412" s="760">
        <f>SUM(S413:S420)</f>
        <v>9.8377551924086384E-2</v>
      </c>
      <c r="T412" s="760"/>
      <c r="U412" s="760"/>
      <c r="V412" s="760"/>
      <c r="W412" s="760"/>
      <c r="X412" s="760"/>
      <c r="Y412" s="760">
        <f>SUM(Y413:Y420)</f>
        <v>4.3489191438431192</v>
      </c>
      <c r="Z412" s="762">
        <f>(C412+D412+I412+N412+S412+Y412)*$Z$5</f>
        <v>64.598891516999828</v>
      </c>
      <c r="AA412" s="763">
        <f>C412+D412+I412+N412+S412+Y412+Z412</f>
        <v>114.28317315955496</v>
      </c>
      <c r="AB412" s="764">
        <v>0.25</v>
      </c>
      <c r="AC412" s="765">
        <f>AA412*(1+AB412)</f>
        <v>142.8539664494437</v>
      </c>
      <c r="AD412" s="814"/>
      <c r="AF412" s="804"/>
      <c r="AG412" s="802"/>
      <c r="AH412" s="805"/>
      <c r="AI412" s="808"/>
      <c r="AJ412" s="815"/>
      <c r="AK412" s="816"/>
      <c r="AL412" s="806"/>
      <c r="AM412" s="817"/>
      <c r="AN412" s="818"/>
      <c r="AO412" s="817"/>
      <c r="AP412" s="808"/>
      <c r="AQ412" s="808"/>
      <c r="AR412" s="808"/>
      <c r="AS412" s="808"/>
      <c r="AT412" s="808"/>
      <c r="AU412" s="817"/>
      <c r="AV412" s="817"/>
      <c r="AW412" s="819"/>
      <c r="AX412" s="802"/>
      <c r="AY412" s="802"/>
      <c r="AZ412" s="802"/>
      <c r="BA412" s="802"/>
    </row>
    <row r="413" spans="1:53" s="803" customFormat="1" ht="12.75" customHeight="1" x14ac:dyDescent="0.25">
      <c r="A413" s="1122"/>
      <c r="B413" s="766" t="s">
        <v>1177</v>
      </c>
      <c r="C413" s="837"/>
      <c r="D413" s="835"/>
      <c r="E413" s="767" t="s">
        <v>1437</v>
      </c>
      <c r="F413" s="768" t="s">
        <v>1438</v>
      </c>
      <c r="G413" s="769">
        <v>0.74</v>
      </c>
      <c r="H413" s="768">
        <v>0.01</v>
      </c>
      <c r="I413" s="770">
        <f t="shared" ref="I413:I418" si="26">G413*H413</f>
        <v>7.4000000000000003E-3</v>
      </c>
      <c r="J413" s="758" t="s">
        <v>1291</v>
      </c>
      <c r="K413" s="760">
        <v>2</v>
      </c>
      <c r="L413" s="760">
        <v>750</v>
      </c>
      <c r="M413" s="760">
        <v>2</v>
      </c>
      <c r="N413" s="786">
        <f>L413/'Исп. коэффициенты'!E52*(C417+C418)</f>
        <v>9.8966036778946179E-2</v>
      </c>
      <c r="O413" s="759" t="s">
        <v>186</v>
      </c>
      <c r="P413" s="759">
        <v>5303.64</v>
      </c>
      <c r="Q413" s="759">
        <v>19.68</v>
      </c>
      <c r="R413" s="759">
        <f>P413*Q413%</f>
        <v>1043.7563520000001</v>
      </c>
      <c r="S413" s="759">
        <f>R413/'Исп. коэффициенты'!E52</f>
        <v>9.8377551924086384E-2</v>
      </c>
      <c r="T413" s="755" t="s">
        <v>1435</v>
      </c>
      <c r="U413" s="756">
        <v>6785401.3499999996</v>
      </c>
      <c r="V413" s="785">
        <f>'Исп. коэффициенты'!E124</f>
        <v>2978.5</v>
      </c>
      <c r="W413" s="761">
        <f>'Исп. коэффициенты'!D124</f>
        <v>1.3599999999999999E-2</v>
      </c>
      <c r="X413" s="760">
        <f>U413*W413</f>
        <v>92281.45835999999</v>
      </c>
      <c r="Y413" s="759">
        <f>X413/'Исп. коэффициенты'!E52/2</f>
        <v>4.3489191438431192</v>
      </c>
      <c r="Z413" s="759"/>
      <c r="AA413" s="755"/>
      <c r="AB413" s="755"/>
      <c r="AC413" s="773"/>
      <c r="AD413" s="802"/>
      <c r="AF413" s="821"/>
      <c r="AG413" s="802"/>
      <c r="AH413" s="805"/>
      <c r="AI413" s="805"/>
      <c r="AJ413" s="822"/>
      <c r="AK413" s="805"/>
      <c r="AL413" s="806"/>
      <c r="AM413" s="805"/>
      <c r="AN413" s="805"/>
      <c r="AO413" s="807"/>
      <c r="AP413" s="805"/>
      <c r="AQ413" s="805"/>
      <c r="AR413" s="807"/>
      <c r="AS413" s="807"/>
      <c r="AT413" s="808"/>
      <c r="AU413" s="805"/>
      <c r="AV413" s="807"/>
      <c r="AW413" s="802"/>
      <c r="AX413" s="802"/>
      <c r="AY413" s="802"/>
      <c r="AZ413" s="802"/>
      <c r="BA413" s="802"/>
    </row>
    <row r="414" spans="1:53" s="803" customFormat="1" x14ac:dyDescent="0.25">
      <c r="A414" s="1122"/>
      <c r="B414" s="774" t="s">
        <v>1178</v>
      </c>
      <c r="C414" s="753"/>
      <c r="D414" s="835"/>
      <c r="E414" s="767" t="s">
        <v>1439</v>
      </c>
      <c r="F414" s="768" t="s">
        <v>1438</v>
      </c>
      <c r="G414" s="769">
        <v>0.27</v>
      </c>
      <c r="H414" s="768">
        <v>0.01</v>
      </c>
      <c r="I414" s="775">
        <f t="shared" si="26"/>
        <v>2.7000000000000001E-3</v>
      </c>
      <c r="J414" s="758" t="s">
        <v>1445</v>
      </c>
      <c r="K414" s="760">
        <v>2</v>
      </c>
      <c r="L414" s="760">
        <v>95</v>
      </c>
      <c r="M414" s="760">
        <v>2</v>
      </c>
      <c r="N414" s="786">
        <f>L414/'Исп. коэффициенты'!E52*(C417+C418)</f>
        <v>1.2535697991999849E-2</v>
      </c>
      <c r="O414" s="759"/>
      <c r="P414" s="759"/>
      <c r="Q414" s="759"/>
      <c r="R414" s="759"/>
      <c r="S414" s="759"/>
      <c r="T414" s="759"/>
      <c r="U414" s="759"/>
      <c r="V414" s="759"/>
      <c r="W414" s="759"/>
      <c r="X414" s="759"/>
      <c r="Y414" s="759"/>
      <c r="Z414" s="759"/>
      <c r="AA414" s="755"/>
      <c r="AB414" s="755"/>
      <c r="AC414" s="773"/>
      <c r="AD414" s="802"/>
      <c r="AF414" s="821"/>
      <c r="AG414" s="802"/>
      <c r="AH414" s="805"/>
      <c r="AI414" s="805"/>
      <c r="AJ414" s="822"/>
      <c r="AK414" s="805"/>
      <c r="AL414" s="806"/>
      <c r="AM414" s="824"/>
      <c r="AN414" s="805"/>
      <c r="AO414" s="807"/>
      <c r="AP414" s="805"/>
      <c r="AQ414" s="805"/>
      <c r="AR414" s="807"/>
      <c r="AS414" s="807"/>
      <c r="AT414" s="805"/>
      <c r="AU414" s="805"/>
      <c r="AV414" s="807"/>
      <c r="AW414" s="802"/>
      <c r="AX414" s="802"/>
      <c r="AY414" s="802"/>
      <c r="AZ414" s="802"/>
      <c r="BA414" s="802"/>
    </row>
    <row r="415" spans="1:53" s="803" customFormat="1" ht="12.75" customHeight="1" x14ac:dyDescent="0.25">
      <c r="A415" s="1122"/>
      <c r="B415" s="754" t="s">
        <v>1179</v>
      </c>
      <c r="C415" s="837">
        <f>C405</f>
        <v>22.420123808013045</v>
      </c>
      <c r="D415" s="835"/>
      <c r="E415" s="767" t="s">
        <v>1598</v>
      </c>
      <c r="F415" s="768" t="s">
        <v>1441</v>
      </c>
      <c r="G415" s="769">
        <v>4.4000000000000004</v>
      </c>
      <c r="H415" s="769">
        <v>1</v>
      </c>
      <c r="I415" s="770">
        <f t="shared" si="26"/>
        <v>4.4000000000000004</v>
      </c>
      <c r="J415" s="758" t="s">
        <v>1513</v>
      </c>
      <c r="K415" s="760">
        <v>2</v>
      </c>
      <c r="L415" s="760">
        <v>25</v>
      </c>
      <c r="M415" s="760">
        <v>0.5</v>
      </c>
      <c r="N415" s="786">
        <f>L415/'Исп. коэффициенты'!E52*(C417+C418)</f>
        <v>3.2988678926315395E-3</v>
      </c>
      <c r="O415" s="759"/>
      <c r="P415" s="759"/>
      <c r="Q415" s="759"/>
      <c r="R415" s="759"/>
      <c r="S415" s="759"/>
      <c r="T415" s="759"/>
      <c r="U415" s="759"/>
      <c r="V415" s="759"/>
      <c r="W415" s="759"/>
      <c r="X415" s="759"/>
      <c r="Y415" s="759"/>
      <c r="Z415" s="759"/>
      <c r="AA415" s="755"/>
      <c r="AB415" s="755"/>
      <c r="AC415" s="773"/>
      <c r="AD415" s="802"/>
      <c r="AF415" s="821"/>
      <c r="AG415" s="802"/>
      <c r="AH415" s="805"/>
      <c r="AI415" s="805"/>
      <c r="AJ415" s="822"/>
      <c r="AK415" s="805"/>
      <c r="AL415" s="806"/>
      <c r="AM415" s="805"/>
      <c r="AN415" s="805"/>
      <c r="AO415" s="807"/>
      <c r="AP415" s="805"/>
      <c r="AQ415" s="805"/>
      <c r="AR415" s="807"/>
      <c r="AS415" s="807"/>
      <c r="AT415" s="805"/>
      <c r="AU415" s="805"/>
      <c r="AV415" s="807"/>
      <c r="AW415" s="802"/>
      <c r="AX415" s="802"/>
      <c r="AY415" s="802"/>
      <c r="AZ415" s="802"/>
      <c r="BA415" s="802"/>
    </row>
    <row r="416" spans="1:53" s="803" customFormat="1" ht="12.75" customHeight="1" x14ac:dyDescent="0.25">
      <c r="A416" s="1122"/>
      <c r="B416" s="754" t="s">
        <v>1180</v>
      </c>
      <c r="C416" s="789"/>
      <c r="D416" s="835"/>
      <c r="E416" s="767" t="s">
        <v>8</v>
      </c>
      <c r="F416" s="768" t="s">
        <v>1441</v>
      </c>
      <c r="G416" s="769">
        <v>0.82</v>
      </c>
      <c r="H416" s="768">
        <v>1</v>
      </c>
      <c r="I416" s="770">
        <f t="shared" si="26"/>
        <v>0.82</v>
      </c>
      <c r="J416" s="758"/>
      <c r="K416" s="760"/>
      <c r="L416" s="760"/>
      <c r="M416" s="760"/>
      <c r="N416" s="760"/>
      <c r="O416" s="759"/>
      <c r="P416" s="759"/>
      <c r="Q416" s="759"/>
      <c r="R416" s="759"/>
      <c r="S416" s="759"/>
      <c r="T416" s="759"/>
      <c r="U416" s="759"/>
      <c r="V416" s="759"/>
      <c r="W416" s="759"/>
      <c r="X416" s="759"/>
      <c r="Y416" s="759"/>
      <c r="Z416" s="759"/>
      <c r="AA416" s="755"/>
      <c r="AB416" s="755"/>
      <c r="AC416" s="773"/>
      <c r="AD416" s="802"/>
      <c r="AF416" s="821"/>
      <c r="AG416" s="802"/>
      <c r="AH416" s="805"/>
      <c r="AI416" s="805"/>
      <c r="AJ416" s="822"/>
      <c r="AK416" s="805"/>
      <c r="AL416" s="806"/>
      <c r="AM416" s="805"/>
      <c r="AN416" s="805"/>
      <c r="AO416" s="807"/>
      <c r="AP416" s="805"/>
      <c r="AQ416" s="805"/>
      <c r="AR416" s="807"/>
      <c r="AS416" s="807"/>
      <c r="AT416" s="805"/>
      <c r="AU416" s="805"/>
      <c r="AV416" s="807"/>
      <c r="AW416" s="802"/>
      <c r="AX416" s="802"/>
      <c r="AY416" s="802"/>
      <c r="AZ416" s="802"/>
      <c r="BA416" s="802"/>
    </row>
    <row r="417" spans="1:53" s="803" customFormat="1" ht="12.75" customHeight="1" x14ac:dyDescent="0.25">
      <c r="A417" s="1122"/>
      <c r="B417" s="774" t="s">
        <v>1178</v>
      </c>
      <c r="C417" s="784"/>
      <c r="D417" s="835"/>
      <c r="E417" s="767" t="s">
        <v>1442</v>
      </c>
      <c r="F417" s="768" t="s">
        <v>1443</v>
      </c>
      <c r="G417" s="769">
        <v>419.5</v>
      </c>
      <c r="H417" s="768">
        <v>1E-3</v>
      </c>
      <c r="I417" s="770">
        <f t="shared" si="26"/>
        <v>0.41949999999999998</v>
      </c>
      <c r="J417" s="758"/>
      <c r="K417" s="760"/>
      <c r="L417" s="760"/>
      <c r="M417" s="760"/>
      <c r="N417" s="760"/>
      <c r="O417" s="759"/>
      <c r="P417" s="759"/>
      <c r="Q417" s="759"/>
      <c r="R417" s="759"/>
      <c r="S417" s="759"/>
      <c r="T417" s="759"/>
      <c r="U417" s="759"/>
      <c r="V417" s="759"/>
      <c r="W417" s="759"/>
      <c r="X417" s="759"/>
      <c r="Y417" s="759"/>
      <c r="Z417" s="759"/>
      <c r="AA417" s="755"/>
      <c r="AB417" s="755"/>
      <c r="AC417" s="773"/>
      <c r="AD417" s="802"/>
      <c r="AF417" s="821"/>
      <c r="AG417" s="802"/>
      <c r="AH417" s="805"/>
      <c r="AI417" s="805"/>
      <c r="AJ417" s="827"/>
      <c r="AK417" s="805"/>
      <c r="AL417" s="806"/>
      <c r="AM417" s="805"/>
      <c r="AN417" s="805"/>
      <c r="AO417" s="807"/>
      <c r="AP417" s="805"/>
      <c r="AQ417" s="805"/>
      <c r="AR417" s="807"/>
      <c r="AS417" s="807"/>
      <c r="AT417" s="805"/>
      <c r="AU417" s="805"/>
      <c r="AV417" s="807"/>
      <c r="AW417" s="802"/>
      <c r="AX417" s="802"/>
      <c r="AY417" s="802"/>
      <c r="AZ417" s="802"/>
      <c r="BA417" s="802"/>
    </row>
    <row r="418" spans="1:53" s="803" customFormat="1" ht="12.75" customHeight="1" x14ac:dyDescent="0.25">
      <c r="A418" s="1122"/>
      <c r="B418" s="754" t="s">
        <v>1179</v>
      </c>
      <c r="C418" s="784">
        <v>1.4</v>
      </c>
      <c r="D418" s="835"/>
      <c r="E418" s="767" t="s">
        <v>1444</v>
      </c>
      <c r="F418" s="768" t="s">
        <v>1443</v>
      </c>
      <c r="G418" s="769">
        <v>872</v>
      </c>
      <c r="H418" s="768">
        <v>2E-3</v>
      </c>
      <c r="I418" s="770">
        <f t="shared" si="26"/>
        <v>1.744</v>
      </c>
      <c r="J418" s="758"/>
      <c r="K418" s="760"/>
      <c r="L418" s="760"/>
      <c r="M418" s="760"/>
      <c r="N418" s="760"/>
      <c r="O418" s="759"/>
      <c r="P418" s="759"/>
      <c r="Q418" s="759"/>
      <c r="R418" s="759"/>
      <c r="S418" s="759"/>
      <c r="T418" s="759"/>
      <c r="U418" s="759"/>
      <c r="V418" s="759"/>
      <c r="W418" s="759"/>
      <c r="X418" s="759"/>
      <c r="Y418" s="759"/>
      <c r="Z418" s="759"/>
      <c r="AA418" s="755"/>
      <c r="AB418" s="755"/>
      <c r="AC418" s="773"/>
      <c r="AD418" s="802"/>
      <c r="AF418" s="821"/>
      <c r="AG418" s="802"/>
      <c r="AH418" s="805"/>
      <c r="AI418" s="805"/>
      <c r="AJ418" s="827"/>
      <c r="AK418" s="805"/>
      <c r="AL418" s="806"/>
      <c r="AM418" s="805"/>
      <c r="AN418" s="805"/>
      <c r="AO418" s="807"/>
      <c r="AP418" s="805"/>
      <c r="AQ418" s="805"/>
      <c r="AR418" s="807"/>
      <c r="AS418" s="807"/>
      <c r="AT418" s="805"/>
      <c r="AU418" s="805"/>
      <c r="AV418" s="807"/>
      <c r="AW418" s="802"/>
      <c r="AX418" s="802"/>
      <c r="AY418" s="802"/>
      <c r="AZ418" s="802"/>
      <c r="BA418" s="802"/>
    </row>
    <row r="419" spans="1:53" s="803" customFormat="1" ht="12.75" customHeight="1" x14ac:dyDescent="0.25">
      <c r="A419" s="1122"/>
      <c r="B419" s="782" t="s">
        <v>1181</v>
      </c>
      <c r="C419" s="837">
        <f>C414*C417+C415*C418</f>
        <v>31.388173331218262</v>
      </c>
      <c r="D419" s="835"/>
      <c r="E419" s="767"/>
      <c r="F419" s="781"/>
      <c r="G419" s="769"/>
      <c r="H419" s="768"/>
      <c r="I419" s="770"/>
      <c r="J419" s="758"/>
      <c r="K419" s="828"/>
      <c r="L419" s="760"/>
      <c r="M419" s="760"/>
      <c r="N419" s="760"/>
      <c r="O419" s="759"/>
      <c r="P419" s="759"/>
      <c r="Q419" s="759"/>
      <c r="R419" s="759"/>
      <c r="S419" s="759"/>
      <c r="T419" s="759"/>
      <c r="U419" s="759"/>
      <c r="V419" s="759"/>
      <c r="W419" s="759"/>
      <c r="X419" s="759"/>
      <c r="Y419" s="759"/>
      <c r="Z419" s="759"/>
      <c r="AA419" s="755"/>
      <c r="AB419" s="755"/>
      <c r="AC419" s="773"/>
      <c r="AD419" s="802"/>
      <c r="AF419" s="821"/>
      <c r="AG419" s="802"/>
      <c r="AH419" s="805"/>
      <c r="AI419" s="805"/>
      <c r="AJ419" s="822"/>
      <c r="AK419" s="805"/>
      <c r="AL419" s="806"/>
      <c r="AM419" s="805"/>
      <c r="AN419" s="805"/>
      <c r="AO419" s="807"/>
      <c r="AP419" s="805"/>
      <c r="AQ419" s="805"/>
      <c r="AR419" s="807"/>
      <c r="AS419" s="807"/>
      <c r="AT419" s="805"/>
      <c r="AU419" s="805"/>
      <c r="AV419" s="807"/>
      <c r="AW419" s="802"/>
      <c r="AX419" s="802"/>
      <c r="AY419" s="802"/>
      <c r="AZ419" s="802"/>
      <c r="BA419" s="802"/>
    </row>
    <row r="420" spans="1:53" s="803" customFormat="1" ht="12.75" customHeight="1" x14ac:dyDescent="0.25">
      <c r="A420" s="1122"/>
      <c r="B420" s="782"/>
      <c r="C420" s="784"/>
      <c r="D420" s="836"/>
      <c r="E420" s="754"/>
      <c r="F420" s="857"/>
      <c r="G420" s="769"/>
      <c r="H420" s="756"/>
      <c r="I420" s="770"/>
      <c r="J420" s="758"/>
      <c r="K420" s="828"/>
      <c r="L420" s="760"/>
      <c r="M420" s="760"/>
      <c r="N420" s="760"/>
      <c r="O420" s="759"/>
      <c r="P420" s="759"/>
      <c r="Q420" s="759"/>
      <c r="R420" s="759"/>
      <c r="S420" s="759"/>
      <c r="T420" s="759"/>
      <c r="U420" s="759"/>
      <c r="V420" s="759"/>
      <c r="W420" s="759"/>
      <c r="X420" s="759"/>
      <c r="Y420" s="759"/>
      <c r="Z420" s="759"/>
      <c r="AA420" s="755"/>
      <c r="AB420" s="755"/>
      <c r="AC420" s="773"/>
      <c r="AD420" s="802"/>
      <c r="AF420" s="814"/>
      <c r="AG420" s="802"/>
      <c r="AH420" s="805"/>
      <c r="AI420" s="805"/>
      <c r="AJ420" s="827"/>
      <c r="AK420" s="805"/>
      <c r="AL420" s="806"/>
      <c r="AM420" s="805"/>
      <c r="AN420" s="805"/>
      <c r="AO420" s="807"/>
      <c r="AP420" s="805"/>
      <c r="AQ420" s="805"/>
      <c r="AR420" s="807"/>
      <c r="AS420" s="807"/>
      <c r="AT420" s="805"/>
      <c r="AU420" s="805"/>
      <c r="AV420" s="807"/>
      <c r="AW420" s="802"/>
      <c r="AX420" s="802"/>
      <c r="AY420" s="802"/>
      <c r="AZ420" s="802"/>
      <c r="BA420" s="802"/>
    </row>
    <row r="421" spans="1:53" s="803" customFormat="1" ht="56.25" customHeight="1" x14ac:dyDescent="0.25">
      <c r="A421" s="1122" t="s">
        <v>577</v>
      </c>
      <c r="B421" s="788"/>
      <c r="C421" s="788"/>
      <c r="D421" s="800"/>
      <c r="E421" s="791" t="s">
        <v>488</v>
      </c>
      <c r="F421" s="792" t="s">
        <v>837</v>
      </c>
      <c r="G421" s="788" t="s">
        <v>489</v>
      </c>
      <c r="H421" s="791" t="s">
        <v>1170</v>
      </c>
      <c r="I421" s="792" t="s">
        <v>838</v>
      </c>
      <c r="J421" s="793" t="s">
        <v>1171</v>
      </c>
      <c r="K421" s="793" t="s">
        <v>490</v>
      </c>
      <c r="L421" s="794" t="s">
        <v>489</v>
      </c>
      <c r="M421" s="793" t="s">
        <v>1172</v>
      </c>
      <c r="N421" s="792" t="s">
        <v>838</v>
      </c>
      <c r="O421" s="793" t="s">
        <v>1171</v>
      </c>
      <c r="P421" s="793" t="s">
        <v>826</v>
      </c>
      <c r="Q421" s="793" t="s">
        <v>1173</v>
      </c>
      <c r="R421" s="793" t="s">
        <v>1174</v>
      </c>
      <c r="S421" s="793" t="s">
        <v>839</v>
      </c>
      <c r="T421" s="793" t="s">
        <v>1171</v>
      </c>
      <c r="U421" s="793" t="s">
        <v>1392</v>
      </c>
      <c r="V421" s="793" t="s">
        <v>841</v>
      </c>
      <c r="W421" s="795" t="s">
        <v>1173</v>
      </c>
      <c r="X421" s="793" t="s">
        <v>1394</v>
      </c>
      <c r="Y421" s="793" t="s">
        <v>839</v>
      </c>
      <c r="Z421" s="796"/>
      <c r="AA421" s="755"/>
      <c r="AB421" s="755"/>
      <c r="AC421" s="773"/>
      <c r="AD421" s="802"/>
      <c r="AF421" s="804"/>
      <c r="AG421" s="802"/>
      <c r="AH421" s="805"/>
      <c r="AI421" s="805"/>
      <c r="AJ421" s="805"/>
      <c r="AK421" s="805"/>
      <c r="AL421" s="806"/>
      <c r="AM421" s="805"/>
      <c r="AN421" s="805"/>
      <c r="AO421" s="807"/>
      <c r="AP421" s="805"/>
      <c r="AQ421" s="808"/>
      <c r="AR421" s="808"/>
      <c r="AS421" s="808"/>
      <c r="AT421" s="805"/>
      <c r="AU421" s="805"/>
      <c r="AV421" s="807"/>
      <c r="AW421" s="802"/>
      <c r="AX421" s="802"/>
      <c r="AY421" s="802"/>
      <c r="AZ421" s="802"/>
      <c r="BA421" s="802"/>
    </row>
    <row r="422" spans="1:53" s="803" customFormat="1" ht="12" customHeight="1" x14ac:dyDescent="0.25">
      <c r="A422" s="1122"/>
      <c r="B422" s="752" t="s">
        <v>1175</v>
      </c>
      <c r="C422" s="788">
        <f>C429</f>
        <v>44.84024761602609</v>
      </c>
      <c r="D422" s="800">
        <f>C422*$D$5</f>
        <v>9.0577300184372707</v>
      </c>
      <c r="E422" s="754" t="s">
        <v>1176</v>
      </c>
      <c r="F422" s="810"/>
      <c r="G422" s="756"/>
      <c r="H422" s="756"/>
      <c r="I422" s="757">
        <f>SUM(I423:I430)</f>
        <v>7.3936000000000011</v>
      </c>
      <c r="J422" s="758" t="s">
        <v>1176</v>
      </c>
      <c r="K422" s="811"/>
      <c r="L422" s="759"/>
      <c r="M422" s="759"/>
      <c r="N422" s="760">
        <f>SUM(N423:N430)</f>
        <v>0.16400086094796795</v>
      </c>
      <c r="O422" s="759" t="s">
        <v>1176</v>
      </c>
      <c r="P422" s="759"/>
      <c r="Q422" s="812"/>
      <c r="R422" s="813"/>
      <c r="S422" s="760">
        <f>SUM(S423:S430)</f>
        <v>9.8377551924086384E-2</v>
      </c>
      <c r="T422" s="760"/>
      <c r="U422" s="760"/>
      <c r="V422" s="760"/>
      <c r="W422" s="760"/>
      <c r="X422" s="760"/>
      <c r="Y422" s="760">
        <f>SUM(Y423:Y430)</f>
        <v>4.3489191438431192</v>
      </c>
      <c r="Z422" s="762">
        <f>(C422+D422+I422+N422+S422+Y422)*$Z$5</f>
        <v>85.686107243360794</v>
      </c>
      <c r="AA422" s="763">
        <f>C422+D422+I422+N422+S422+Y422+Z422</f>
        <v>151.58898243453933</v>
      </c>
      <c r="AB422" s="764">
        <v>0.25</v>
      </c>
      <c r="AC422" s="765">
        <f>AA422*(1+AB422)</f>
        <v>189.48622804317415</v>
      </c>
      <c r="AD422" s="814"/>
      <c r="AF422" s="804"/>
      <c r="AG422" s="802"/>
      <c r="AH422" s="805"/>
      <c r="AI422" s="808"/>
      <c r="AJ422" s="815"/>
      <c r="AK422" s="816"/>
      <c r="AL422" s="806"/>
      <c r="AM422" s="817"/>
      <c r="AN422" s="818"/>
      <c r="AO422" s="817"/>
      <c r="AP422" s="808"/>
      <c r="AQ422" s="808"/>
      <c r="AR422" s="808"/>
      <c r="AS422" s="808"/>
      <c r="AT422" s="808"/>
      <c r="AU422" s="817"/>
      <c r="AV422" s="817"/>
      <c r="AW422" s="819"/>
      <c r="AX422" s="802"/>
      <c r="AY422" s="802"/>
      <c r="AZ422" s="802"/>
      <c r="BA422" s="802"/>
    </row>
    <row r="423" spans="1:53" s="803" customFormat="1" ht="12.75" customHeight="1" x14ac:dyDescent="0.25">
      <c r="A423" s="1122"/>
      <c r="B423" s="766" t="s">
        <v>1177</v>
      </c>
      <c r="C423" s="788"/>
      <c r="D423" s="820"/>
      <c r="E423" s="767" t="s">
        <v>1437</v>
      </c>
      <c r="F423" s="768" t="s">
        <v>1438</v>
      </c>
      <c r="G423" s="769">
        <v>0.74</v>
      </c>
      <c r="H423" s="768">
        <v>0.01</v>
      </c>
      <c r="I423" s="770">
        <f t="shared" ref="I423:I428" si="27">G423*H423</f>
        <v>7.4000000000000003E-3</v>
      </c>
      <c r="J423" s="758" t="s">
        <v>1291</v>
      </c>
      <c r="K423" s="760">
        <v>2</v>
      </c>
      <c r="L423" s="760">
        <v>750</v>
      </c>
      <c r="M423" s="760">
        <v>2</v>
      </c>
      <c r="N423" s="786">
        <f>L423/'Исп. коэффициенты'!E52*(C427+C428)</f>
        <v>0.14138005254135169</v>
      </c>
      <c r="O423" s="759" t="s">
        <v>186</v>
      </c>
      <c r="P423" s="759">
        <v>5303.64</v>
      </c>
      <c r="Q423" s="759">
        <v>19.68</v>
      </c>
      <c r="R423" s="759">
        <f>P423*Q423%</f>
        <v>1043.7563520000001</v>
      </c>
      <c r="S423" s="759">
        <f>R423/'Исп. коэффициенты'!E52</f>
        <v>9.8377551924086384E-2</v>
      </c>
      <c r="T423" s="755" t="s">
        <v>1435</v>
      </c>
      <c r="U423" s="756">
        <v>6785401.3499999996</v>
      </c>
      <c r="V423" s="785">
        <f>'Исп. коэффициенты'!E124</f>
        <v>2978.5</v>
      </c>
      <c r="W423" s="761">
        <f>'Исп. коэффициенты'!D124</f>
        <v>1.3599999999999999E-2</v>
      </c>
      <c r="X423" s="760">
        <f>U423*W423</f>
        <v>92281.45835999999</v>
      </c>
      <c r="Y423" s="759">
        <f>X423/'Исп. коэффициенты'!E52/2</f>
        <v>4.3489191438431192</v>
      </c>
      <c r="Z423" s="759"/>
      <c r="AA423" s="755"/>
      <c r="AB423" s="755"/>
      <c r="AC423" s="773"/>
      <c r="AD423" s="802"/>
      <c r="AF423" s="821"/>
      <c r="AG423" s="802"/>
      <c r="AH423" s="805"/>
      <c r="AI423" s="805"/>
      <c r="AJ423" s="822"/>
      <c r="AK423" s="805"/>
      <c r="AL423" s="806"/>
      <c r="AM423" s="805"/>
      <c r="AN423" s="805"/>
      <c r="AO423" s="807"/>
      <c r="AP423" s="805"/>
      <c r="AQ423" s="805"/>
      <c r="AR423" s="807"/>
      <c r="AS423" s="807"/>
      <c r="AT423" s="808"/>
      <c r="AU423" s="805"/>
      <c r="AV423" s="807"/>
      <c r="AW423" s="802"/>
      <c r="AX423" s="802"/>
      <c r="AY423" s="802"/>
      <c r="AZ423" s="802"/>
      <c r="BA423" s="802"/>
    </row>
    <row r="424" spans="1:53" s="803" customFormat="1" x14ac:dyDescent="0.25">
      <c r="A424" s="1122"/>
      <c r="B424" s="774" t="s">
        <v>1178</v>
      </c>
      <c r="C424" s="753"/>
      <c r="D424" s="820"/>
      <c r="E424" s="767" t="s">
        <v>1439</v>
      </c>
      <c r="F424" s="768" t="s">
        <v>1438</v>
      </c>
      <c r="G424" s="769">
        <v>0.27</v>
      </c>
      <c r="H424" s="768">
        <v>0.01</v>
      </c>
      <c r="I424" s="775">
        <f t="shared" si="27"/>
        <v>2.7000000000000001E-3</v>
      </c>
      <c r="J424" s="758" t="s">
        <v>1445</v>
      </c>
      <c r="K424" s="760">
        <v>2</v>
      </c>
      <c r="L424" s="760">
        <v>95</v>
      </c>
      <c r="M424" s="760">
        <v>2</v>
      </c>
      <c r="N424" s="786">
        <f>L424/'Исп. коэффициенты'!E52*(C427+C428)</f>
        <v>1.7908139988571214E-2</v>
      </c>
      <c r="O424" s="759"/>
      <c r="P424" s="759"/>
      <c r="Q424" s="759"/>
      <c r="R424" s="759"/>
      <c r="S424" s="759"/>
      <c r="T424" s="759"/>
      <c r="U424" s="759"/>
      <c r="V424" s="759"/>
      <c r="W424" s="759"/>
      <c r="X424" s="759"/>
      <c r="Y424" s="759"/>
      <c r="Z424" s="759"/>
      <c r="AA424" s="755"/>
      <c r="AB424" s="755"/>
      <c r="AC424" s="773"/>
      <c r="AD424" s="802"/>
      <c r="AF424" s="821"/>
      <c r="AG424" s="802"/>
      <c r="AH424" s="805"/>
      <c r="AI424" s="805"/>
      <c r="AJ424" s="822"/>
      <c r="AK424" s="805"/>
      <c r="AL424" s="806"/>
      <c r="AM424" s="824"/>
      <c r="AN424" s="805"/>
      <c r="AO424" s="807"/>
      <c r="AP424" s="805"/>
      <c r="AQ424" s="805"/>
      <c r="AR424" s="807"/>
      <c r="AS424" s="807"/>
      <c r="AT424" s="805"/>
      <c r="AU424" s="805"/>
      <c r="AV424" s="807"/>
      <c r="AW424" s="802"/>
      <c r="AX424" s="802"/>
      <c r="AY424" s="802"/>
      <c r="AZ424" s="802"/>
      <c r="BA424" s="802"/>
    </row>
    <row r="425" spans="1:53" s="803" customFormat="1" ht="12.75" customHeight="1" x14ac:dyDescent="0.25">
      <c r="A425" s="1122"/>
      <c r="B425" s="754" t="s">
        <v>1179</v>
      </c>
      <c r="C425" s="788">
        <f>C415</f>
        <v>22.420123808013045</v>
      </c>
      <c r="D425" s="820"/>
      <c r="E425" s="767" t="s">
        <v>1598</v>
      </c>
      <c r="F425" s="768" t="s">
        <v>1441</v>
      </c>
      <c r="G425" s="769">
        <v>4.4000000000000004</v>
      </c>
      <c r="H425" s="769">
        <v>1</v>
      </c>
      <c r="I425" s="770">
        <f t="shared" si="27"/>
        <v>4.4000000000000004</v>
      </c>
      <c r="J425" s="758" t="s">
        <v>1513</v>
      </c>
      <c r="K425" s="760">
        <v>2</v>
      </c>
      <c r="L425" s="760">
        <v>25</v>
      </c>
      <c r="M425" s="760">
        <v>0.5</v>
      </c>
      <c r="N425" s="786">
        <f>L425/'Исп. коэффициенты'!E52*(C427+C428)</f>
        <v>4.7126684180450566E-3</v>
      </c>
      <c r="O425" s="759"/>
      <c r="P425" s="759"/>
      <c r="Q425" s="759"/>
      <c r="R425" s="759"/>
      <c r="S425" s="759"/>
      <c r="T425" s="759"/>
      <c r="U425" s="759"/>
      <c r="V425" s="759"/>
      <c r="W425" s="759"/>
      <c r="X425" s="759"/>
      <c r="Y425" s="759"/>
      <c r="Z425" s="759"/>
      <c r="AA425" s="755"/>
      <c r="AB425" s="755"/>
      <c r="AC425" s="773"/>
      <c r="AD425" s="802"/>
      <c r="AF425" s="821"/>
      <c r="AG425" s="802"/>
      <c r="AH425" s="805"/>
      <c r="AI425" s="805"/>
      <c r="AJ425" s="822"/>
      <c r="AK425" s="805"/>
      <c r="AL425" s="806"/>
      <c r="AM425" s="805"/>
      <c r="AN425" s="805"/>
      <c r="AO425" s="807"/>
      <c r="AP425" s="805"/>
      <c r="AQ425" s="805"/>
      <c r="AR425" s="807"/>
      <c r="AS425" s="807"/>
      <c r="AT425" s="805"/>
      <c r="AU425" s="805"/>
      <c r="AV425" s="807"/>
      <c r="AW425" s="802"/>
      <c r="AX425" s="802"/>
      <c r="AY425" s="802"/>
      <c r="AZ425" s="802"/>
      <c r="BA425" s="802"/>
    </row>
    <row r="426" spans="1:53" s="803" customFormat="1" ht="12.75" customHeight="1" x14ac:dyDescent="0.25">
      <c r="A426" s="1122"/>
      <c r="B426" s="754" t="s">
        <v>1180</v>
      </c>
      <c r="C426" s="789"/>
      <c r="D426" s="820"/>
      <c r="E426" s="767" t="s">
        <v>8</v>
      </c>
      <c r="F426" s="768" t="s">
        <v>1441</v>
      </c>
      <c r="G426" s="769">
        <v>0.82</v>
      </c>
      <c r="H426" s="769">
        <v>1</v>
      </c>
      <c r="I426" s="770">
        <f t="shared" si="27"/>
        <v>0.82</v>
      </c>
      <c r="J426" s="758"/>
      <c r="K426" s="760"/>
      <c r="L426" s="760"/>
      <c r="M426" s="760"/>
      <c r="N426" s="760"/>
      <c r="O426" s="759"/>
      <c r="P426" s="759"/>
      <c r="Q426" s="759"/>
      <c r="R426" s="759"/>
      <c r="S426" s="759"/>
      <c r="T426" s="759"/>
      <c r="U426" s="759"/>
      <c r="V426" s="759"/>
      <c r="W426" s="759"/>
      <c r="X426" s="759"/>
      <c r="Y426" s="759"/>
      <c r="Z426" s="759"/>
      <c r="AA426" s="755"/>
      <c r="AB426" s="755"/>
      <c r="AC426" s="773"/>
      <c r="AD426" s="802"/>
      <c r="AF426" s="821"/>
      <c r="AG426" s="802"/>
      <c r="AH426" s="805"/>
      <c r="AI426" s="805"/>
      <c r="AJ426" s="822"/>
      <c r="AK426" s="805"/>
      <c r="AL426" s="806"/>
      <c r="AM426" s="805"/>
      <c r="AN426" s="805"/>
      <c r="AO426" s="807"/>
      <c r="AP426" s="805"/>
      <c r="AQ426" s="805"/>
      <c r="AR426" s="807"/>
      <c r="AS426" s="807"/>
      <c r="AT426" s="805"/>
      <c r="AU426" s="805"/>
      <c r="AV426" s="807"/>
      <c r="AW426" s="802"/>
      <c r="AX426" s="802"/>
      <c r="AY426" s="802"/>
      <c r="AZ426" s="802"/>
      <c r="BA426" s="802"/>
    </row>
    <row r="427" spans="1:53" s="803" customFormat="1" ht="12.75" customHeight="1" x14ac:dyDescent="0.25">
      <c r="A427" s="1122"/>
      <c r="B427" s="774" t="s">
        <v>1178</v>
      </c>
      <c r="C427" s="784"/>
      <c r="D427" s="820"/>
      <c r="E427" s="767" t="s">
        <v>1442</v>
      </c>
      <c r="F427" s="768" t="s">
        <v>1443</v>
      </c>
      <c r="G427" s="769">
        <v>419.5</v>
      </c>
      <c r="H427" s="768">
        <v>1E-3</v>
      </c>
      <c r="I427" s="770">
        <f t="shared" si="27"/>
        <v>0.41949999999999998</v>
      </c>
      <c r="J427" s="758"/>
      <c r="K427" s="760"/>
      <c r="L427" s="760"/>
      <c r="M427" s="760"/>
      <c r="N427" s="760"/>
      <c r="O427" s="759"/>
      <c r="P427" s="759"/>
      <c r="Q427" s="759"/>
      <c r="R427" s="759"/>
      <c r="S427" s="759"/>
      <c r="T427" s="759"/>
      <c r="U427" s="759"/>
      <c r="V427" s="759"/>
      <c r="W427" s="759"/>
      <c r="X427" s="759"/>
      <c r="Y427" s="759"/>
      <c r="Z427" s="759"/>
      <c r="AA427" s="755"/>
      <c r="AB427" s="755"/>
      <c r="AC427" s="773"/>
      <c r="AD427" s="802"/>
      <c r="AF427" s="821"/>
      <c r="AG427" s="802"/>
      <c r="AH427" s="805"/>
      <c r="AI427" s="805"/>
      <c r="AJ427" s="827"/>
      <c r="AK427" s="805"/>
      <c r="AL427" s="806"/>
      <c r="AM427" s="805"/>
      <c r="AN427" s="805"/>
      <c r="AO427" s="807"/>
      <c r="AP427" s="805"/>
      <c r="AQ427" s="805"/>
      <c r="AR427" s="807"/>
      <c r="AS427" s="807"/>
      <c r="AT427" s="805"/>
      <c r="AU427" s="805"/>
      <c r="AV427" s="807"/>
      <c r="AW427" s="802"/>
      <c r="AX427" s="802"/>
      <c r="AY427" s="802"/>
      <c r="AZ427" s="802"/>
      <c r="BA427" s="802"/>
    </row>
    <row r="428" spans="1:53" s="803" customFormat="1" ht="12.75" customHeight="1" x14ac:dyDescent="0.25">
      <c r="A428" s="1122"/>
      <c r="B428" s="754" t="s">
        <v>1179</v>
      </c>
      <c r="C428" s="784">
        <v>2</v>
      </c>
      <c r="D428" s="820"/>
      <c r="E428" s="767" t="s">
        <v>1444</v>
      </c>
      <c r="F428" s="768" t="s">
        <v>1443</v>
      </c>
      <c r="G428" s="769">
        <v>872</v>
      </c>
      <c r="H428" s="768">
        <v>2E-3</v>
      </c>
      <c r="I428" s="770">
        <f t="shared" si="27"/>
        <v>1.744</v>
      </c>
      <c r="J428" s="758"/>
      <c r="K428" s="760"/>
      <c r="L428" s="760"/>
      <c r="M428" s="760"/>
      <c r="N428" s="760"/>
      <c r="O428" s="759"/>
      <c r="P428" s="759"/>
      <c r="Q428" s="759"/>
      <c r="R428" s="759"/>
      <c r="S428" s="759"/>
      <c r="T428" s="759"/>
      <c r="U428" s="759"/>
      <c r="V428" s="759"/>
      <c r="W428" s="759"/>
      <c r="X428" s="759"/>
      <c r="Y428" s="759"/>
      <c r="Z428" s="759"/>
      <c r="AA428" s="755"/>
      <c r="AB428" s="755"/>
      <c r="AC428" s="773"/>
      <c r="AD428" s="802"/>
      <c r="AF428" s="821"/>
      <c r="AG428" s="802"/>
      <c r="AH428" s="805"/>
      <c r="AI428" s="805"/>
      <c r="AJ428" s="827"/>
      <c r="AK428" s="805"/>
      <c r="AL428" s="806"/>
      <c r="AM428" s="805"/>
      <c r="AN428" s="805"/>
      <c r="AO428" s="807"/>
      <c r="AP428" s="805"/>
      <c r="AQ428" s="805"/>
      <c r="AR428" s="807"/>
      <c r="AS428" s="807"/>
      <c r="AT428" s="805"/>
      <c r="AU428" s="805"/>
      <c r="AV428" s="807"/>
      <c r="AW428" s="802"/>
      <c r="AX428" s="802"/>
      <c r="AY428" s="802"/>
      <c r="AZ428" s="802"/>
      <c r="BA428" s="802"/>
    </row>
    <row r="429" spans="1:53" s="803" customFormat="1" ht="12.75" customHeight="1" x14ac:dyDescent="0.25">
      <c r="A429" s="1122"/>
      <c r="B429" s="782" t="s">
        <v>1181</v>
      </c>
      <c r="C429" s="788">
        <f>C424*C427+C425*C428</f>
        <v>44.84024761602609</v>
      </c>
      <c r="D429" s="820"/>
      <c r="E429" s="767"/>
      <c r="F429" s="781"/>
      <c r="G429" s="769"/>
      <c r="H429" s="768"/>
      <c r="I429" s="770"/>
      <c r="J429" s="758"/>
      <c r="K429" s="828"/>
      <c r="L429" s="760"/>
      <c r="M429" s="760"/>
      <c r="N429" s="760"/>
      <c r="O429" s="759"/>
      <c r="P429" s="759"/>
      <c r="Q429" s="759"/>
      <c r="R429" s="759"/>
      <c r="S429" s="759"/>
      <c r="T429" s="759"/>
      <c r="U429" s="759"/>
      <c r="V429" s="759"/>
      <c r="W429" s="759"/>
      <c r="X429" s="759"/>
      <c r="Y429" s="759"/>
      <c r="Z429" s="759"/>
      <c r="AA429" s="755"/>
      <c r="AB429" s="755"/>
      <c r="AC429" s="773"/>
      <c r="AD429" s="802"/>
      <c r="AF429" s="821"/>
      <c r="AG429" s="802"/>
      <c r="AH429" s="805"/>
      <c r="AI429" s="805"/>
      <c r="AJ429" s="822"/>
      <c r="AK429" s="805"/>
      <c r="AL429" s="806"/>
      <c r="AM429" s="805"/>
      <c r="AN429" s="805"/>
      <c r="AO429" s="807"/>
      <c r="AP429" s="805"/>
      <c r="AQ429" s="805"/>
      <c r="AR429" s="807"/>
      <c r="AS429" s="807"/>
      <c r="AT429" s="805"/>
      <c r="AU429" s="805"/>
      <c r="AV429" s="807"/>
      <c r="AW429" s="802"/>
      <c r="AX429" s="802"/>
      <c r="AY429" s="802"/>
      <c r="AZ429" s="802"/>
      <c r="BA429" s="802"/>
    </row>
    <row r="430" spans="1:53" s="803" customFormat="1" ht="12.75" customHeight="1" x14ac:dyDescent="0.25">
      <c r="A430" s="1122"/>
      <c r="B430" s="782"/>
      <c r="C430" s="784"/>
      <c r="D430" s="829"/>
      <c r="E430" s="754"/>
      <c r="F430" s="857"/>
      <c r="G430" s="769"/>
      <c r="H430" s="756"/>
      <c r="I430" s="770"/>
      <c r="J430" s="758"/>
      <c r="K430" s="828"/>
      <c r="L430" s="760"/>
      <c r="M430" s="760"/>
      <c r="N430" s="760"/>
      <c r="O430" s="759"/>
      <c r="P430" s="759"/>
      <c r="Q430" s="759"/>
      <c r="R430" s="759"/>
      <c r="S430" s="759"/>
      <c r="T430" s="759"/>
      <c r="U430" s="759"/>
      <c r="V430" s="759"/>
      <c r="W430" s="759"/>
      <c r="X430" s="759"/>
      <c r="Y430" s="759"/>
      <c r="Z430" s="759"/>
      <c r="AA430" s="755"/>
      <c r="AB430" s="755"/>
      <c r="AC430" s="773"/>
      <c r="AD430" s="802"/>
      <c r="AF430" s="814"/>
      <c r="AG430" s="802"/>
      <c r="AH430" s="805"/>
      <c r="AI430" s="805"/>
      <c r="AJ430" s="827"/>
      <c r="AK430" s="805"/>
      <c r="AL430" s="806"/>
      <c r="AM430" s="805"/>
      <c r="AN430" s="805"/>
      <c r="AO430" s="807"/>
      <c r="AP430" s="805"/>
      <c r="AQ430" s="805"/>
      <c r="AR430" s="807"/>
      <c r="AS430" s="807"/>
      <c r="AT430" s="805"/>
      <c r="AU430" s="805"/>
      <c r="AV430" s="807"/>
      <c r="AW430" s="802"/>
      <c r="AX430" s="802"/>
      <c r="AY430" s="802"/>
      <c r="AZ430" s="802"/>
      <c r="BA430" s="802"/>
    </row>
    <row r="431" spans="1:53" ht="56.25" customHeight="1" x14ac:dyDescent="0.25">
      <c r="A431" s="1126" t="s">
        <v>578</v>
      </c>
      <c r="B431" s="51"/>
      <c r="C431" s="51"/>
      <c r="D431" s="219"/>
      <c r="E431" s="52" t="s">
        <v>488</v>
      </c>
      <c r="F431" s="53" t="s">
        <v>837</v>
      </c>
      <c r="G431" s="51" t="s">
        <v>489</v>
      </c>
      <c r="H431" s="52" t="s">
        <v>1170</v>
      </c>
      <c r="I431" s="53" t="s">
        <v>838</v>
      </c>
      <c r="J431" s="47" t="s">
        <v>1171</v>
      </c>
      <c r="K431" s="47" t="s">
        <v>490</v>
      </c>
      <c r="L431" s="54" t="s">
        <v>489</v>
      </c>
      <c r="M431" s="47" t="s">
        <v>1172</v>
      </c>
      <c r="N431" s="53" t="s">
        <v>838</v>
      </c>
      <c r="O431" s="47" t="s">
        <v>1171</v>
      </c>
      <c r="P431" s="47" t="s">
        <v>826</v>
      </c>
      <c r="Q431" s="47" t="s">
        <v>1173</v>
      </c>
      <c r="R431" s="47" t="s">
        <v>1174</v>
      </c>
      <c r="S431" s="47" t="s">
        <v>839</v>
      </c>
      <c r="T431" s="47" t="s">
        <v>1171</v>
      </c>
      <c r="U431" s="47" t="s">
        <v>1392</v>
      </c>
      <c r="V431" s="47" t="s">
        <v>841</v>
      </c>
      <c r="W431" s="231" t="s">
        <v>1173</v>
      </c>
      <c r="X431" s="47" t="s">
        <v>1394</v>
      </c>
      <c r="Y431" s="47" t="s">
        <v>839</v>
      </c>
      <c r="Z431" s="55"/>
      <c r="AA431" s="1"/>
      <c r="AB431" s="1"/>
      <c r="AC431" s="245"/>
      <c r="AD431" s="56"/>
      <c r="AQ431" s="139"/>
      <c r="AR431" s="139"/>
      <c r="AS431" s="139"/>
    </row>
    <row r="432" spans="1:53" ht="12" customHeight="1" x14ac:dyDescent="0.25">
      <c r="A432" s="1126"/>
      <c r="B432" s="36" t="s">
        <v>1175</v>
      </c>
      <c r="C432" s="51">
        <f>C439</f>
        <v>33.630185712019568</v>
      </c>
      <c r="D432" s="219">
        <f>C432*$D$5</f>
        <v>6.7932975138279534</v>
      </c>
      <c r="E432" s="57" t="s">
        <v>1176</v>
      </c>
      <c r="F432" s="165"/>
      <c r="G432" s="58"/>
      <c r="H432" s="58"/>
      <c r="I432" s="2">
        <f>SUM(I433:I440)</f>
        <v>6.5736000000000008</v>
      </c>
      <c r="J432" s="59" t="s">
        <v>1176</v>
      </c>
      <c r="K432" s="169"/>
      <c r="L432" s="60"/>
      <c r="M432" s="60"/>
      <c r="N432" s="61">
        <f>SUM(N433:N440)</f>
        <v>8.4000000000000005E-2</v>
      </c>
      <c r="O432" s="60" t="s">
        <v>1176</v>
      </c>
      <c r="P432" s="60"/>
      <c r="Q432" s="62"/>
      <c r="R432" s="63"/>
      <c r="S432" s="61">
        <f>SUM(S433:S440)</f>
        <v>5.9019000000000004</v>
      </c>
      <c r="T432" s="61"/>
      <c r="U432" s="61"/>
      <c r="V432" s="61"/>
      <c r="W432" s="61"/>
      <c r="X432" s="61"/>
      <c r="Y432" s="61">
        <f>SUM(Y433:Y440)</f>
        <v>9.1999999999999998E-3</v>
      </c>
      <c r="Z432" s="64">
        <f>(C432+D432+I432+N432+S432+Y432)*$Z$5</f>
        <v>68.899784444572944</v>
      </c>
      <c r="AA432" s="65">
        <f>C432+D432+I432+N432+S432+Y432+Z432</f>
        <v>121.89196767042046</v>
      </c>
      <c r="AB432" s="66">
        <v>0.25</v>
      </c>
      <c r="AC432" s="244">
        <f>AA432*(1+AB432)</f>
        <v>152.36495958802556</v>
      </c>
      <c r="AD432" s="67"/>
      <c r="AI432" s="139"/>
      <c r="AJ432" s="140"/>
      <c r="AK432" s="141"/>
      <c r="AM432" s="142"/>
      <c r="AN432" s="143"/>
      <c r="AO432" s="142"/>
      <c r="AP432" s="139"/>
      <c r="AQ432" s="139"/>
      <c r="AR432" s="139"/>
      <c r="AS432" s="139"/>
      <c r="AT432" s="139"/>
      <c r="AU432" s="142"/>
      <c r="AV432" s="142"/>
      <c r="AW432" s="144"/>
    </row>
    <row r="433" spans="1:49" ht="12.75" customHeight="1" x14ac:dyDescent="0.25">
      <c r="A433" s="1126"/>
      <c r="B433" s="50" t="s">
        <v>1177</v>
      </c>
      <c r="C433" s="51"/>
      <c r="D433" s="220"/>
      <c r="E433" s="68" t="s">
        <v>1437</v>
      </c>
      <c r="F433" s="69" t="s">
        <v>1438</v>
      </c>
      <c r="G433" s="70">
        <v>0.74</v>
      </c>
      <c r="H433" s="69">
        <v>0.01</v>
      </c>
      <c r="I433" s="71">
        <f>G433*H433</f>
        <v>7.4000000000000003E-3</v>
      </c>
      <c r="J433" s="59" t="s">
        <v>1291</v>
      </c>
      <c r="K433" s="61">
        <v>2</v>
      </c>
      <c r="L433" s="61">
        <v>640</v>
      </c>
      <c r="M433" s="61">
        <v>2</v>
      </c>
      <c r="N433" s="61">
        <v>0.05</v>
      </c>
      <c r="O433" s="60" t="s">
        <v>128</v>
      </c>
      <c r="P433" s="60">
        <v>27500</v>
      </c>
      <c r="Q433" s="60">
        <v>19.68</v>
      </c>
      <c r="R433" s="60">
        <f>P433*Q433%</f>
        <v>5412</v>
      </c>
      <c r="S433" s="243">
        <v>5.9019000000000004</v>
      </c>
      <c r="T433" s="239" t="s">
        <v>1435</v>
      </c>
      <c r="U433" s="240">
        <v>6785401.3499999996</v>
      </c>
      <c r="V433" s="241">
        <v>1.32E-2</v>
      </c>
      <c r="W433" s="239">
        <v>1508.3</v>
      </c>
      <c r="X433" s="61">
        <v>59.38</v>
      </c>
      <c r="Y433" s="60">
        <v>9.1999999999999998E-3</v>
      </c>
      <c r="Z433" s="60"/>
      <c r="AA433" s="1"/>
      <c r="AB433" s="1"/>
      <c r="AC433" s="245"/>
      <c r="AD433" s="56"/>
      <c r="AF433" s="151"/>
      <c r="AJ433" s="136"/>
      <c r="AT433" s="139"/>
    </row>
    <row r="434" spans="1:49" x14ac:dyDescent="0.25">
      <c r="A434" s="1126"/>
      <c r="B434" s="74" t="s">
        <v>1178</v>
      </c>
      <c r="C434" s="75"/>
      <c r="D434" s="220"/>
      <c r="E434" s="68" t="s">
        <v>1439</v>
      </c>
      <c r="F434" s="69" t="s">
        <v>1438</v>
      </c>
      <c r="G434" s="70">
        <v>0.27</v>
      </c>
      <c r="H434" s="69">
        <v>0.01</v>
      </c>
      <c r="I434" s="242">
        <f>G434*H434</f>
        <v>2.7000000000000001E-3</v>
      </c>
      <c r="J434" s="59" t="s">
        <v>1445</v>
      </c>
      <c r="K434" s="61">
        <v>2</v>
      </c>
      <c r="L434" s="61">
        <v>84</v>
      </c>
      <c r="M434" s="61">
        <v>2</v>
      </c>
      <c r="N434" s="61">
        <v>8.9999999999999993E-3</v>
      </c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1"/>
      <c r="AB434" s="1"/>
      <c r="AC434" s="245"/>
      <c r="AD434" s="56"/>
      <c r="AF434" s="151"/>
      <c r="AJ434" s="136"/>
      <c r="AM434" s="145"/>
    </row>
    <row r="435" spans="1:49" ht="12.75" customHeight="1" x14ac:dyDescent="0.25">
      <c r="A435" s="1126"/>
      <c r="B435" s="57" t="s">
        <v>1179</v>
      </c>
      <c r="C435" s="51">
        <f>C425</f>
        <v>22.420123808013045</v>
      </c>
      <c r="D435" s="220"/>
      <c r="E435" s="68" t="s">
        <v>1598</v>
      </c>
      <c r="F435" s="69" t="s">
        <v>1441</v>
      </c>
      <c r="G435" s="70">
        <v>4.4000000000000004</v>
      </c>
      <c r="H435" s="70">
        <v>1</v>
      </c>
      <c r="I435" s="71">
        <f>G435*H435</f>
        <v>4.4000000000000004</v>
      </c>
      <c r="J435" s="59" t="s">
        <v>1513</v>
      </c>
      <c r="K435" s="61">
        <v>2</v>
      </c>
      <c r="L435" s="61">
        <v>25</v>
      </c>
      <c r="M435" s="61">
        <v>0.5</v>
      </c>
      <c r="N435" s="61">
        <v>2.5000000000000001E-2</v>
      </c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1"/>
      <c r="AB435" s="1"/>
      <c r="AC435" s="245"/>
      <c r="AD435" s="56"/>
      <c r="AF435" s="151"/>
      <c r="AJ435" s="136"/>
    </row>
    <row r="436" spans="1:49" ht="12.75" customHeight="1" x14ac:dyDescent="0.25">
      <c r="A436" s="1126"/>
      <c r="B436" s="57" t="s">
        <v>1180</v>
      </c>
      <c r="C436" s="77"/>
      <c r="D436" s="220"/>
      <c r="E436" s="68"/>
      <c r="F436" s="69"/>
      <c r="G436" s="70"/>
      <c r="H436" s="69"/>
      <c r="I436" s="71"/>
      <c r="J436" s="59"/>
      <c r="K436" s="61"/>
      <c r="L436" s="61"/>
      <c r="M436" s="61"/>
      <c r="N436" s="61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1"/>
      <c r="AB436" s="1"/>
      <c r="AC436" s="245"/>
      <c r="AD436" s="56"/>
      <c r="AF436" s="151"/>
      <c r="AJ436" s="136"/>
    </row>
    <row r="437" spans="1:49" ht="12.75" customHeight="1" x14ac:dyDescent="0.25">
      <c r="A437" s="1126"/>
      <c r="B437" s="74" t="s">
        <v>1178</v>
      </c>
      <c r="C437" s="78"/>
      <c r="D437" s="220"/>
      <c r="E437" s="68" t="s">
        <v>1442</v>
      </c>
      <c r="F437" s="69" t="s">
        <v>1443</v>
      </c>
      <c r="G437" s="70">
        <v>419.5</v>
      </c>
      <c r="H437" s="69">
        <v>1E-3</v>
      </c>
      <c r="I437" s="71">
        <f>G437*H437</f>
        <v>0.41949999999999998</v>
      </c>
      <c r="J437" s="59"/>
      <c r="K437" s="61"/>
      <c r="L437" s="61"/>
      <c r="M437" s="61"/>
      <c r="N437" s="61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1"/>
      <c r="AB437" s="1"/>
      <c r="AC437" s="245"/>
      <c r="AD437" s="56"/>
      <c r="AF437" s="151"/>
      <c r="AJ437" s="146"/>
    </row>
    <row r="438" spans="1:49" ht="12.75" customHeight="1" x14ac:dyDescent="0.25">
      <c r="A438" s="1126"/>
      <c r="B438" s="57" t="s">
        <v>1179</v>
      </c>
      <c r="C438" s="78">
        <v>1.5</v>
      </c>
      <c r="D438" s="220"/>
      <c r="E438" s="68" t="s">
        <v>1444</v>
      </c>
      <c r="F438" s="69" t="s">
        <v>1443</v>
      </c>
      <c r="G438" s="70">
        <v>872</v>
      </c>
      <c r="H438" s="69">
        <v>2E-3</v>
      </c>
      <c r="I438" s="71">
        <f>G438*H438</f>
        <v>1.744</v>
      </c>
      <c r="J438" s="59"/>
      <c r="K438" s="61"/>
      <c r="L438" s="61"/>
      <c r="M438" s="61"/>
      <c r="N438" s="61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1"/>
      <c r="AB438" s="1"/>
      <c r="AC438" s="245"/>
      <c r="AD438" s="56"/>
      <c r="AF438" s="151"/>
      <c r="AJ438" s="146"/>
    </row>
    <row r="439" spans="1:49" ht="12.75" customHeight="1" x14ac:dyDescent="0.25">
      <c r="A439" s="1126"/>
      <c r="B439" s="79" t="s">
        <v>1181</v>
      </c>
      <c r="C439" s="51">
        <f>C434*C437+C435*C438</f>
        <v>33.630185712019568</v>
      </c>
      <c r="D439" s="220"/>
      <c r="E439" s="68"/>
      <c r="F439" s="166"/>
      <c r="G439" s="70"/>
      <c r="H439" s="69"/>
      <c r="I439" s="71"/>
      <c r="J439" s="59"/>
      <c r="K439" s="170"/>
      <c r="L439" s="61"/>
      <c r="M439" s="61"/>
      <c r="N439" s="61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1"/>
      <c r="AB439" s="1"/>
      <c r="AC439" s="245"/>
      <c r="AD439" s="56"/>
      <c r="AF439" s="151"/>
      <c r="AJ439" s="136"/>
    </row>
    <row r="440" spans="1:49" ht="12.75" customHeight="1" x14ac:dyDescent="0.25">
      <c r="A440" s="1126"/>
      <c r="B440" s="79"/>
      <c r="C440" s="78"/>
      <c r="D440" s="221"/>
      <c r="E440" s="57"/>
      <c r="F440" s="167"/>
      <c r="G440" s="70"/>
      <c r="H440" s="58"/>
      <c r="I440" s="71"/>
      <c r="J440" s="59"/>
      <c r="K440" s="170"/>
      <c r="L440" s="61"/>
      <c r="M440" s="61"/>
      <c r="N440" s="61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1"/>
      <c r="AB440" s="1"/>
      <c r="AC440" s="245"/>
      <c r="AD440" s="56"/>
      <c r="AF440" s="67"/>
      <c r="AJ440" s="146"/>
    </row>
    <row r="441" spans="1:49" ht="56.25" customHeight="1" x14ac:dyDescent="0.25">
      <c r="A441" s="1126" t="s">
        <v>587</v>
      </c>
      <c r="B441" s="51"/>
      <c r="C441" s="51"/>
      <c r="D441" s="219"/>
      <c r="E441" s="52" t="s">
        <v>488</v>
      </c>
      <c r="F441" s="53" t="s">
        <v>837</v>
      </c>
      <c r="G441" s="51" t="s">
        <v>489</v>
      </c>
      <c r="H441" s="52" t="s">
        <v>1170</v>
      </c>
      <c r="I441" s="53" t="s">
        <v>838</v>
      </c>
      <c r="J441" s="47" t="s">
        <v>1171</v>
      </c>
      <c r="K441" s="47" t="s">
        <v>490</v>
      </c>
      <c r="L441" s="54" t="s">
        <v>489</v>
      </c>
      <c r="M441" s="47" t="s">
        <v>1172</v>
      </c>
      <c r="N441" s="53" t="s">
        <v>838</v>
      </c>
      <c r="O441" s="47" t="s">
        <v>1171</v>
      </c>
      <c r="P441" s="47" t="s">
        <v>826</v>
      </c>
      <c r="Q441" s="47" t="s">
        <v>1173</v>
      </c>
      <c r="R441" s="47" t="s">
        <v>1174</v>
      </c>
      <c r="S441" s="47" t="s">
        <v>839</v>
      </c>
      <c r="T441" s="47" t="s">
        <v>1171</v>
      </c>
      <c r="U441" s="47" t="s">
        <v>1392</v>
      </c>
      <c r="V441" s="47" t="s">
        <v>841</v>
      </c>
      <c r="W441" s="231" t="s">
        <v>1173</v>
      </c>
      <c r="X441" s="47" t="s">
        <v>1394</v>
      </c>
      <c r="Y441" s="47" t="s">
        <v>839</v>
      </c>
      <c r="Z441" s="55"/>
      <c r="AA441" s="1"/>
      <c r="AB441" s="1"/>
      <c r="AC441" s="245"/>
      <c r="AD441" s="56"/>
      <c r="AQ441" s="139"/>
      <c r="AR441" s="139"/>
      <c r="AS441" s="139"/>
    </row>
    <row r="442" spans="1:49" ht="12" customHeight="1" x14ac:dyDescent="0.25">
      <c r="A442" s="1126"/>
      <c r="B442" s="36" t="s">
        <v>1175</v>
      </c>
      <c r="C442" s="51">
        <f>C449</f>
        <v>56.050309520032613</v>
      </c>
      <c r="D442" s="219">
        <f>C442*$D$5</f>
        <v>11.322162523046588</v>
      </c>
      <c r="E442" s="57" t="s">
        <v>1176</v>
      </c>
      <c r="F442" s="165"/>
      <c r="G442" s="58"/>
      <c r="H442" s="58"/>
      <c r="I442" s="2">
        <f>SUM(I443:I450)</f>
        <v>6.5736000000000008</v>
      </c>
      <c r="J442" s="59" t="s">
        <v>1176</v>
      </c>
      <c r="K442" s="169"/>
      <c r="L442" s="60"/>
      <c r="M442" s="60"/>
      <c r="N442" s="61">
        <f>SUM(N443:N450)</f>
        <v>8.4000000000000005E-2</v>
      </c>
      <c r="O442" s="60" t="s">
        <v>1176</v>
      </c>
      <c r="P442" s="60"/>
      <c r="Q442" s="62"/>
      <c r="R442" s="63"/>
      <c r="S442" s="61">
        <f>SUM(S443:S450)</f>
        <v>1.1382000000000001</v>
      </c>
      <c r="T442" s="61"/>
      <c r="U442" s="61"/>
      <c r="V442" s="61"/>
      <c r="W442" s="61"/>
      <c r="X442" s="61"/>
      <c r="Y442" s="61">
        <f>SUM(Y443:Y450)</f>
        <v>9.1999999999999998E-3</v>
      </c>
      <c r="Z442" s="64">
        <f>(C442+D442+I442+N442+S442+Y442)*$Z$5</f>
        <v>97.744823925835263</v>
      </c>
      <c r="AA442" s="65">
        <f>C442+D442+I442+N442+S442+Y442+Z442</f>
        <v>172.92229596891445</v>
      </c>
      <c r="AB442" s="66">
        <v>0.25</v>
      </c>
      <c r="AC442" s="244">
        <f>AA442*(1+AB442)</f>
        <v>216.15286996114307</v>
      </c>
      <c r="AD442" s="67"/>
      <c r="AI442" s="139"/>
      <c r="AJ442" s="140"/>
      <c r="AK442" s="141"/>
      <c r="AM442" s="142"/>
      <c r="AN442" s="143"/>
      <c r="AO442" s="142"/>
      <c r="AP442" s="139"/>
      <c r="AQ442" s="139"/>
      <c r="AR442" s="139"/>
      <c r="AS442" s="139"/>
      <c r="AT442" s="139"/>
      <c r="AU442" s="142"/>
      <c r="AV442" s="142"/>
      <c r="AW442" s="144"/>
    </row>
    <row r="443" spans="1:49" ht="12.75" customHeight="1" x14ac:dyDescent="0.25">
      <c r="A443" s="1126"/>
      <c r="B443" s="50" t="s">
        <v>1177</v>
      </c>
      <c r="C443" s="51"/>
      <c r="D443" s="220"/>
      <c r="E443" s="68" t="s">
        <v>1437</v>
      </c>
      <c r="F443" s="69" t="s">
        <v>1438</v>
      </c>
      <c r="G443" s="70">
        <v>0.74</v>
      </c>
      <c r="H443" s="69">
        <v>0.01</v>
      </c>
      <c r="I443" s="71">
        <f>G443*H443</f>
        <v>7.4000000000000003E-3</v>
      </c>
      <c r="J443" s="59" t="s">
        <v>1291</v>
      </c>
      <c r="K443" s="61">
        <v>2</v>
      </c>
      <c r="L443" s="61">
        <v>640</v>
      </c>
      <c r="M443" s="61">
        <v>2</v>
      </c>
      <c r="N443" s="61">
        <v>0.05</v>
      </c>
      <c r="O443" s="60" t="s">
        <v>186</v>
      </c>
      <c r="P443" s="60">
        <v>5303.64</v>
      </c>
      <c r="Q443" s="60">
        <v>19.68</v>
      </c>
      <c r="R443" s="60">
        <f>P443*Q443%</f>
        <v>1043.7563520000001</v>
      </c>
      <c r="S443" s="60">
        <v>1.1382000000000001</v>
      </c>
      <c r="T443" s="239" t="s">
        <v>1435</v>
      </c>
      <c r="U443" s="240">
        <v>6785401.3499999996</v>
      </c>
      <c r="V443" s="241">
        <v>1.32E-2</v>
      </c>
      <c r="W443" s="239">
        <v>1508.3</v>
      </c>
      <c r="X443" s="61">
        <v>59.38</v>
      </c>
      <c r="Y443" s="60">
        <v>9.1999999999999998E-3</v>
      </c>
      <c r="Z443" s="60"/>
      <c r="AA443" s="1"/>
      <c r="AB443" s="1"/>
      <c r="AC443" s="245"/>
      <c r="AD443" s="56"/>
      <c r="AF443" s="151"/>
      <c r="AJ443" s="136"/>
      <c r="AT443" s="139"/>
    </row>
    <row r="444" spans="1:49" x14ac:dyDescent="0.25">
      <c r="A444" s="1126"/>
      <c r="B444" s="74" t="s">
        <v>1178</v>
      </c>
      <c r="C444" s="75"/>
      <c r="D444" s="220"/>
      <c r="E444" s="68" t="s">
        <v>1439</v>
      </c>
      <c r="F444" s="69" t="s">
        <v>1438</v>
      </c>
      <c r="G444" s="70">
        <v>0.27</v>
      </c>
      <c r="H444" s="69">
        <v>0.01</v>
      </c>
      <c r="I444" s="242">
        <f>G444*H444</f>
        <v>2.7000000000000001E-3</v>
      </c>
      <c r="J444" s="59" t="s">
        <v>1445</v>
      </c>
      <c r="K444" s="61">
        <v>2</v>
      </c>
      <c r="L444" s="61">
        <v>84</v>
      </c>
      <c r="M444" s="61">
        <v>2</v>
      </c>
      <c r="N444" s="61">
        <v>8.9999999999999993E-3</v>
      </c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1"/>
      <c r="AB444" s="1"/>
      <c r="AC444" s="245"/>
      <c r="AD444" s="56"/>
      <c r="AF444" s="151"/>
      <c r="AJ444" s="136"/>
      <c r="AM444" s="145"/>
    </row>
    <row r="445" spans="1:49" ht="12.75" customHeight="1" x14ac:dyDescent="0.25">
      <c r="A445" s="1126"/>
      <c r="B445" s="57" t="s">
        <v>1179</v>
      </c>
      <c r="C445" s="51">
        <f>C435</f>
        <v>22.420123808013045</v>
      </c>
      <c r="D445" s="220"/>
      <c r="E445" s="68" t="s">
        <v>1598</v>
      </c>
      <c r="F445" s="69" t="s">
        <v>1441</v>
      </c>
      <c r="G445" s="70">
        <v>4.4000000000000004</v>
      </c>
      <c r="H445" s="70">
        <v>1</v>
      </c>
      <c r="I445" s="71">
        <f>G445*H445</f>
        <v>4.4000000000000004</v>
      </c>
      <c r="J445" s="59" t="s">
        <v>1513</v>
      </c>
      <c r="K445" s="61">
        <v>2</v>
      </c>
      <c r="L445" s="61">
        <v>25</v>
      </c>
      <c r="M445" s="61">
        <v>0.5</v>
      </c>
      <c r="N445" s="61">
        <v>2.5000000000000001E-2</v>
      </c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1"/>
      <c r="AB445" s="1"/>
      <c r="AC445" s="245"/>
      <c r="AD445" s="56"/>
      <c r="AF445" s="151"/>
      <c r="AJ445" s="136"/>
    </row>
    <row r="446" spans="1:49" ht="12.75" customHeight="1" x14ac:dyDescent="0.25">
      <c r="A446" s="1126"/>
      <c r="B446" s="57" t="s">
        <v>1180</v>
      </c>
      <c r="C446" s="77"/>
      <c r="D446" s="220"/>
      <c r="E446" s="68"/>
      <c r="F446" s="69"/>
      <c r="G446" s="70"/>
      <c r="H446" s="69"/>
      <c r="I446" s="71"/>
      <c r="J446" s="59"/>
      <c r="K446" s="61"/>
      <c r="L446" s="61"/>
      <c r="M446" s="61"/>
      <c r="N446" s="61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1"/>
      <c r="AB446" s="1"/>
      <c r="AC446" s="245"/>
      <c r="AD446" s="56"/>
      <c r="AF446" s="151"/>
      <c r="AJ446" s="136"/>
    </row>
    <row r="447" spans="1:49" ht="12.75" customHeight="1" x14ac:dyDescent="0.25">
      <c r="A447" s="1126"/>
      <c r="B447" s="74" t="s">
        <v>1178</v>
      </c>
      <c r="C447" s="78"/>
      <c r="D447" s="220"/>
      <c r="E447" s="68" t="s">
        <v>1442</v>
      </c>
      <c r="F447" s="69" t="s">
        <v>1443</v>
      </c>
      <c r="G447" s="70">
        <v>419.5</v>
      </c>
      <c r="H447" s="69">
        <v>1E-3</v>
      </c>
      <c r="I447" s="71">
        <f>G447*H447</f>
        <v>0.41949999999999998</v>
      </c>
      <c r="J447" s="59"/>
      <c r="K447" s="61"/>
      <c r="L447" s="61"/>
      <c r="M447" s="61"/>
      <c r="N447" s="61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1"/>
      <c r="AB447" s="1"/>
      <c r="AC447" s="245"/>
      <c r="AD447" s="56"/>
      <c r="AF447" s="151"/>
      <c r="AJ447" s="146"/>
    </row>
    <row r="448" spans="1:49" ht="12.75" customHeight="1" x14ac:dyDescent="0.25">
      <c r="A448" s="1126"/>
      <c r="B448" s="57" t="s">
        <v>1179</v>
      </c>
      <c r="C448" s="78">
        <v>2.5</v>
      </c>
      <c r="D448" s="220"/>
      <c r="E448" s="68" t="s">
        <v>1444</v>
      </c>
      <c r="F448" s="69" t="s">
        <v>1443</v>
      </c>
      <c r="G448" s="70">
        <v>872</v>
      </c>
      <c r="H448" s="69">
        <v>2E-3</v>
      </c>
      <c r="I448" s="71">
        <f>G448*H448</f>
        <v>1.744</v>
      </c>
      <c r="J448" s="59"/>
      <c r="K448" s="61"/>
      <c r="L448" s="61"/>
      <c r="M448" s="61"/>
      <c r="N448" s="61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1"/>
      <c r="AB448" s="1"/>
      <c r="AC448" s="245"/>
      <c r="AD448" s="56"/>
      <c r="AF448" s="151"/>
      <c r="AJ448" s="146"/>
    </row>
    <row r="449" spans="1:53" ht="12.75" customHeight="1" x14ac:dyDescent="0.25">
      <c r="A449" s="1126"/>
      <c r="B449" s="79" t="s">
        <v>1181</v>
      </c>
      <c r="C449" s="51">
        <f>C444*C447+C445*C448</f>
        <v>56.050309520032613</v>
      </c>
      <c r="D449" s="220"/>
      <c r="E449" s="68"/>
      <c r="F449" s="166"/>
      <c r="G449" s="70"/>
      <c r="H449" s="69"/>
      <c r="I449" s="71"/>
      <c r="J449" s="59"/>
      <c r="K449" s="170"/>
      <c r="L449" s="61"/>
      <c r="M449" s="61"/>
      <c r="N449" s="61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1"/>
      <c r="AB449" s="1"/>
      <c r="AC449" s="245"/>
      <c r="AD449" s="56"/>
      <c r="AF449" s="151"/>
      <c r="AJ449" s="136"/>
    </row>
    <row r="450" spans="1:53" ht="12.75" customHeight="1" x14ac:dyDescent="0.25">
      <c r="A450" s="1126"/>
      <c r="B450" s="79"/>
      <c r="C450" s="78"/>
      <c r="D450" s="221"/>
      <c r="E450" s="57"/>
      <c r="F450" s="167"/>
      <c r="G450" s="70"/>
      <c r="H450" s="58"/>
      <c r="I450" s="71"/>
      <c r="J450" s="59"/>
      <c r="K450" s="170"/>
      <c r="L450" s="61"/>
      <c r="M450" s="61"/>
      <c r="N450" s="61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1"/>
      <c r="AB450" s="1"/>
      <c r="AC450" s="245"/>
      <c r="AD450" s="56"/>
      <c r="AF450" s="67"/>
      <c r="AJ450" s="146"/>
    </row>
    <row r="451" spans="1:53" s="803" customFormat="1" ht="56.25" customHeight="1" x14ac:dyDescent="0.25">
      <c r="A451" s="1122" t="s">
        <v>588</v>
      </c>
      <c r="B451" s="837"/>
      <c r="C451" s="837"/>
      <c r="D451" s="834"/>
      <c r="E451" s="791" t="s">
        <v>488</v>
      </c>
      <c r="F451" s="792" t="s">
        <v>837</v>
      </c>
      <c r="G451" s="837" t="s">
        <v>489</v>
      </c>
      <c r="H451" s="791" t="s">
        <v>1170</v>
      </c>
      <c r="I451" s="792" t="s">
        <v>838</v>
      </c>
      <c r="J451" s="793" t="s">
        <v>1171</v>
      </c>
      <c r="K451" s="793" t="s">
        <v>490</v>
      </c>
      <c r="L451" s="794" t="s">
        <v>489</v>
      </c>
      <c r="M451" s="793" t="s">
        <v>1172</v>
      </c>
      <c r="N451" s="792" t="s">
        <v>838</v>
      </c>
      <c r="O451" s="793" t="s">
        <v>1171</v>
      </c>
      <c r="P451" s="793" t="s">
        <v>826</v>
      </c>
      <c r="Q451" s="793" t="s">
        <v>1173</v>
      </c>
      <c r="R451" s="793" t="s">
        <v>1174</v>
      </c>
      <c r="S451" s="793" t="s">
        <v>839</v>
      </c>
      <c r="T451" s="793" t="s">
        <v>1171</v>
      </c>
      <c r="U451" s="793" t="s">
        <v>1392</v>
      </c>
      <c r="V451" s="793" t="s">
        <v>841</v>
      </c>
      <c r="W451" s="795" t="s">
        <v>1173</v>
      </c>
      <c r="X451" s="793" t="s">
        <v>1394</v>
      </c>
      <c r="Y451" s="793" t="s">
        <v>839</v>
      </c>
      <c r="Z451" s="796"/>
      <c r="AA451" s="755"/>
      <c r="AB451" s="755"/>
      <c r="AC451" s="773"/>
      <c r="AD451" s="802"/>
      <c r="AF451" s="804"/>
      <c r="AG451" s="802"/>
      <c r="AH451" s="805"/>
      <c r="AI451" s="805"/>
      <c r="AJ451" s="805"/>
      <c r="AK451" s="805"/>
      <c r="AL451" s="806"/>
      <c r="AM451" s="805"/>
      <c r="AN451" s="805"/>
      <c r="AO451" s="807"/>
      <c r="AP451" s="805"/>
      <c r="AQ451" s="808"/>
      <c r="AR451" s="808"/>
      <c r="AS451" s="808"/>
      <c r="AT451" s="805"/>
      <c r="AU451" s="805"/>
      <c r="AV451" s="807"/>
      <c r="AW451" s="802"/>
      <c r="AX451" s="802"/>
      <c r="AY451" s="802"/>
      <c r="AZ451" s="802"/>
      <c r="BA451" s="802"/>
    </row>
    <row r="452" spans="1:53" s="803" customFormat="1" ht="12" customHeight="1" x14ac:dyDescent="0.25">
      <c r="A452" s="1122"/>
      <c r="B452" s="752" t="s">
        <v>1175</v>
      </c>
      <c r="C452" s="837">
        <f>C459</f>
        <v>44.84024761602609</v>
      </c>
      <c r="D452" s="834">
        <f>C452*$D$5</f>
        <v>9.0577300184372707</v>
      </c>
      <c r="E452" s="754" t="s">
        <v>1176</v>
      </c>
      <c r="F452" s="810"/>
      <c r="G452" s="756"/>
      <c r="H452" s="756"/>
      <c r="I452" s="757">
        <f>SUM(I453:I460)</f>
        <v>6.5736000000000008</v>
      </c>
      <c r="J452" s="758" t="s">
        <v>1176</v>
      </c>
      <c r="K452" s="811"/>
      <c r="L452" s="759"/>
      <c r="M452" s="759"/>
      <c r="N452" s="760">
        <f>SUM(N453:N460)</f>
        <v>0.16400086094796795</v>
      </c>
      <c r="O452" s="759" t="s">
        <v>1176</v>
      </c>
      <c r="P452" s="759"/>
      <c r="Q452" s="812"/>
      <c r="R452" s="813"/>
      <c r="S452" s="760">
        <f>SUM(S453:S460)</f>
        <v>9.8377551924086384E-2</v>
      </c>
      <c r="T452" s="760"/>
      <c r="U452" s="760"/>
      <c r="V452" s="760"/>
      <c r="W452" s="760"/>
      <c r="X452" s="760"/>
      <c r="Y452" s="760">
        <f>SUM(Y453:Y460)</f>
        <v>4.3489191438431192</v>
      </c>
      <c r="Z452" s="762">
        <f>(C452+D452+I452+N452+S452+Y452)*$Z$5</f>
        <v>84.619953335269074</v>
      </c>
      <c r="AA452" s="763">
        <f>C452+D452+I452+N452+S452+Y452+Z452</f>
        <v>149.7028285264476</v>
      </c>
      <c r="AB452" s="764">
        <v>0.25</v>
      </c>
      <c r="AC452" s="765">
        <f>AA452*(1+AB452)</f>
        <v>187.12853565805949</v>
      </c>
      <c r="AD452" s="814"/>
      <c r="AF452" s="804"/>
      <c r="AG452" s="802"/>
      <c r="AH452" s="805"/>
      <c r="AI452" s="808"/>
      <c r="AJ452" s="815"/>
      <c r="AK452" s="816"/>
      <c r="AL452" s="806"/>
      <c r="AM452" s="817"/>
      <c r="AN452" s="818"/>
      <c r="AO452" s="817"/>
      <c r="AP452" s="808"/>
      <c r="AQ452" s="808"/>
      <c r="AR452" s="808"/>
      <c r="AS452" s="808"/>
      <c r="AT452" s="808"/>
      <c r="AU452" s="817"/>
      <c r="AV452" s="817"/>
      <c r="AW452" s="819"/>
      <c r="AX452" s="802"/>
      <c r="AY452" s="802"/>
      <c r="AZ452" s="802"/>
      <c r="BA452" s="802"/>
    </row>
    <row r="453" spans="1:53" s="803" customFormat="1" ht="12.75" customHeight="1" x14ac:dyDescent="0.25">
      <c r="A453" s="1122"/>
      <c r="B453" s="766" t="s">
        <v>1177</v>
      </c>
      <c r="C453" s="837"/>
      <c r="D453" s="835"/>
      <c r="E453" s="767" t="s">
        <v>1437</v>
      </c>
      <c r="F453" s="768" t="s">
        <v>1438</v>
      </c>
      <c r="G453" s="769">
        <v>0.74</v>
      </c>
      <c r="H453" s="768">
        <v>0.01</v>
      </c>
      <c r="I453" s="770">
        <f>G453*H453</f>
        <v>7.4000000000000003E-3</v>
      </c>
      <c r="J453" s="758" t="s">
        <v>1291</v>
      </c>
      <c r="K453" s="760">
        <v>2</v>
      </c>
      <c r="L453" s="760">
        <v>750</v>
      </c>
      <c r="M453" s="760">
        <v>2</v>
      </c>
      <c r="N453" s="786">
        <f>L453/'Исп. коэффициенты'!E52*(C457+C458)</f>
        <v>0.14138005254135169</v>
      </c>
      <c r="O453" s="759" t="s">
        <v>186</v>
      </c>
      <c r="P453" s="759">
        <v>5303.64</v>
      </c>
      <c r="Q453" s="759">
        <v>19.68</v>
      </c>
      <c r="R453" s="759">
        <f>P453*Q453%</f>
        <v>1043.7563520000001</v>
      </c>
      <c r="S453" s="759">
        <f>R453/'Исп. коэффициенты'!E52</f>
        <v>9.8377551924086384E-2</v>
      </c>
      <c r="T453" s="755" t="s">
        <v>1435</v>
      </c>
      <c r="U453" s="756">
        <v>6785401.3499999996</v>
      </c>
      <c r="V453" s="785">
        <f>'Исп. коэффициенты'!E124</f>
        <v>2978.5</v>
      </c>
      <c r="W453" s="761">
        <f>'Исп. коэффициенты'!D124</f>
        <v>1.3599999999999999E-2</v>
      </c>
      <c r="X453" s="760">
        <f>U453*W453</f>
        <v>92281.45835999999</v>
      </c>
      <c r="Y453" s="759">
        <f>X453/'Исп. коэффициенты'!E52/2</f>
        <v>4.3489191438431192</v>
      </c>
      <c r="Z453" s="759"/>
      <c r="AA453" s="755"/>
      <c r="AB453" s="755"/>
      <c r="AC453" s="773"/>
      <c r="AD453" s="802"/>
      <c r="AF453" s="821"/>
      <c r="AG453" s="802"/>
      <c r="AH453" s="805"/>
      <c r="AI453" s="805"/>
      <c r="AJ453" s="822"/>
      <c r="AK453" s="805"/>
      <c r="AL453" s="806"/>
      <c r="AM453" s="805"/>
      <c r="AN453" s="805"/>
      <c r="AO453" s="807"/>
      <c r="AP453" s="805"/>
      <c r="AQ453" s="805"/>
      <c r="AR453" s="807"/>
      <c r="AS453" s="807"/>
      <c r="AT453" s="808"/>
      <c r="AU453" s="805"/>
      <c r="AV453" s="807"/>
      <c r="AW453" s="802"/>
      <c r="AX453" s="802"/>
      <c r="AY453" s="802"/>
      <c r="AZ453" s="802"/>
      <c r="BA453" s="802"/>
    </row>
    <row r="454" spans="1:53" s="803" customFormat="1" x14ac:dyDescent="0.25">
      <c r="A454" s="1122"/>
      <c r="B454" s="774" t="s">
        <v>1178</v>
      </c>
      <c r="C454" s="753"/>
      <c r="D454" s="835"/>
      <c r="E454" s="767" t="s">
        <v>1439</v>
      </c>
      <c r="F454" s="768" t="s">
        <v>1438</v>
      </c>
      <c r="G454" s="769">
        <v>0.27</v>
      </c>
      <c r="H454" s="768">
        <v>0.01</v>
      </c>
      <c r="I454" s="775">
        <f>G454*H454</f>
        <v>2.7000000000000001E-3</v>
      </c>
      <c r="J454" s="758" t="s">
        <v>1445</v>
      </c>
      <c r="K454" s="760">
        <v>2</v>
      </c>
      <c r="L454" s="760">
        <v>95</v>
      </c>
      <c r="M454" s="760">
        <v>2</v>
      </c>
      <c r="N454" s="786">
        <f>L454/'Исп. коэффициенты'!E52*(C457+C458)</f>
        <v>1.7908139988571214E-2</v>
      </c>
      <c r="O454" s="759"/>
      <c r="P454" s="759"/>
      <c r="Q454" s="759"/>
      <c r="R454" s="759"/>
      <c r="S454" s="759"/>
      <c r="T454" s="759"/>
      <c r="U454" s="759"/>
      <c r="V454" s="759"/>
      <c r="W454" s="759"/>
      <c r="X454" s="759"/>
      <c r="Y454" s="759"/>
      <c r="Z454" s="759"/>
      <c r="AA454" s="755"/>
      <c r="AB454" s="755"/>
      <c r="AC454" s="773"/>
      <c r="AD454" s="802"/>
      <c r="AF454" s="821"/>
      <c r="AG454" s="802"/>
      <c r="AH454" s="805"/>
      <c r="AI454" s="805"/>
      <c r="AJ454" s="822"/>
      <c r="AK454" s="805"/>
      <c r="AL454" s="806"/>
      <c r="AM454" s="824"/>
      <c r="AN454" s="805"/>
      <c r="AO454" s="807"/>
      <c r="AP454" s="805"/>
      <c r="AQ454" s="805"/>
      <c r="AR454" s="807"/>
      <c r="AS454" s="807"/>
      <c r="AT454" s="805"/>
      <c r="AU454" s="805"/>
      <c r="AV454" s="807"/>
      <c r="AW454" s="802"/>
      <c r="AX454" s="802"/>
      <c r="AY454" s="802"/>
      <c r="AZ454" s="802"/>
      <c r="BA454" s="802"/>
    </row>
    <row r="455" spans="1:53" s="803" customFormat="1" ht="12.75" customHeight="1" x14ac:dyDescent="0.25">
      <c r="A455" s="1122"/>
      <c r="B455" s="754" t="s">
        <v>1179</v>
      </c>
      <c r="C455" s="837">
        <f>C445</f>
        <v>22.420123808013045</v>
      </c>
      <c r="D455" s="835"/>
      <c r="E455" s="767" t="s">
        <v>1598</v>
      </c>
      <c r="F455" s="768" t="s">
        <v>1441</v>
      </c>
      <c r="G455" s="769">
        <v>4.4000000000000004</v>
      </c>
      <c r="H455" s="769">
        <v>1</v>
      </c>
      <c r="I455" s="770">
        <f>G455*H455</f>
        <v>4.4000000000000004</v>
      </c>
      <c r="J455" s="758" t="s">
        <v>1513</v>
      </c>
      <c r="K455" s="760">
        <v>2</v>
      </c>
      <c r="L455" s="760">
        <v>25</v>
      </c>
      <c r="M455" s="760">
        <v>0.5</v>
      </c>
      <c r="N455" s="786">
        <f>L455/'Исп. коэффициенты'!E52*(C457+C458)</f>
        <v>4.7126684180450566E-3</v>
      </c>
      <c r="O455" s="759"/>
      <c r="P455" s="759"/>
      <c r="Q455" s="759"/>
      <c r="R455" s="759"/>
      <c r="S455" s="759"/>
      <c r="T455" s="759"/>
      <c r="U455" s="759"/>
      <c r="V455" s="759"/>
      <c r="W455" s="759"/>
      <c r="X455" s="759"/>
      <c r="Y455" s="759"/>
      <c r="Z455" s="759"/>
      <c r="AA455" s="755"/>
      <c r="AB455" s="755"/>
      <c r="AC455" s="773"/>
      <c r="AD455" s="802"/>
      <c r="AF455" s="821"/>
      <c r="AG455" s="802"/>
      <c r="AH455" s="805"/>
      <c r="AI455" s="805"/>
      <c r="AJ455" s="822"/>
      <c r="AK455" s="805"/>
      <c r="AL455" s="806"/>
      <c r="AM455" s="805"/>
      <c r="AN455" s="805"/>
      <c r="AO455" s="807"/>
      <c r="AP455" s="805"/>
      <c r="AQ455" s="805"/>
      <c r="AR455" s="807"/>
      <c r="AS455" s="807"/>
      <c r="AT455" s="805"/>
      <c r="AU455" s="805"/>
      <c r="AV455" s="807"/>
      <c r="AW455" s="802"/>
      <c r="AX455" s="802"/>
      <c r="AY455" s="802"/>
      <c r="AZ455" s="802"/>
      <c r="BA455" s="802"/>
    </row>
    <row r="456" spans="1:53" s="803" customFormat="1" ht="12.75" customHeight="1" x14ac:dyDescent="0.25">
      <c r="A456" s="1122"/>
      <c r="B456" s="754" t="s">
        <v>1180</v>
      </c>
      <c r="C456" s="789"/>
      <c r="D456" s="835"/>
      <c r="E456" s="767"/>
      <c r="F456" s="768"/>
      <c r="G456" s="769"/>
      <c r="H456" s="768"/>
      <c r="I456" s="770"/>
      <c r="J456" s="758"/>
      <c r="K456" s="760"/>
      <c r="L456" s="760"/>
      <c r="M456" s="760"/>
      <c r="N456" s="760"/>
      <c r="O456" s="759"/>
      <c r="P456" s="759"/>
      <c r="Q456" s="759"/>
      <c r="R456" s="759"/>
      <c r="S456" s="759"/>
      <c r="T456" s="759"/>
      <c r="U456" s="759"/>
      <c r="V456" s="759"/>
      <c r="W456" s="759"/>
      <c r="X456" s="759"/>
      <c r="Y456" s="759"/>
      <c r="Z456" s="759"/>
      <c r="AA456" s="755"/>
      <c r="AB456" s="755"/>
      <c r="AC456" s="773"/>
      <c r="AD456" s="802"/>
      <c r="AF456" s="821"/>
      <c r="AG456" s="802"/>
      <c r="AH456" s="805"/>
      <c r="AI456" s="805"/>
      <c r="AJ456" s="822"/>
      <c r="AK456" s="805"/>
      <c r="AL456" s="806"/>
      <c r="AM456" s="805"/>
      <c r="AN456" s="805"/>
      <c r="AO456" s="807"/>
      <c r="AP456" s="805"/>
      <c r="AQ456" s="805"/>
      <c r="AR456" s="807"/>
      <c r="AS456" s="807"/>
      <c r="AT456" s="805"/>
      <c r="AU456" s="805"/>
      <c r="AV456" s="807"/>
      <c r="AW456" s="802"/>
      <c r="AX456" s="802"/>
      <c r="AY456" s="802"/>
      <c r="AZ456" s="802"/>
      <c r="BA456" s="802"/>
    </row>
    <row r="457" spans="1:53" s="803" customFormat="1" ht="12.75" customHeight="1" x14ac:dyDescent="0.25">
      <c r="A457" s="1122"/>
      <c r="B457" s="774" t="s">
        <v>1178</v>
      </c>
      <c r="C457" s="784"/>
      <c r="D457" s="835"/>
      <c r="E457" s="767" t="s">
        <v>1442</v>
      </c>
      <c r="F457" s="768" t="s">
        <v>1443</v>
      </c>
      <c r="G457" s="769">
        <v>419.5</v>
      </c>
      <c r="H457" s="768">
        <v>1E-3</v>
      </c>
      <c r="I457" s="770">
        <f>G457*H457</f>
        <v>0.41949999999999998</v>
      </c>
      <c r="J457" s="758"/>
      <c r="K457" s="760"/>
      <c r="L457" s="760"/>
      <c r="M457" s="760"/>
      <c r="N457" s="760"/>
      <c r="O457" s="759"/>
      <c r="P457" s="759"/>
      <c r="Q457" s="759"/>
      <c r="R457" s="759"/>
      <c r="S457" s="759"/>
      <c r="T457" s="759"/>
      <c r="U457" s="759"/>
      <c r="V457" s="759"/>
      <c r="W457" s="759"/>
      <c r="X457" s="759"/>
      <c r="Y457" s="759"/>
      <c r="Z457" s="759"/>
      <c r="AA457" s="755"/>
      <c r="AB457" s="755"/>
      <c r="AC457" s="773"/>
      <c r="AD457" s="802"/>
      <c r="AF457" s="821"/>
      <c r="AG457" s="802"/>
      <c r="AH457" s="805"/>
      <c r="AI457" s="805"/>
      <c r="AJ457" s="827"/>
      <c r="AK457" s="805"/>
      <c r="AL457" s="806"/>
      <c r="AM457" s="805"/>
      <c r="AN457" s="805"/>
      <c r="AO457" s="807"/>
      <c r="AP457" s="805"/>
      <c r="AQ457" s="805"/>
      <c r="AR457" s="807"/>
      <c r="AS457" s="807"/>
      <c r="AT457" s="805"/>
      <c r="AU457" s="805"/>
      <c r="AV457" s="807"/>
      <c r="AW457" s="802"/>
      <c r="AX457" s="802"/>
      <c r="AY457" s="802"/>
      <c r="AZ457" s="802"/>
      <c r="BA457" s="802"/>
    </row>
    <row r="458" spans="1:53" s="803" customFormat="1" ht="12.75" customHeight="1" x14ac:dyDescent="0.25">
      <c r="A458" s="1122"/>
      <c r="B458" s="754" t="s">
        <v>1179</v>
      </c>
      <c r="C458" s="784">
        <v>2</v>
      </c>
      <c r="D458" s="835"/>
      <c r="E458" s="767" t="s">
        <v>1444</v>
      </c>
      <c r="F458" s="768" t="s">
        <v>1443</v>
      </c>
      <c r="G458" s="769">
        <v>872</v>
      </c>
      <c r="H458" s="768">
        <v>2E-3</v>
      </c>
      <c r="I458" s="770">
        <f>G458*H458</f>
        <v>1.744</v>
      </c>
      <c r="J458" s="758"/>
      <c r="K458" s="760"/>
      <c r="L458" s="760"/>
      <c r="M458" s="760"/>
      <c r="N458" s="760"/>
      <c r="O458" s="759"/>
      <c r="P458" s="759"/>
      <c r="Q458" s="759"/>
      <c r="R458" s="759"/>
      <c r="S458" s="759"/>
      <c r="T458" s="759"/>
      <c r="U458" s="759"/>
      <c r="V458" s="759"/>
      <c r="W458" s="759"/>
      <c r="X458" s="759"/>
      <c r="Y458" s="759"/>
      <c r="Z458" s="759"/>
      <c r="AA458" s="755"/>
      <c r="AB458" s="755"/>
      <c r="AC458" s="773"/>
      <c r="AD458" s="802"/>
      <c r="AF458" s="821"/>
      <c r="AG458" s="802"/>
      <c r="AH458" s="805"/>
      <c r="AI458" s="805"/>
      <c r="AJ458" s="827"/>
      <c r="AK458" s="805"/>
      <c r="AL458" s="806"/>
      <c r="AM458" s="805"/>
      <c r="AN458" s="805"/>
      <c r="AO458" s="807"/>
      <c r="AP458" s="805"/>
      <c r="AQ458" s="805"/>
      <c r="AR458" s="807"/>
      <c r="AS458" s="807"/>
      <c r="AT458" s="805"/>
      <c r="AU458" s="805"/>
      <c r="AV458" s="807"/>
      <c r="AW458" s="802"/>
      <c r="AX458" s="802"/>
      <c r="AY458" s="802"/>
      <c r="AZ458" s="802"/>
      <c r="BA458" s="802"/>
    </row>
    <row r="459" spans="1:53" s="803" customFormat="1" ht="12.75" customHeight="1" x14ac:dyDescent="0.25">
      <c r="A459" s="1122"/>
      <c r="B459" s="782" t="s">
        <v>1181</v>
      </c>
      <c r="C459" s="837">
        <f>C454*C457+C455*C458</f>
        <v>44.84024761602609</v>
      </c>
      <c r="D459" s="835"/>
      <c r="E459" s="767"/>
      <c r="F459" s="781"/>
      <c r="G459" s="769"/>
      <c r="H459" s="768"/>
      <c r="I459" s="770"/>
      <c r="J459" s="758"/>
      <c r="K459" s="828"/>
      <c r="L459" s="760"/>
      <c r="M459" s="760"/>
      <c r="N459" s="760"/>
      <c r="O459" s="759"/>
      <c r="P459" s="759"/>
      <c r="Q459" s="759"/>
      <c r="R459" s="759"/>
      <c r="S459" s="759"/>
      <c r="T459" s="759"/>
      <c r="U459" s="759"/>
      <c r="V459" s="759"/>
      <c r="W459" s="759"/>
      <c r="X459" s="759"/>
      <c r="Y459" s="759"/>
      <c r="Z459" s="759"/>
      <c r="AA459" s="755"/>
      <c r="AB459" s="755"/>
      <c r="AC459" s="773"/>
      <c r="AD459" s="802"/>
      <c r="AF459" s="821"/>
      <c r="AG459" s="802"/>
      <c r="AH459" s="805"/>
      <c r="AI459" s="805"/>
      <c r="AJ459" s="822"/>
      <c r="AK459" s="805"/>
      <c r="AL459" s="806"/>
      <c r="AM459" s="805"/>
      <c r="AN459" s="805"/>
      <c r="AO459" s="807"/>
      <c r="AP459" s="805"/>
      <c r="AQ459" s="805"/>
      <c r="AR459" s="807"/>
      <c r="AS459" s="807"/>
      <c r="AT459" s="805"/>
      <c r="AU459" s="805"/>
      <c r="AV459" s="807"/>
      <c r="AW459" s="802"/>
      <c r="AX459" s="802"/>
      <c r="AY459" s="802"/>
      <c r="AZ459" s="802"/>
      <c r="BA459" s="802"/>
    </row>
    <row r="460" spans="1:53" s="803" customFormat="1" ht="12.75" customHeight="1" x14ac:dyDescent="0.25">
      <c r="A460" s="1122"/>
      <c r="B460" s="782"/>
      <c r="C460" s="784"/>
      <c r="D460" s="836"/>
      <c r="E460" s="754"/>
      <c r="F460" s="857"/>
      <c r="G460" s="769"/>
      <c r="H460" s="756"/>
      <c r="I460" s="770"/>
      <c r="J460" s="758"/>
      <c r="K460" s="828"/>
      <c r="L460" s="760"/>
      <c r="M460" s="760"/>
      <c r="N460" s="760"/>
      <c r="O460" s="759"/>
      <c r="P460" s="759"/>
      <c r="Q460" s="759"/>
      <c r="R460" s="759"/>
      <c r="S460" s="759"/>
      <c r="T460" s="759"/>
      <c r="U460" s="759"/>
      <c r="V460" s="759"/>
      <c r="W460" s="759"/>
      <c r="X460" s="759"/>
      <c r="Y460" s="759"/>
      <c r="Z460" s="759"/>
      <c r="AA460" s="755"/>
      <c r="AB460" s="755"/>
      <c r="AC460" s="773"/>
      <c r="AD460" s="802"/>
      <c r="AF460" s="814"/>
      <c r="AG460" s="802"/>
      <c r="AH460" s="805"/>
      <c r="AI460" s="805"/>
      <c r="AJ460" s="827"/>
      <c r="AK460" s="805"/>
      <c r="AL460" s="806"/>
      <c r="AM460" s="805"/>
      <c r="AN460" s="805"/>
      <c r="AO460" s="807"/>
      <c r="AP460" s="805"/>
      <c r="AQ460" s="805"/>
      <c r="AR460" s="807"/>
      <c r="AS460" s="807"/>
      <c r="AT460" s="805"/>
      <c r="AU460" s="805"/>
      <c r="AV460" s="807"/>
      <c r="AW460" s="802"/>
      <c r="AX460" s="802"/>
      <c r="AY460" s="802"/>
      <c r="AZ460" s="802"/>
      <c r="BA460" s="802"/>
    </row>
    <row r="461" spans="1:53" s="803" customFormat="1" ht="56.25" customHeight="1" x14ac:dyDescent="0.25">
      <c r="A461" s="1122" t="s">
        <v>590</v>
      </c>
      <c r="B461" s="837" t="s">
        <v>1012</v>
      </c>
      <c r="C461" s="837"/>
      <c r="D461" s="834"/>
      <c r="E461" s="791" t="s">
        <v>488</v>
      </c>
      <c r="F461" s="792" t="s">
        <v>837</v>
      </c>
      <c r="G461" s="837" t="s">
        <v>489</v>
      </c>
      <c r="H461" s="791" t="s">
        <v>1170</v>
      </c>
      <c r="I461" s="792" t="s">
        <v>838</v>
      </c>
      <c r="J461" s="793" t="s">
        <v>1171</v>
      </c>
      <c r="K461" s="793" t="s">
        <v>490</v>
      </c>
      <c r="L461" s="794" t="s">
        <v>489</v>
      </c>
      <c r="M461" s="793" t="s">
        <v>1172</v>
      </c>
      <c r="N461" s="792" t="s">
        <v>838</v>
      </c>
      <c r="O461" s="793" t="s">
        <v>1171</v>
      </c>
      <c r="P461" s="793" t="s">
        <v>826</v>
      </c>
      <c r="Q461" s="793" t="s">
        <v>1173</v>
      </c>
      <c r="R461" s="793" t="s">
        <v>1174</v>
      </c>
      <c r="S461" s="793" t="s">
        <v>839</v>
      </c>
      <c r="T461" s="793" t="s">
        <v>1171</v>
      </c>
      <c r="U461" s="793" t="s">
        <v>1392</v>
      </c>
      <c r="V461" s="793" t="s">
        <v>841</v>
      </c>
      <c r="W461" s="795" t="s">
        <v>1173</v>
      </c>
      <c r="X461" s="793" t="s">
        <v>1394</v>
      </c>
      <c r="Y461" s="793" t="s">
        <v>839</v>
      </c>
      <c r="Z461" s="796"/>
      <c r="AA461" s="755"/>
      <c r="AB461" s="755"/>
      <c r="AC461" s="773"/>
      <c r="AD461" s="802"/>
      <c r="AF461" s="804"/>
      <c r="AG461" s="802"/>
      <c r="AH461" s="805"/>
      <c r="AI461" s="805"/>
      <c r="AJ461" s="805"/>
      <c r="AK461" s="805"/>
      <c r="AL461" s="806"/>
      <c r="AM461" s="805"/>
      <c r="AN461" s="805"/>
      <c r="AO461" s="807"/>
      <c r="AP461" s="805"/>
      <c r="AQ461" s="808"/>
      <c r="AR461" s="808"/>
      <c r="AS461" s="808"/>
      <c r="AT461" s="805"/>
      <c r="AU461" s="805"/>
      <c r="AV461" s="807"/>
      <c r="AW461" s="802"/>
      <c r="AX461" s="802"/>
      <c r="AY461" s="802"/>
      <c r="AZ461" s="802"/>
      <c r="BA461" s="802"/>
    </row>
    <row r="462" spans="1:53" s="803" customFormat="1" ht="12" customHeight="1" x14ac:dyDescent="0.25">
      <c r="A462" s="1122"/>
      <c r="B462" s="752" t="s">
        <v>1175</v>
      </c>
      <c r="C462" s="837">
        <f>C469</f>
        <v>29.168675194545727</v>
      </c>
      <c r="D462" s="834">
        <f>C462*$D$5</f>
        <v>5.892072389298237</v>
      </c>
      <c r="E462" s="754" t="s">
        <v>1176</v>
      </c>
      <c r="F462" s="810"/>
      <c r="G462" s="756"/>
      <c r="H462" s="756"/>
      <c r="I462" s="757">
        <f>SUM(I463:I470)</f>
        <v>6.5736000000000008</v>
      </c>
      <c r="J462" s="758" t="s">
        <v>1176</v>
      </c>
      <c r="K462" s="811"/>
      <c r="L462" s="759"/>
      <c r="M462" s="759"/>
      <c r="N462" s="760">
        <f>SUM(N463:N470)</f>
        <v>8.2000430473983976E-2</v>
      </c>
      <c r="O462" s="759" t="s">
        <v>1176</v>
      </c>
      <c r="P462" s="759"/>
      <c r="Q462" s="812"/>
      <c r="R462" s="813"/>
      <c r="S462" s="760">
        <f>SUM(S463:S470)</f>
        <v>9.8377551924086384E-2</v>
      </c>
      <c r="T462" s="760"/>
      <c r="U462" s="760"/>
      <c r="V462" s="760"/>
      <c r="W462" s="760"/>
      <c r="X462" s="760"/>
      <c r="Y462" s="760">
        <f>SUM(Y463:Y470)</f>
        <v>4.3489191438431192</v>
      </c>
      <c r="Z462" s="762">
        <f>(C462+D462+I462+N462+S462+Y462)*$Z$5</f>
        <v>60.021402706603581</v>
      </c>
      <c r="AA462" s="763">
        <f>C462+D462+I462+N462+S462+Y462+Z462</f>
        <v>106.18504741668873</v>
      </c>
      <c r="AB462" s="764">
        <v>0.25</v>
      </c>
      <c r="AC462" s="765">
        <f>AA462*(1+AB462)</f>
        <v>132.73130927086092</v>
      </c>
      <c r="AD462" s="814"/>
      <c r="AF462" s="804"/>
      <c r="AG462" s="802"/>
      <c r="AH462" s="805"/>
      <c r="AI462" s="808"/>
      <c r="AJ462" s="815"/>
      <c r="AK462" s="816"/>
      <c r="AL462" s="806"/>
      <c r="AM462" s="817"/>
      <c r="AN462" s="818"/>
      <c r="AO462" s="817"/>
      <c r="AP462" s="808"/>
      <c r="AQ462" s="808"/>
      <c r="AR462" s="808"/>
      <c r="AS462" s="808"/>
      <c r="AT462" s="808"/>
      <c r="AU462" s="817"/>
      <c r="AV462" s="817"/>
      <c r="AW462" s="819"/>
      <c r="AX462" s="802"/>
      <c r="AY462" s="802"/>
      <c r="AZ462" s="802"/>
      <c r="BA462" s="802"/>
    </row>
    <row r="463" spans="1:53" s="803" customFormat="1" ht="12.75" customHeight="1" x14ac:dyDescent="0.25">
      <c r="A463" s="1122"/>
      <c r="B463" s="766" t="s">
        <v>1177</v>
      </c>
      <c r="C463" s="837"/>
      <c r="D463" s="835"/>
      <c r="E463" s="767" t="s">
        <v>1437</v>
      </c>
      <c r="F463" s="768" t="s">
        <v>1438</v>
      </c>
      <c r="G463" s="769">
        <v>0.74</v>
      </c>
      <c r="H463" s="768">
        <v>0.01</v>
      </c>
      <c r="I463" s="770">
        <f>G463*H463</f>
        <v>7.4000000000000003E-3</v>
      </c>
      <c r="J463" s="758" t="s">
        <v>1291</v>
      </c>
      <c r="K463" s="760">
        <v>2</v>
      </c>
      <c r="L463" s="760">
        <v>750</v>
      </c>
      <c r="M463" s="760">
        <v>2</v>
      </c>
      <c r="N463" s="786">
        <f>L463/'Исп. коэффициенты'!E52*(C467+C468)</f>
        <v>7.0690026270675846E-2</v>
      </c>
      <c r="O463" s="759" t="s">
        <v>186</v>
      </c>
      <c r="P463" s="759">
        <v>5303.64</v>
      </c>
      <c r="Q463" s="759">
        <v>19.68</v>
      </c>
      <c r="R463" s="759">
        <f>P463*Q463%</f>
        <v>1043.7563520000001</v>
      </c>
      <c r="S463" s="759">
        <f>R463/'Исп. коэффициенты'!E52</f>
        <v>9.8377551924086384E-2</v>
      </c>
      <c r="T463" s="755" t="s">
        <v>1435</v>
      </c>
      <c r="U463" s="756">
        <v>6785401.3499999996</v>
      </c>
      <c r="V463" s="785">
        <f>'Исп. коэффициенты'!E124</f>
        <v>2978.5</v>
      </c>
      <c r="W463" s="761">
        <f>'Исп. коэффициенты'!D124</f>
        <v>1.3599999999999999E-2</v>
      </c>
      <c r="X463" s="760">
        <f>U463*W463</f>
        <v>92281.45835999999</v>
      </c>
      <c r="Y463" s="759">
        <f>X463/'Исп. коэффициенты'!E52/2</f>
        <v>4.3489191438431192</v>
      </c>
      <c r="Z463" s="759"/>
      <c r="AA463" s="755"/>
      <c r="AB463" s="755"/>
      <c r="AC463" s="773"/>
      <c r="AD463" s="802"/>
      <c r="AF463" s="821"/>
      <c r="AG463" s="802"/>
      <c r="AH463" s="805"/>
      <c r="AI463" s="805"/>
      <c r="AJ463" s="822"/>
      <c r="AK463" s="805"/>
      <c r="AL463" s="806"/>
      <c r="AM463" s="805"/>
      <c r="AN463" s="805"/>
      <c r="AO463" s="807"/>
      <c r="AP463" s="805"/>
      <c r="AQ463" s="805"/>
      <c r="AR463" s="807"/>
      <c r="AS463" s="807"/>
      <c r="AT463" s="808"/>
      <c r="AU463" s="805"/>
      <c r="AV463" s="807"/>
      <c r="AW463" s="802"/>
      <c r="AX463" s="802"/>
      <c r="AY463" s="802"/>
      <c r="AZ463" s="802"/>
      <c r="BA463" s="802"/>
    </row>
    <row r="464" spans="1:53" s="803" customFormat="1" x14ac:dyDescent="0.25">
      <c r="A464" s="1122"/>
      <c r="B464" s="774" t="s">
        <v>1178</v>
      </c>
      <c r="C464" s="753">
        <f>C394</f>
        <v>33.667709452234185</v>
      </c>
      <c r="D464" s="835"/>
      <c r="E464" s="767" t="s">
        <v>1439</v>
      </c>
      <c r="F464" s="768" t="s">
        <v>1438</v>
      </c>
      <c r="G464" s="769">
        <v>0.27</v>
      </c>
      <c r="H464" s="768">
        <v>0.01</v>
      </c>
      <c r="I464" s="775">
        <f>G464*H464</f>
        <v>2.7000000000000001E-3</v>
      </c>
      <c r="J464" s="758" t="s">
        <v>1445</v>
      </c>
      <c r="K464" s="760">
        <v>2</v>
      </c>
      <c r="L464" s="760">
        <v>95</v>
      </c>
      <c r="M464" s="760">
        <v>2</v>
      </c>
      <c r="N464" s="786">
        <f>L464/'Исп. коэффициенты'!E52*(C467+C468)</f>
        <v>8.9540699942856072E-3</v>
      </c>
      <c r="O464" s="759"/>
      <c r="P464" s="759"/>
      <c r="Q464" s="759"/>
      <c r="R464" s="759"/>
      <c r="S464" s="759"/>
      <c r="T464" s="759"/>
      <c r="U464" s="759"/>
      <c r="V464" s="759"/>
      <c r="W464" s="759"/>
      <c r="X464" s="759"/>
      <c r="Y464" s="759"/>
      <c r="Z464" s="759"/>
      <c r="AA464" s="755"/>
      <c r="AB464" s="755"/>
      <c r="AC464" s="773"/>
      <c r="AD464" s="802"/>
      <c r="AF464" s="821"/>
      <c r="AG464" s="802"/>
      <c r="AH464" s="805"/>
      <c r="AI464" s="805"/>
      <c r="AJ464" s="822"/>
      <c r="AK464" s="805"/>
      <c r="AL464" s="806"/>
      <c r="AM464" s="824"/>
      <c r="AN464" s="805"/>
      <c r="AO464" s="807"/>
      <c r="AP464" s="805"/>
      <c r="AQ464" s="805"/>
      <c r="AR464" s="807"/>
      <c r="AS464" s="807"/>
      <c r="AT464" s="805"/>
      <c r="AU464" s="805"/>
      <c r="AV464" s="807"/>
      <c r="AW464" s="802"/>
      <c r="AX464" s="802"/>
      <c r="AY464" s="802"/>
      <c r="AZ464" s="802"/>
      <c r="BA464" s="802"/>
    </row>
    <row r="465" spans="1:53" s="803" customFormat="1" ht="12.75" customHeight="1" x14ac:dyDescent="0.25">
      <c r="A465" s="1122"/>
      <c r="B465" s="754" t="s">
        <v>1179</v>
      </c>
      <c r="C465" s="837">
        <f>C455</f>
        <v>22.420123808013045</v>
      </c>
      <c r="D465" s="835"/>
      <c r="E465" s="767" t="s">
        <v>1598</v>
      </c>
      <c r="F465" s="768" t="s">
        <v>1441</v>
      </c>
      <c r="G465" s="769">
        <v>4.4000000000000004</v>
      </c>
      <c r="H465" s="769">
        <v>1</v>
      </c>
      <c r="I465" s="770">
        <f>G465*H465</f>
        <v>4.4000000000000004</v>
      </c>
      <c r="J465" s="758" t="s">
        <v>1513</v>
      </c>
      <c r="K465" s="760">
        <v>2</v>
      </c>
      <c r="L465" s="760">
        <v>25</v>
      </c>
      <c r="M465" s="760">
        <v>0.5</v>
      </c>
      <c r="N465" s="786">
        <f>L465/'Исп. коэффициенты'!E52*(C467+C468)</f>
        <v>2.3563342090225283E-3</v>
      </c>
      <c r="O465" s="759"/>
      <c r="P465" s="759"/>
      <c r="Q465" s="759"/>
      <c r="R465" s="759"/>
      <c r="S465" s="759"/>
      <c r="T465" s="759"/>
      <c r="U465" s="759"/>
      <c r="V465" s="759"/>
      <c r="W465" s="759"/>
      <c r="X465" s="759"/>
      <c r="Y465" s="759"/>
      <c r="Z465" s="759"/>
      <c r="AA465" s="755"/>
      <c r="AB465" s="755"/>
      <c r="AC465" s="773"/>
      <c r="AD465" s="802"/>
      <c r="AF465" s="821"/>
      <c r="AG465" s="802"/>
      <c r="AH465" s="805"/>
      <c r="AI465" s="805"/>
      <c r="AJ465" s="822"/>
      <c r="AK465" s="805"/>
      <c r="AL465" s="806"/>
      <c r="AM465" s="805"/>
      <c r="AN465" s="805"/>
      <c r="AO465" s="807"/>
      <c r="AP465" s="805"/>
      <c r="AQ465" s="805"/>
      <c r="AR465" s="807"/>
      <c r="AS465" s="807"/>
      <c r="AT465" s="805"/>
      <c r="AU465" s="805"/>
      <c r="AV465" s="807"/>
      <c r="AW465" s="802"/>
      <c r="AX465" s="802"/>
      <c r="AY465" s="802"/>
      <c r="AZ465" s="802"/>
      <c r="BA465" s="802"/>
    </row>
    <row r="466" spans="1:53" s="803" customFormat="1" ht="12.75" customHeight="1" x14ac:dyDescent="0.25">
      <c r="A466" s="1122"/>
      <c r="B466" s="754" t="s">
        <v>1180</v>
      </c>
      <c r="C466" s="789"/>
      <c r="D466" s="835"/>
      <c r="E466" s="767"/>
      <c r="F466" s="768"/>
      <c r="G466" s="769"/>
      <c r="H466" s="768"/>
      <c r="I466" s="770"/>
      <c r="J466" s="758"/>
      <c r="K466" s="760"/>
      <c r="L466" s="760"/>
      <c r="M466" s="760"/>
      <c r="N466" s="760"/>
      <c r="O466" s="759"/>
      <c r="P466" s="759"/>
      <c r="Q466" s="759"/>
      <c r="R466" s="759"/>
      <c r="S466" s="759"/>
      <c r="T466" s="759"/>
      <c r="U466" s="759"/>
      <c r="V466" s="759"/>
      <c r="W466" s="759"/>
      <c r="X466" s="759"/>
      <c r="Y466" s="759"/>
      <c r="Z466" s="759"/>
      <c r="AA466" s="755"/>
      <c r="AB466" s="755"/>
      <c r="AC466" s="773"/>
      <c r="AD466" s="802"/>
      <c r="AF466" s="821"/>
      <c r="AG466" s="802"/>
      <c r="AH466" s="805"/>
      <c r="AI466" s="805"/>
      <c r="AJ466" s="822"/>
      <c r="AK466" s="805"/>
      <c r="AL466" s="806"/>
      <c r="AM466" s="805"/>
      <c r="AN466" s="805"/>
      <c r="AO466" s="807"/>
      <c r="AP466" s="805"/>
      <c r="AQ466" s="805"/>
      <c r="AR466" s="807"/>
      <c r="AS466" s="807"/>
      <c r="AT466" s="805"/>
      <c r="AU466" s="805"/>
      <c r="AV466" s="807"/>
      <c r="AW466" s="802"/>
      <c r="AX466" s="802"/>
      <c r="AY466" s="802"/>
      <c r="AZ466" s="802"/>
      <c r="BA466" s="802"/>
    </row>
    <row r="467" spans="1:53" s="803" customFormat="1" ht="12.75" customHeight="1" x14ac:dyDescent="0.25">
      <c r="A467" s="1122"/>
      <c r="B467" s="774" t="s">
        <v>1178</v>
      </c>
      <c r="C467" s="784">
        <v>0.6</v>
      </c>
      <c r="D467" s="835"/>
      <c r="E467" s="767" t="s">
        <v>1442</v>
      </c>
      <c r="F467" s="768" t="s">
        <v>1443</v>
      </c>
      <c r="G467" s="769">
        <v>419.5</v>
      </c>
      <c r="H467" s="768">
        <v>1E-3</v>
      </c>
      <c r="I467" s="770">
        <f>G467*H467</f>
        <v>0.41949999999999998</v>
      </c>
      <c r="J467" s="758"/>
      <c r="K467" s="760"/>
      <c r="L467" s="760"/>
      <c r="M467" s="760"/>
      <c r="N467" s="760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5"/>
      <c r="AB467" s="755"/>
      <c r="AC467" s="773"/>
      <c r="AD467" s="802"/>
      <c r="AF467" s="821"/>
      <c r="AG467" s="802"/>
      <c r="AH467" s="805"/>
      <c r="AI467" s="805"/>
      <c r="AJ467" s="827"/>
      <c r="AK467" s="805"/>
      <c r="AL467" s="806"/>
      <c r="AM467" s="805"/>
      <c r="AN467" s="805"/>
      <c r="AO467" s="807"/>
      <c r="AP467" s="805"/>
      <c r="AQ467" s="805"/>
      <c r="AR467" s="807"/>
      <c r="AS467" s="807"/>
      <c r="AT467" s="805"/>
      <c r="AU467" s="805"/>
      <c r="AV467" s="807"/>
      <c r="AW467" s="802"/>
      <c r="AX467" s="802"/>
      <c r="AY467" s="802"/>
      <c r="AZ467" s="802"/>
      <c r="BA467" s="802"/>
    </row>
    <row r="468" spans="1:53" s="803" customFormat="1" ht="12.75" customHeight="1" x14ac:dyDescent="0.25">
      <c r="A468" s="1122"/>
      <c r="B468" s="754" t="s">
        <v>1179</v>
      </c>
      <c r="C468" s="784">
        <v>0.4</v>
      </c>
      <c r="D468" s="835"/>
      <c r="E468" s="767" t="s">
        <v>1444</v>
      </c>
      <c r="F468" s="768" t="s">
        <v>1443</v>
      </c>
      <c r="G468" s="769">
        <v>872</v>
      </c>
      <c r="H468" s="768">
        <v>2E-3</v>
      </c>
      <c r="I468" s="770">
        <f>G468*H468</f>
        <v>1.744</v>
      </c>
      <c r="J468" s="758"/>
      <c r="K468" s="760"/>
      <c r="L468" s="760"/>
      <c r="M468" s="760"/>
      <c r="N468" s="760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5"/>
      <c r="AB468" s="755"/>
      <c r="AC468" s="773"/>
      <c r="AD468" s="802"/>
      <c r="AF468" s="821"/>
      <c r="AG468" s="802"/>
      <c r="AH468" s="805"/>
      <c r="AI468" s="805"/>
      <c r="AJ468" s="827"/>
      <c r="AK468" s="805"/>
      <c r="AL468" s="806"/>
      <c r="AM468" s="805"/>
      <c r="AN468" s="805"/>
      <c r="AO468" s="807"/>
      <c r="AP468" s="805"/>
      <c r="AQ468" s="805"/>
      <c r="AR468" s="807"/>
      <c r="AS468" s="807"/>
      <c r="AT468" s="805"/>
      <c r="AU468" s="805"/>
      <c r="AV468" s="807"/>
      <c r="AW468" s="802"/>
      <c r="AX468" s="802"/>
      <c r="AY468" s="802"/>
      <c r="AZ468" s="802"/>
      <c r="BA468" s="802"/>
    </row>
    <row r="469" spans="1:53" s="803" customFormat="1" ht="12.75" customHeight="1" x14ac:dyDescent="0.25">
      <c r="A469" s="1122"/>
      <c r="B469" s="782" t="s">
        <v>1181</v>
      </c>
      <c r="C469" s="837">
        <f>C464*C467+C465*C468</f>
        <v>29.168675194545727</v>
      </c>
      <c r="D469" s="835"/>
      <c r="E469" s="767"/>
      <c r="F469" s="781"/>
      <c r="G469" s="769"/>
      <c r="H469" s="768"/>
      <c r="I469" s="770"/>
      <c r="J469" s="758"/>
      <c r="K469" s="828"/>
      <c r="L469" s="760"/>
      <c r="M469" s="760"/>
      <c r="N469" s="760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5"/>
      <c r="AB469" s="755"/>
      <c r="AC469" s="773"/>
      <c r="AD469" s="802"/>
      <c r="AF469" s="821"/>
      <c r="AG469" s="802"/>
      <c r="AH469" s="805"/>
      <c r="AI469" s="805"/>
      <c r="AJ469" s="822"/>
      <c r="AK469" s="805"/>
      <c r="AL469" s="806"/>
      <c r="AM469" s="805"/>
      <c r="AN469" s="805"/>
      <c r="AO469" s="807"/>
      <c r="AP469" s="805"/>
      <c r="AQ469" s="805"/>
      <c r="AR469" s="807"/>
      <c r="AS469" s="807"/>
      <c r="AT469" s="805"/>
      <c r="AU469" s="805"/>
      <c r="AV469" s="807"/>
      <c r="AW469" s="802"/>
      <c r="AX469" s="802"/>
      <c r="AY469" s="802"/>
      <c r="AZ469" s="802"/>
      <c r="BA469" s="802"/>
    </row>
    <row r="470" spans="1:53" s="803" customFormat="1" ht="12.75" customHeight="1" x14ac:dyDescent="0.25">
      <c r="A470" s="1122"/>
      <c r="B470" s="782"/>
      <c r="C470" s="784"/>
      <c r="D470" s="836"/>
      <c r="E470" s="754"/>
      <c r="F470" s="857"/>
      <c r="G470" s="769"/>
      <c r="H470" s="756"/>
      <c r="I470" s="770"/>
      <c r="J470" s="758"/>
      <c r="K470" s="828"/>
      <c r="L470" s="760"/>
      <c r="M470" s="760"/>
      <c r="N470" s="760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5"/>
      <c r="AB470" s="755"/>
      <c r="AC470" s="773"/>
      <c r="AD470" s="802"/>
      <c r="AF470" s="814"/>
      <c r="AG470" s="802"/>
      <c r="AH470" s="805"/>
      <c r="AI470" s="805"/>
      <c r="AJ470" s="827"/>
      <c r="AK470" s="805"/>
      <c r="AL470" s="806"/>
      <c r="AM470" s="805"/>
      <c r="AN470" s="805"/>
      <c r="AO470" s="807"/>
      <c r="AP470" s="805"/>
      <c r="AQ470" s="805"/>
      <c r="AR470" s="807"/>
      <c r="AS470" s="807"/>
      <c r="AT470" s="805"/>
      <c r="AU470" s="805"/>
      <c r="AV470" s="807"/>
      <c r="AW470" s="802"/>
      <c r="AX470" s="802"/>
      <c r="AY470" s="802"/>
      <c r="AZ470" s="802"/>
      <c r="BA470" s="802"/>
    </row>
    <row r="471" spans="1:53" s="803" customFormat="1" ht="56.25" customHeight="1" x14ac:dyDescent="0.25">
      <c r="A471" s="1122" t="s">
        <v>1779</v>
      </c>
      <c r="B471" s="837" t="s">
        <v>1778</v>
      </c>
      <c r="C471" s="837"/>
      <c r="D471" s="834"/>
      <c r="E471" s="791" t="s">
        <v>488</v>
      </c>
      <c r="F471" s="792" t="s">
        <v>837</v>
      </c>
      <c r="G471" s="837" t="s">
        <v>489</v>
      </c>
      <c r="H471" s="791" t="s">
        <v>1170</v>
      </c>
      <c r="I471" s="792" t="s">
        <v>838</v>
      </c>
      <c r="J471" s="793" t="s">
        <v>1171</v>
      </c>
      <c r="K471" s="793" t="s">
        <v>490</v>
      </c>
      <c r="L471" s="794" t="s">
        <v>489</v>
      </c>
      <c r="M471" s="793" t="s">
        <v>1172</v>
      </c>
      <c r="N471" s="792" t="s">
        <v>838</v>
      </c>
      <c r="O471" s="793" t="s">
        <v>1171</v>
      </c>
      <c r="P471" s="793" t="s">
        <v>826</v>
      </c>
      <c r="Q471" s="793" t="s">
        <v>1173</v>
      </c>
      <c r="R471" s="793" t="s">
        <v>1174</v>
      </c>
      <c r="S471" s="793" t="s">
        <v>839</v>
      </c>
      <c r="T471" s="793" t="s">
        <v>1171</v>
      </c>
      <c r="U471" s="793" t="s">
        <v>1392</v>
      </c>
      <c r="V471" s="793" t="s">
        <v>841</v>
      </c>
      <c r="W471" s="795" t="s">
        <v>1173</v>
      </c>
      <c r="X471" s="793" t="s">
        <v>1394</v>
      </c>
      <c r="Y471" s="793" t="s">
        <v>839</v>
      </c>
      <c r="Z471" s="796"/>
      <c r="AA471" s="755"/>
      <c r="AB471" s="755"/>
      <c r="AC471" s="773"/>
      <c r="AD471" s="802"/>
      <c r="AF471" s="804"/>
      <c r="AG471" s="802"/>
      <c r="AH471" s="805"/>
      <c r="AI471" s="805"/>
      <c r="AJ471" s="805"/>
      <c r="AK471" s="805"/>
      <c r="AL471" s="806"/>
      <c r="AM471" s="805"/>
      <c r="AN471" s="805"/>
      <c r="AO471" s="807"/>
      <c r="AP471" s="805"/>
      <c r="AQ471" s="808"/>
      <c r="AR471" s="808"/>
      <c r="AS471" s="808"/>
      <c r="AT471" s="805"/>
      <c r="AU471" s="805"/>
      <c r="AV471" s="807"/>
      <c r="AW471" s="802"/>
      <c r="AX471" s="802"/>
      <c r="AY471" s="802"/>
      <c r="AZ471" s="802"/>
      <c r="BA471" s="802"/>
    </row>
    <row r="472" spans="1:53" s="803" customFormat="1" ht="12" customHeight="1" x14ac:dyDescent="0.25">
      <c r="A472" s="1122"/>
      <c r="B472" s="752" t="s">
        <v>1175</v>
      </c>
      <c r="C472" s="837">
        <f>C479</f>
        <v>6.7260371424039134</v>
      </c>
      <c r="D472" s="834">
        <f>C472*$D$5</f>
        <v>1.3586595027655906</v>
      </c>
      <c r="E472" s="754" t="s">
        <v>1176</v>
      </c>
      <c r="F472" s="810"/>
      <c r="G472" s="756"/>
      <c r="H472" s="756"/>
      <c r="I472" s="757">
        <f>SUM(I473:I480)</f>
        <v>6.5736000000000008</v>
      </c>
      <c r="J472" s="758" t="s">
        <v>1176</v>
      </c>
      <c r="K472" s="811"/>
      <c r="L472" s="759"/>
      <c r="M472" s="759"/>
      <c r="N472" s="760">
        <f>SUM(N473:N480)</f>
        <v>2.4600129142195195E-2</v>
      </c>
      <c r="O472" s="759" t="s">
        <v>1176</v>
      </c>
      <c r="P472" s="759"/>
      <c r="Q472" s="812"/>
      <c r="R472" s="813"/>
      <c r="S472" s="760">
        <f>SUM(S473:S480)</f>
        <v>9.8377551924086384E-2</v>
      </c>
      <c r="T472" s="760"/>
      <c r="U472" s="760"/>
      <c r="V472" s="760"/>
      <c r="W472" s="760"/>
      <c r="X472" s="760"/>
      <c r="Y472" s="760">
        <f>SUM(Y473:Y480)</f>
        <v>4.3489191438431192</v>
      </c>
      <c r="Z472" s="762">
        <f>(C472+D472+I472+N472+S472+Y472)*$Z$5</f>
        <v>24.872842110579668</v>
      </c>
      <c r="AA472" s="763">
        <f>C472+D472+I472+N472+S472+Y472+Z472</f>
        <v>44.003035580658576</v>
      </c>
      <c r="AB472" s="764">
        <v>0.25</v>
      </c>
      <c r="AC472" s="765">
        <f>AA472*(1+AB472)</f>
        <v>55.00379447582322</v>
      </c>
      <c r="AD472" s="814"/>
      <c r="AF472" s="804"/>
      <c r="AG472" s="802"/>
      <c r="AH472" s="805"/>
      <c r="AI472" s="808"/>
      <c r="AJ472" s="815"/>
      <c r="AK472" s="816"/>
      <c r="AL472" s="806"/>
      <c r="AM472" s="817"/>
      <c r="AN472" s="818"/>
      <c r="AO472" s="817"/>
      <c r="AP472" s="808"/>
      <c r="AQ472" s="808"/>
      <c r="AR472" s="808"/>
      <c r="AS472" s="808"/>
      <c r="AT472" s="808"/>
      <c r="AU472" s="817"/>
      <c r="AV472" s="817"/>
      <c r="AW472" s="819"/>
      <c r="AX472" s="802"/>
      <c r="AY472" s="802"/>
      <c r="AZ472" s="802"/>
      <c r="BA472" s="802"/>
    </row>
    <row r="473" spans="1:53" s="803" customFormat="1" ht="12.75" customHeight="1" x14ac:dyDescent="0.25">
      <c r="A473" s="1122"/>
      <c r="B473" s="766" t="s">
        <v>1177</v>
      </c>
      <c r="C473" s="837"/>
      <c r="D473" s="835"/>
      <c r="E473" s="767" t="s">
        <v>1437</v>
      </c>
      <c r="F473" s="768" t="s">
        <v>1438</v>
      </c>
      <c r="G473" s="769">
        <v>0.74</v>
      </c>
      <c r="H473" s="768">
        <v>0.01</v>
      </c>
      <c r="I473" s="770">
        <f>G473*H473</f>
        <v>7.4000000000000003E-3</v>
      </c>
      <c r="J473" s="758" t="s">
        <v>1291</v>
      </c>
      <c r="K473" s="760">
        <v>2</v>
      </c>
      <c r="L473" s="760">
        <v>750</v>
      </c>
      <c r="M473" s="760">
        <v>2</v>
      </c>
      <c r="N473" s="786">
        <f>L473/'Исп. коэффициенты'!E52*(C477+C478)</f>
        <v>2.1207007881202753E-2</v>
      </c>
      <c r="O473" s="759" t="s">
        <v>186</v>
      </c>
      <c r="P473" s="759">
        <v>5303.64</v>
      </c>
      <c r="Q473" s="759">
        <v>19.68</v>
      </c>
      <c r="R473" s="759">
        <f>P473*Q473%</f>
        <v>1043.7563520000001</v>
      </c>
      <c r="S473" s="759">
        <f>R473/'Исп. коэффициенты'!E52</f>
        <v>9.8377551924086384E-2</v>
      </c>
      <c r="T473" s="755" t="s">
        <v>1435</v>
      </c>
      <c r="U473" s="756">
        <v>6785401.3499999996</v>
      </c>
      <c r="V473" s="785">
        <f>'Исп. коэффициенты'!E124</f>
        <v>2978.5</v>
      </c>
      <c r="W473" s="761">
        <f>'Исп. коэффициенты'!D124</f>
        <v>1.3599999999999999E-2</v>
      </c>
      <c r="X473" s="760">
        <f>U473*W473</f>
        <v>92281.45835999999</v>
      </c>
      <c r="Y473" s="759">
        <f>X473/'Исп. коэффициенты'!E52/2</f>
        <v>4.3489191438431192</v>
      </c>
      <c r="Z473" s="759"/>
      <c r="AA473" s="755"/>
      <c r="AB473" s="755"/>
      <c r="AC473" s="773"/>
      <c r="AD473" s="802"/>
      <c r="AF473" s="821"/>
      <c r="AG473" s="802"/>
      <c r="AH473" s="805"/>
      <c r="AI473" s="805"/>
      <c r="AJ473" s="822"/>
      <c r="AK473" s="805"/>
      <c r="AL473" s="806"/>
      <c r="AM473" s="805"/>
      <c r="AN473" s="805"/>
      <c r="AO473" s="807"/>
      <c r="AP473" s="805"/>
      <c r="AQ473" s="805"/>
      <c r="AR473" s="807"/>
      <c r="AS473" s="807"/>
      <c r="AT473" s="808"/>
      <c r="AU473" s="805"/>
      <c r="AV473" s="807"/>
      <c r="AW473" s="802"/>
      <c r="AX473" s="802"/>
      <c r="AY473" s="802"/>
      <c r="AZ473" s="802"/>
      <c r="BA473" s="802"/>
    </row>
    <row r="474" spans="1:53" s="803" customFormat="1" x14ac:dyDescent="0.25">
      <c r="A474" s="1122"/>
      <c r="B474" s="774" t="s">
        <v>1178</v>
      </c>
      <c r="C474" s="753">
        <f>C404</f>
        <v>0</v>
      </c>
      <c r="D474" s="835"/>
      <c r="E474" s="767" t="s">
        <v>1439</v>
      </c>
      <c r="F474" s="768" t="s">
        <v>1438</v>
      </c>
      <c r="G474" s="769">
        <v>0.27</v>
      </c>
      <c r="H474" s="768">
        <v>0.01</v>
      </c>
      <c r="I474" s="775">
        <f>G474*H474</f>
        <v>2.7000000000000001E-3</v>
      </c>
      <c r="J474" s="758" t="s">
        <v>1445</v>
      </c>
      <c r="K474" s="760">
        <v>2</v>
      </c>
      <c r="L474" s="760">
        <v>95</v>
      </c>
      <c r="M474" s="760">
        <v>2</v>
      </c>
      <c r="N474" s="786">
        <f>L474/'Исп. коэффициенты'!E52*(C477+C478)</f>
        <v>2.686220998285682E-3</v>
      </c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5"/>
      <c r="AB474" s="755"/>
      <c r="AC474" s="773"/>
      <c r="AD474" s="802"/>
      <c r="AF474" s="821"/>
      <c r="AG474" s="802"/>
      <c r="AH474" s="805"/>
      <c r="AI474" s="805"/>
      <c r="AJ474" s="822"/>
      <c r="AK474" s="805"/>
      <c r="AL474" s="806"/>
      <c r="AM474" s="824"/>
      <c r="AN474" s="805"/>
      <c r="AO474" s="807"/>
      <c r="AP474" s="805"/>
      <c r="AQ474" s="805"/>
      <c r="AR474" s="807"/>
      <c r="AS474" s="807"/>
      <c r="AT474" s="805"/>
      <c r="AU474" s="805"/>
      <c r="AV474" s="807"/>
      <c r="AW474" s="802"/>
      <c r="AX474" s="802"/>
      <c r="AY474" s="802"/>
      <c r="AZ474" s="802"/>
      <c r="BA474" s="802"/>
    </row>
    <row r="475" spans="1:53" s="803" customFormat="1" ht="12.75" customHeight="1" x14ac:dyDescent="0.25">
      <c r="A475" s="1122"/>
      <c r="B475" s="754" t="s">
        <v>1179</v>
      </c>
      <c r="C475" s="837">
        <f>C465</f>
        <v>22.420123808013045</v>
      </c>
      <c r="D475" s="835"/>
      <c r="E475" s="767" t="s">
        <v>1598</v>
      </c>
      <c r="F475" s="768" t="s">
        <v>1441</v>
      </c>
      <c r="G475" s="769">
        <v>4.4000000000000004</v>
      </c>
      <c r="H475" s="769">
        <v>1</v>
      </c>
      <c r="I475" s="770">
        <f>G475*H475</f>
        <v>4.4000000000000004</v>
      </c>
      <c r="J475" s="758" t="s">
        <v>1513</v>
      </c>
      <c r="K475" s="760">
        <v>2</v>
      </c>
      <c r="L475" s="760">
        <v>25</v>
      </c>
      <c r="M475" s="760">
        <v>0.5</v>
      </c>
      <c r="N475" s="786">
        <f>L475/'Исп. коэффициенты'!E52*(C477+C478)</f>
        <v>7.0690026270675847E-4</v>
      </c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5"/>
      <c r="AB475" s="755"/>
      <c r="AC475" s="773"/>
      <c r="AD475" s="802"/>
      <c r="AF475" s="821"/>
      <c r="AG475" s="802"/>
      <c r="AH475" s="805"/>
      <c r="AI475" s="805"/>
      <c r="AJ475" s="822"/>
      <c r="AK475" s="805"/>
      <c r="AL475" s="806"/>
      <c r="AM475" s="805"/>
      <c r="AN475" s="805"/>
      <c r="AO475" s="807"/>
      <c r="AP475" s="805"/>
      <c r="AQ475" s="805"/>
      <c r="AR475" s="807"/>
      <c r="AS475" s="807"/>
      <c r="AT475" s="805"/>
      <c r="AU475" s="805"/>
      <c r="AV475" s="807"/>
      <c r="AW475" s="802"/>
      <c r="AX475" s="802"/>
      <c r="AY475" s="802"/>
      <c r="AZ475" s="802"/>
      <c r="BA475" s="802"/>
    </row>
    <row r="476" spans="1:53" s="803" customFormat="1" ht="12.75" customHeight="1" x14ac:dyDescent="0.25">
      <c r="A476" s="1122"/>
      <c r="B476" s="754" t="s">
        <v>1180</v>
      </c>
      <c r="C476" s="789"/>
      <c r="D476" s="835"/>
      <c r="E476" s="767"/>
      <c r="F476" s="768"/>
      <c r="G476" s="769"/>
      <c r="H476" s="768"/>
      <c r="I476" s="770"/>
      <c r="J476" s="758"/>
      <c r="K476" s="760"/>
      <c r="L476" s="760"/>
      <c r="M476" s="760"/>
      <c r="N476" s="760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5"/>
      <c r="AB476" s="755"/>
      <c r="AC476" s="773"/>
      <c r="AD476" s="802"/>
      <c r="AF476" s="821"/>
      <c r="AG476" s="802"/>
      <c r="AH476" s="805"/>
      <c r="AI476" s="805"/>
      <c r="AJ476" s="822"/>
      <c r="AK476" s="805"/>
      <c r="AL476" s="806"/>
      <c r="AM476" s="805"/>
      <c r="AN476" s="805"/>
      <c r="AO476" s="807"/>
      <c r="AP476" s="805"/>
      <c r="AQ476" s="805"/>
      <c r="AR476" s="807"/>
      <c r="AS476" s="807"/>
      <c r="AT476" s="805"/>
      <c r="AU476" s="805"/>
      <c r="AV476" s="807"/>
      <c r="AW476" s="802"/>
      <c r="AX476" s="802"/>
      <c r="AY476" s="802"/>
      <c r="AZ476" s="802"/>
      <c r="BA476" s="802"/>
    </row>
    <row r="477" spans="1:53" s="803" customFormat="1" ht="12.75" customHeight="1" x14ac:dyDescent="0.25">
      <c r="A477" s="1122"/>
      <c r="B477" s="774" t="s">
        <v>1178</v>
      </c>
      <c r="C477" s="784">
        <v>0</v>
      </c>
      <c r="D477" s="835"/>
      <c r="E477" s="767" t="s">
        <v>1442</v>
      </c>
      <c r="F477" s="768" t="s">
        <v>1443</v>
      </c>
      <c r="G477" s="769">
        <v>419.5</v>
      </c>
      <c r="H477" s="768">
        <v>1E-3</v>
      </c>
      <c r="I477" s="770">
        <f>G477*H477</f>
        <v>0.41949999999999998</v>
      </c>
      <c r="J477" s="758"/>
      <c r="K477" s="760"/>
      <c r="L477" s="760"/>
      <c r="M477" s="760"/>
      <c r="N477" s="760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5"/>
      <c r="AB477" s="755"/>
      <c r="AC477" s="773"/>
      <c r="AD477" s="802"/>
      <c r="AF477" s="821"/>
      <c r="AG477" s="802"/>
      <c r="AH477" s="805"/>
      <c r="AI477" s="805"/>
      <c r="AJ477" s="827"/>
      <c r="AK477" s="805"/>
      <c r="AL477" s="806"/>
      <c r="AM477" s="805"/>
      <c r="AN477" s="805"/>
      <c r="AO477" s="807"/>
      <c r="AP477" s="805"/>
      <c r="AQ477" s="805"/>
      <c r="AR477" s="807"/>
      <c r="AS477" s="807"/>
      <c r="AT477" s="805"/>
      <c r="AU477" s="805"/>
      <c r="AV477" s="807"/>
      <c r="AW477" s="802"/>
      <c r="AX477" s="802"/>
      <c r="AY477" s="802"/>
      <c r="AZ477" s="802"/>
      <c r="BA477" s="802"/>
    </row>
    <row r="478" spans="1:53" s="803" customFormat="1" ht="12.75" customHeight="1" x14ac:dyDescent="0.25">
      <c r="A478" s="1122"/>
      <c r="B478" s="754" t="s">
        <v>1179</v>
      </c>
      <c r="C478" s="784">
        <v>0.3</v>
      </c>
      <c r="D478" s="835"/>
      <c r="E478" s="767" t="s">
        <v>1444</v>
      </c>
      <c r="F478" s="768" t="s">
        <v>1443</v>
      </c>
      <c r="G478" s="769">
        <v>872</v>
      </c>
      <c r="H478" s="768">
        <v>2E-3</v>
      </c>
      <c r="I478" s="770">
        <f>G478*H478</f>
        <v>1.744</v>
      </c>
      <c r="J478" s="758"/>
      <c r="K478" s="760"/>
      <c r="L478" s="760"/>
      <c r="M478" s="760"/>
      <c r="N478" s="760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5"/>
      <c r="AB478" s="755"/>
      <c r="AC478" s="773"/>
      <c r="AD478" s="802"/>
      <c r="AF478" s="821"/>
      <c r="AG478" s="802"/>
      <c r="AH478" s="805"/>
      <c r="AI478" s="805"/>
      <c r="AJ478" s="827"/>
      <c r="AK478" s="805"/>
      <c r="AL478" s="806"/>
      <c r="AM478" s="805"/>
      <c r="AN478" s="805"/>
      <c r="AO478" s="807"/>
      <c r="AP478" s="805"/>
      <c r="AQ478" s="805"/>
      <c r="AR478" s="807"/>
      <c r="AS478" s="807"/>
      <c r="AT478" s="805"/>
      <c r="AU478" s="805"/>
      <c r="AV478" s="807"/>
      <c r="AW478" s="802"/>
      <c r="AX478" s="802"/>
      <c r="AY478" s="802"/>
      <c r="AZ478" s="802"/>
      <c r="BA478" s="802"/>
    </row>
    <row r="479" spans="1:53" s="803" customFormat="1" ht="12.75" customHeight="1" x14ac:dyDescent="0.25">
      <c r="A479" s="1122"/>
      <c r="B479" s="782" t="s">
        <v>1181</v>
      </c>
      <c r="C479" s="837">
        <f>C474*C477+C475*C478</f>
        <v>6.7260371424039134</v>
      </c>
      <c r="D479" s="835"/>
      <c r="E479" s="767"/>
      <c r="F479" s="781"/>
      <c r="G479" s="769"/>
      <c r="H479" s="768"/>
      <c r="I479" s="770"/>
      <c r="J479" s="758"/>
      <c r="K479" s="828"/>
      <c r="L479" s="760"/>
      <c r="M479" s="760"/>
      <c r="N479" s="760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5"/>
      <c r="AB479" s="755"/>
      <c r="AC479" s="773"/>
      <c r="AD479" s="802"/>
      <c r="AF479" s="821"/>
      <c r="AG479" s="802"/>
      <c r="AH479" s="805"/>
      <c r="AI479" s="805"/>
      <c r="AJ479" s="822"/>
      <c r="AK479" s="805"/>
      <c r="AL479" s="806"/>
      <c r="AM479" s="805"/>
      <c r="AN479" s="805"/>
      <c r="AO479" s="807"/>
      <c r="AP479" s="805"/>
      <c r="AQ479" s="805"/>
      <c r="AR479" s="807"/>
      <c r="AS479" s="807"/>
      <c r="AT479" s="805"/>
      <c r="AU479" s="805"/>
      <c r="AV479" s="807"/>
      <c r="AW479" s="802"/>
      <c r="AX479" s="802"/>
      <c r="AY479" s="802"/>
      <c r="AZ479" s="802"/>
      <c r="BA479" s="802"/>
    </row>
    <row r="480" spans="1:53" s="803" customFormat="1" ht="12.75" customHeight="1" x14ac:dyDescent="0.25">
      <c r="A480" s="1122"/>
      <c r="B480" s="782"/>
      <c r="C480" s="784"/>
      <c r="D480" s="836"/>
      <c r="E480" s="754"/>
      <c r="F480" s="857"/>
      <c r="G480" s="769"/>
      <c r="H480" s="756"/>
      <c r="I480" s="770"/>
      <c r="J480" s="758"/>
      <c r="K480" s="828"/>
      <c r="L480" s="760"/>
      <c r="M480" s="760"/>
      <c r="N480" s="760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5"/>
      <c r="AB480" s="755"/>
      <c r="AC480" s="773"/>
      <c r="AD480" s="802"/>
      <c r="AF480" s="814"/>
      <c r="AG480" s="802"/>
      <c r="AH480" s="805"/>
      <c r="AI480" s="805"/>
      <c r="AJ480" s="827"/>
      <c r="AK480" s="805"/>
      <c r="AL480" s="806"/>
      <c r="AM480" s="805"/>
      <c r="AN480" s="805"/>
      <c r="AO480" s="807"/>
      <c r="AP480" s="805"/>
      <c r="AQ480" s="805"/>
      <c r="AR480" s="807"/>
      <c r="AS480" s="807"/>
      <c r="AT480" s="805"/>
      <c r="AU480" s="805"/>
      <c r="AV480" s="807"/>
      <c r="AW480" s="802"/>
      <c r="AX480" s="802"/>
      <c r="AY480" s="802"/>
      <c r="AZ480" s="802"/>
      <c r="BA480" s="802"/>
    </row>
    <row r="481" spans="1:53" s="803" customFormat="1" ht="56.25" customHeight="1" x14ac:dyDescent="0.25">
      <c r="A481" s="1122" t="s">
        <v>1781</v>
      </c>
      <c r="B481" s="837" t="s">
        <v>1780</v>
      </c>
      <c r="C481" s="837"/>
      <c r="D481" s="834"/>
      <c r="E481" s="791" t="s">
        <v>488</v>
      </c>
      <c r="F481" s="792" t="s">
        <v>837</v>
      </c>
      <c r="G481" s="837" t="s">
        <v>489</v>
      </c>
      <c r="H481" s="791" t="s">
        <v>1170</v>
      </c>
      <c r="I481" s="792" t="s">
        <v>838</v>
      </c>
      <c r="J481" s="793" t="s">
        <v>1171</v>
      </c>
      <c r="K481" s="793" t="s">
        <v>490</v>
      </c>
      <c r="L481" s="794" t="s">
        <v>489</v>
      </c>
      <c r="M481" s="793" t="s">
        <v>1172</v>
      </c>
      <c r="N481" s="792" t="s">
        <v>838</v>
      </c>
      <c r="O481" s="793" t="s">
        <v>1171</v>
      </c>
      <c r="P481" s="793" t="s">
        <v>826</v>
      </c>
      <c r="Q481" s="793" t="s">
        <v>1173</v>
      </c>
      <c r="R481" s="793" t="s">
        <v>1174</v>
      </c>
      <c r="S481" s="793" t="s">
        <v>839</v>
      </c>
      <c r="T481" s="793" t="s">
        <v>1171</v>
      </c>
      <c r="U481" s="793" t="s">
        <v>1392</v>
      </c>
      <c r="V481" s="793" t="s">
        <v>841</v>
      </c>
      <c r="W481" s="795" t="s">
        <v>1173</v>
      </c>
      <c r="X481" s="793" t="s">
        <v>1394</v>
      </c>
      <c r="Y481" s="793" t="s">
        <v>839</v>
      </c>
      <c r="Z481" s="796"/>
      <c r="AA481" s="755"/>
      <c r="AB481" s="755"/>
      <c r="AC481" s="773"/>
      <c r="AD481" s="802"/>
      <c r="AF481" s="804"/>
      <c r="AG481" s="802"/>
      <c r="AH481" s="805"/>
      <c r="AI481" s="805"/>
      <c r="AJ481" s="805"/>
      <c r="AK481" s="805"/>
      <c r="AL481" s="806"/>
      <c r="AM481" s="805"/>
      <c r="AN481" s="805"/>
      <c r="AO481" s="807"/>
      <c r="AP481" s="805"/>
      <c r="AQ481" s="808"/>
      <c r="AR481" s="808"/>
      <c r="AS481" s="808"/>
      <c r="AT481" s="805"/>
      <c r="AU481" s="805"/>
      <c r="AV481" s="807"/>
      <c r="AW481" s="802"/>
      <c r="AX481" s="802"/>
      <c r="AY481" s="802"/>
      <c r="AZ481" s="802"/>
      <c r="BA481" s="802"/>
    </row>
    <row r="482" spans="1:53" s="803" customFormat="1" ht="12" customHeight="1" x14ac:dyDescent="0.25">
      <c r="A482" s="1122"/>
      <c r="B482" s="752" t="s">
        <v>1175</v>
      </c>
      <c r="C482" s="837">
        <f>C489</f>
        <v>8.9680495232052184</v>
      </c>
      <c r="D482" s="834">
        <f>C482*$D$5</f>
        <v>1.8115460036874542</v>
      </c>
      <c r="E482" s="754" t="s">
        <v>1176</v>
      </c>
      <c r="F482" s="810"/>
      <c r="G482" s="756"/>
      <c r="H482" s="756"/>
      <c r="I482" s="757">
        <f>SUM(I483:I490)</f>
        <v>6.5736000000000008</v>
      </c>
      <c r="J482" s="758" t="s">
        <v>1176</v>
      </c>
      <c r="K482" s="811"/>
      <c r="L482" s="759"/>
      <c r="M482" s="759"/>
      <c r="N482" s="760">
        <f>SUM(N483:N490)</f>
        <v>8.2000430473983976E-2</v>
      </c>
      <c r="O482" s="759" t="s">
        <v>1176</v>
      </c>
      <c r="P482" s="759"/>
      <c r="Q482" s="812"/>
      <c r="R482" s="813"/>
      <c r="S482" s="760">
        <f>SUM(S483:S490)</f>
        <v>9.8377551924086384E-2</v>
      </c>
      <c r="T482" s="760"/>
      <c r="U482" s="760"/>
      <c r="V482" s="760"/>
      <c r="W482" s="760"/>
      <c r="X482" s="760"/>
      <c r="Y482" s="760">
        <f>SUM(Y483:Y490)</f>
        <v>4.3489191438431192</v>
      </c>
      <c r="Z482" s="762">
        <f>(C482+D482+I482+N482+S482+Y482)*$Z$5</f>
        <v>28.45134763527685</v>
      </c>
      <c r="AA482" s="763">
        <f>C482+D482+I482+N482+S482+Y482+Z482</f>
        <v>50.333840288410713</v>
      </c>
      <c r="AB482" s="764">
        <v>0.25</v>
      </c>
      <c r="AC482" s="765">
        <f>AA482*(1+AB482)</f>
        <v>62.917300360513394</v>
      </c>
      <c r="AD482" s="814"/>
      <c r="AF482" s="804"/>
      <c r="AG482" s="802"/>
      <c r="AH482" s="805"/>
      <c r="AI482" s="808"/>
      <c r="AJ482" s="815"/>
      <c r="AK482" s="816"/>
      <c r="AL482" s="806"/>
      <c r="AM482" s="817"/>
      <c r="AN482" s="818"/>
      <c r="AO482" s="817"/>
      <c r="AP482" s="808"/>
      <c r="AQ482" s="808"/>
      <c r="AR482" s="808"/>
      <c r="AS482" s="808"/>
      <c r="AT482" s="808"/>
      <c r="AU482" s="817"/>
      <c r="AV482" s="817"/>
      <c r="AW482" s="819"/>
      <c r="AX482" s="802"/>
      <c r="AY482" s="802"/>
      <c r="AZ482" s="802"/>
      <c r="BA482" s="802"/>
    </row>
    <row r="483" spans="1:53" s="803" customFormat="1" ht="12.75" customHeight="1" x14ac:dyDescent="0.25">
      <c r="A483" s="1122"/>
      <c r="B483" s="766" t="s">
        <v>1177</v>
      </c>
      <c r="C483" s="837"/>
      <c r="D483" s="835"/>
      <c r="E483" s="767" t="s">
        <v>1437</v>
      </c>
      <c r="F483" s="768" t="s">
        <v>1438</v>
      </c>
      <c r="G483" s="769">
        <v>0.74</v>
      </c>
      <c r="H483" s="768">
        <v>0.01</v>
      </c>
      <c r="I483" s="770">
        <f>G483*H483</f>
        <v>7.4000000000000003E-3</v>
      </c>
      <c r="J483" s="758" t="s">
        <v>1291</v>
      </c>
      <c r="K483" s="760">
        <v>2</v>
      </c>
      <c r="L483" s="760">
        <v>750</v>
      </c>
      <c r="M483" s="760">
        <v>2</v>
      </c>
      <c r="N483" s="786">
        <f>L483/'Исп. коэффициенты'!E52*(C487+C488)</f>
        <v>7.0690026270675846E-2</v>
      </c>
      <c r="O483" s="759" t="s">
        <v>186</v>
      </c>
      <c r="P483" s="759">
        <v>5303.64</v>
      </c>
      <c r="Q483" s="759">
        <v>19.68</v>
      </c>
      <c r="R483" s="759">
        <f>P483*Q483%</f>
        <v>1043.7563520000001</v>
      </c>
      <c r="S483" s="759">
        <f>R483/'Исп. коэффициенты'!E52</f>
        <v>9.8377551924086384E-2</v>
      </c>
      <c r="T483" s="755" t="s">
        <v>1435</v>
      </c>
      <c r="U483" s="756">
        <v>6785401.3499999996</v>
      </c>
      <c r="V483" s="785">
        <f>'Исп. коэффициенты'!E124</f>
        <v>2978.5</v>
      </c>
      <c r="W483" s="761">
        <f>'Исп. коэффициенты'!D124</f>
        <v>1.3599999999999999E-2</v>
      </c>
      <c r="X483" s="760">
        <f>U483*W483</f>
        <v>92281.45835999999</v>
      </c>
      <c r="Y483" s="759">
        <f>X483/'Исп. коэффициенты'!E52/2</f>
        <v>4.3489191438431192</v>
      </c>
      <c r="Z483" s="759"/>
      <c r="AA483" s="755"/>
      <c r="AB483" s="755"/>
      <c r="AC483" s="773"/>
      <c r="AD483" s="802"/>
      <c r="AF483" s="821"/>
      <c r="AG483" s="802"/>
      <c r="AH483" s="805"/>
      <c r="AI483" s="805"/>
      <c r="AJ483" s="822"/>
      <c r="AK483" s="805"/>
      <c r="AL483" s="806"/>
      <c r="AM483" s="805"/>
      <c r="AN483" s="805"/>
      <c r="AO483" s="807"/>
      <c r="AP483" s="805"/>
      <c r="AQ483" s="805"/>
      <c r="AR483" s="807"/>
      <c r="AS483" s="807"/>
      <c r="AT483" s="808"/>
      <c r="AU483" s="805"/>
      <c r="AV483" s="807"/>
      <c r="AW483" s="802"/>
      <c r="AX483" s="802"/>
      <c r="AY483" s="802"/>
      <c r="AZ483" s="802"/>
      <c r="BA483" s="802"/>
    </row>
    <row r="484" spans="1:53" s="803" customFormat="1" x14ac:dyDescent="0.25">
      <c r="A484" s="1122"/>
      <c r="B484" s="774" t="s">
        <v>1178</v>
      </c>
      <c r="C484" s="753">
        <f>C414</f>
        <v>0</v>
      </c>
      <c r="D484" s="835"/>
      <c r="E484" s="767" t="s">
        <v>1439</v>
      </c>
      <c r="F484" s="768" t="s">
        <v>1438</v>
      </c>
      <c r="G484" s="769">
        <v>0.27</v>
      </c>
      <c r="H484" s="768">
        <v>0.01</v>
      </c>
      <c r="I484" s="775">
        <f>G484*H484</f>
        <v>2.7000000000000001E-3</v>
      </c>
      <c r="J484" s="758" t="s">
        <v>1445</v>
      </c>
      <c r="K484" s="760">
        <v>2</v>
      </c>
      <c r="L484" s="760">
        <v>95</v>
      </c>
      <c r="M484" s="760">
        <v>2</v>
      </c>
      <c r="N484" s="786">
        <f>L484/'Исп. коэффициенты'!E52*(C487+C488)</f>
        <v>8.9540699942856072E-3</v>
      </c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5"/>
      <c r="AB484" s="755"/>
      <c r="AC484" s="773"/>
      <c r="AD484" s="802"/>
      <c r="AF484" s="821"/>
      <c r="AG484" s="802"/>
      <c r="AH484" s="805"/>
      <c r="AI484" s="805"/>
      <c r="AJ484" s="822"/>
      <c r="AK484" s="805"/>
      <c r="AL484" s="806"/>
      <c r="AM484" s="824"/>
      <c r="AN484" s="805"/>
      <c r="AO484" s="807"/>
      <c r="AP484" s="805"/>
      <c r="AQ484" s="805"/>
      <c r="AR484" s="807"/>
      <c r="AS484" s="807"/>
      <c r="AT484" s="805"/>
      <c r="AU484" s="805"/>
      <c r="AV484" s="807"/>
      <c r="AW484" s="802"/>
      <c r="AX484" s="802"/>
      <c r="AY484" s="802"/>
      <c r="AZ484" s="802"/>
      <c r="BA484" s="802"/>
    </row>
    <row r="485" spans="1:53" s="803" customFormat="1" ht="12.75" customHeight="1" x14ac:dyDescent="0.25">
      <c r="A485" s="1122"/>
      <c r="B485" s="754" t="s">
        <v>1179</v>
      </c>
      <c r="C485" s="837">
        <f>C475</f>
        <v>22.420123808013045</v>
      </c>
      <c r="D485" s="835"/>
      <c r="E485" s="767" t="s">
        <v>1598</v>
      </c>
      <c r="F485" s="768" t="s">
        <v>1441</v>
      </c>
      <c r="G485" s="769">
        <v>4.4000000000000004</v>
      </c>
      <c r="H485" s="769">
        <v>1</v>
      </c>
      <c r="I485" s="770">
        <f>G485*H485</f>
        <v>4.4000000000000004</v>
      </c>
      <c r="J485" s="758" t="s">
        <v>1513</v>
      </c>
      <c r="K485" s="760">
        <v>2</v>
      </c>
      <c r="L485" s="760">
        <v>25</v>
      </c>
      <c r="M485" s="760">
        <v>0.5</v>
      </c>
      <c r="N485" s="786">
        <f>L485/'Исп. коэффициенты'!E52*(C487+C488)</f>
        <v>2.3563342090225283E-3</v>
      </c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5"/>
      <c r="AB485" s="755"/>
      <c r="AC485" s="773"/>
      <c r="AD485" s="802"/>
      <c r="AF485" s="821"/>
      <c r="AG485" s="802"/>
      <c r="AH485" s="805"/>
      <c r="AI485" s="805"/>
      <c r="AJ485" s="822"/>
      <c r="AK485" s="805"/>
      <c r="AL485" s="806"/>
      <c r="AM485" s="805"/>
      <c r="AN485" s="805"/>
      <c r="AO485" s="807"/>
      <c r="AP485" s="805"/>
      <c r="AQ485" s="805"/>
      <c r="AR485" s="807"/>
      <c r="AS485" s="807"/>
      <c r="AT485" s="805"/>
      <c r="AU485" s="805"/>
      <c r="AV485" s="807"/>
      <c r="AW485" s="802"/>
      <c r="AX485" s="802"/>
      <c r="AY485" s="802"/>
      <c r="AZ485" s="802"/>
      <c r="BA485" s="802"/>
    </row>
    <row r="486" spans="1:53" s="803" customFormat="1" ht="12.75" customHeight="1" x14ac:dyDescent="0.25">
      <c r="A486" s="1122"/>
      <c r="B486" s="754" t="s">
        <v>1180</v>
      </c>
      <c r="C486" s="789"/>
      <c r="D486" s="835"/>
      <c r="E486" s="767"/>
      <c r="F486" s="768"/>
      <c r="G486" s="769"/>
      <c r="H486" s="768"/>
      <c r="I486" s="770"/>
      <c r="J486" s="758"/>
      <c r="K486" s="760"/>
      <c r="L486" s="760"/>
      <c r="M486" s="760"/>
      <c r="N486" s="760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5"/>
      <c r="AB486" s="755"/>
      <c r="AC486" s="773"/>
      <c r="AD486" s="802"/>
      <c r="AF486" s="821"/>
      <c r="AG486" s="802"/>
      <c r="AH486" s="805"/>
      <c r="AI486" s="805"/>
      <c r="AJ486" s="822"/>
      <c r="AK486" s="805"/>
      <c r="AL486" s="806"/>
      <c r="AM486" s="805"/>
      <c r="AN486" s="805"/>
      <c r="AO486" s="807"/>
      <c r="AP486" s="805"/>
      <c r="AQ486" s="805"/>
      <c r="AR486" s="807"/>
      <c r="AS486" s="807"/>
      <c r="AT486" s="805"/>
      <c r="AU486" s="805"/>
      <c r="AV486" s="807"/>
      <c r="AW486" s="802"/>
      <c r="AX486" s="802"/>
      <c r="AY486" s="802"/>
      <c r="AZ486" s="802"/>
      <c r="BA486" s="802"/>
    </row>
    <row r="487" spans="1:53" s="803" customFormat="1" ht="12.75" customHeight="1" x14ac:dyDescent="0.25">
      <c r="A487" s="1122"/>
      <c r="B487" s="774" t="s">
        <v>1178</v>
      </c>
      <c r="C487" s="784">
        <v>0.6</v>
      </c>
      <c r="D487" s="835"/>
      <c r="E487" s="767" t="s">
        <v>1442</v>
      </c>
      <c r="F487" s="768" t="s">
        <v>1443</v>
      </c>
      <c r="G487" s="769">
        <v>419.5</v>
      </c>
      <c r="H487" s="768">
        <v>1E-3</v>
      </c>
      <c r="I487" s="770">
        <f>G487*H487</f>
        <v>0.41949999999999998</v>
      </c>
      <c r="J487" s="758"/>
      <c r="K487" s="760"/>
      <c r="L487" s="760"/>
      <c r="M487" s="760"/>
      <c r="N487" s="760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5"/>
      <c r="AB487" s="755"/>
      <c r="AC487" s="773"/>
      <c r="AD487" s="802"/>
      <c r="AF487" s="821"/>
      <c r="AG487" s="802"/>
      <c r="AH487" s="805"/>
      <c r="AI487" s="805"/>
      <c r="AJ487" s="827"/>
      <c r="AK487" s="805"/>
      <c r="AL487" s="806"/>
      <c r="AM487" s="805"/>
      <c r="AN487" s="805"/>
      <c r="AO487" s="807"/>
      <c r="AP487" s="805"/>
      <c r="AQ487" s="805"/>
      <c r="AR487" s="807"/>
      <c r="AS487" s="807"/>
      <c r="AT487" s="805"/>
      <c r="AU487" s="805"/>
      <c r="AV487" s="807"/>
      <c r="AW487" s="802"/>
      <c r="AX487" s="802"/>
      <c r="AY487" s="802"/>
      <c r="AZ487" s="802"/>
      <c r="BA487" s="802"/>
    </row>
    <row r="488" spans="1:53" s="803" customFormat="1" ht="12.75" customHeight="1" x14ac:dyDescent="0.25">
      <c r="A488" s="1122"/>
      <c r="B488" s="754" t="s">
        <v>1179</v>
      </c>
      <c r="C488" s="784">
        <v>0.4</v>
      </c>
      <c r="D488" s="835"/>
      <c r="E488" s="767" t="s">
        <v>1444</v>
      </c>
      <c r="F488" s="768" t="s">
        <v>1443</v>
      </c>
      <c r="G488" s="769">
        <v>872</v>
      </c>
      <c r="H488" s="768">
        <v>2E-3</v>
      </c>
      <c r="I488" s="770">
        <f>G488*H488</f>
        <v>1.744</v>
      </c>
      <c r="J488" s="758"/>
      <c r="K488" s="760"/>
      <c r="L488" s="760"/>
      <c r="M488" s="760"/>
      <c r="N488" s="760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5"/>
      <c r="AB488" s="755"/>
      <c r="AC488" s="773"/>
      <c r="AD488" s="802"/>
      <c r="AF488" s="821"/>
      <c r="AG488" s="802"/>
      <c r="AH488" s="805"/>
      <c r="AI488" s="805"/>
      <c r="AJ488" s="827"/>
      <c r="AK488" s="805"/>
      <c r="AL488" s="806"/>
      <c r="AM488" s="805"/>
      <c r="AN488" s="805"/>
      <c r="AO488" s="807"/>
      <c r="AP488" s="805"/>
      <c r="AQ488" s="805"/>
      <c r="AR488" s="807"/>
      <c r="AS488" s="807"/>
      <c r="AT488" s="805"/>
      <c r="AU488" s="805"/>
      <c r="AV488" s="807"/>
      <c r="AW488" s="802"/>
      <c r="AX488" s="802"/>
      <c r="AY488" s="802"/>
      <c r="AZ488" s="802"/>
      <c r="BA488" s="802"/>
    </row>
    <row r="489" spans="1:53" s="803" customFormat="1" ht="12.75" customHeight="1" x14ac:dyDescent="0.25">
      <c r="A489" s="1122"/>
      <c r="B489" s="782" t="s">
        <v>1181</v>
      </c>
      <c r="C489" s="837">
        <f>C484*C487+C485*C488</f>
        <v>8.9680495232052184</v>
      </c>
      <c r="D489" s="835"/>
      <c r="E489" s="767"/>
      <c r="F489" s="781"/>
      <c r="G489" s="769"/>
      <c r="H489" s="768"/>
      <c r="I489" s="770"/>
      <c r="J489" s="758"/>
      <c r="K489" s="828"/>
      <c r="L489" s="760"/>
      <c r="M489" s="760"/>
      <c r="N489" s="760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5"/>
      <c r="AB489" s="755"/>
      <c r="AC489" s="773"/>
      <c r="AD489" s="802"/>
      <c r="AF489" s="821"/>
      <c r="AG489" s="802"/>
      <c r="AH489" s="805"/>
      <c r="AI489" s="805"/>
      <c r="AJ489" s="822"/>
      <c r="AK489" s="805"/>
      <c r="AL489" s="806"/>
      <c r="AM489" s="805"/>
      <c r="AN489" s="805"/>
      <c r="AO489" s="807"/>
      <c r="AP489" s="805"/>
      <c r="AQ489" s="805"/>
      <c r="AR489" s="807"/>
      <c r="AS489" s="807"/>
      <c r="AT489" s="805"/>
      <c r="AU489" s="805"/>
      <c r="AV489" s="807"/>
      <c r="AW489" s="802"/>
      <c r="AX489" s="802"/>
      <c r="AY489" s="802"/>
      <c r="AZ489" s="802"/>
      <c r="BA489" s="802"/>
    </row>
    <row r="490" spans="1:53" s="803" customFormat="1" ht="12.75" customHeight="1" x14ac:dyDescent="0.25">
      <c r="A490" s="1122"/>
      <c r="B490" s="782"/>
      <c r="C490" s="784"/>
      <c r="D490" s="836"/>
      <c r="E490" s="754"/>
      <c r="F490" s="857"/>
      <c r="G490" s="769"/>
      <c r="H490" s="756"/>
      <c r="I490" s="770"/>
      <c r="J490" s="758"/>
      <c r="K490" s="828"/>
      <c r="L490" s="760"/>
      <c r="M490" s="760"/>
      <c r="N490" s="760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5"/>
      <c r="AB490" s="755"/>
      <c r="AC490" s="773"/>
      <c r="AD490" s="802"/>
      <c r="AF490" s="814"/>
      <c r="AG490" s="802"/>
      <c r="AH490" s="805"/>
      <c r="AI490" s="805"/>
      <c r="AJ490" s="827"/>
      <c r="AK490" s="805"/>
      <c r="AL490" s="806"/>
      <c r="AM490" s="805"/>
      <c r="AN490" s="805"/>
      <c r="AO490" s="807"/>
      <c r="AP490" s="805"/>
      <c r="AQ490" s="805"/>
      <c r="AR490" s="807"/>
      <c r="AS490" s="807"/>
      <c r="AT490" s="805"/>
      <c r="AU490" s="805"/>
      <c r="AV490" s="807"/>
      <c r="AW490" s="802"/>
      <c r="AX490" s="802"/>
      <c r="AY490" s="802"/>
      <c r="AZ490" s="802"/>
      <c r="BA490" s="802"/>
    </row>
    <row r="491" spans="1:53" s="803" customFormat="1" ht="56.25" customHeight="1" x14ac:dyDescent="0.25">
      <c r="A491" s="1114" t="s">
        <v>589</v>
      </c>
      <c r="B491" s="837" t="s">
        <v>1013</v>
      </c>
      <c r="C491" s="837"/>
      <c r="D491" s="834"/>
      <c r="E491" s="791" t="s">
        <v>488</v>
      </c>
      <c r="F491" s="792" t="s">
        <v>837</v>
      </c>
      <c r="G491" s="837" t="s">
        <v>489</v>
      </c>
      <c r="H491" s="791" t="s">
        <v>1170</v>
      </c>
      <c r="I491" s="792" t="s">
        <v>838</v>
      </c>
      <c r="J491" s="793" t="s">
        <v>1171</v>
      </c>
      <c r="K491" s="793" t="s">
        <v>490</v>
      </c>
      <c r="L491" s="794" t="s">
        <v>489</v>
      </c>
      <c r="M491" s="793" t="s">
        <v>1172</v>
      </c>
      <c r="N491" s="792" t="s">
        <v>838</v>
      </c>
      <c r="O491" s="793" t="s">
        <v>1171</v>
      </c>
      <c r="P491" s="793" t="s">
        <v>826</v>
      </c>
      <c r="Q491" s="793" t="s">
        <v>1173</v>
      </c>
      <c r="R491" s="793" t="s">
        <v>1174</v>
      </c>
      <c r="S491" s="793" t="s">
        <v>839</v>
      </c>
      <c r="T491" s="793" t="s">
        <v>1171</v>
      </c>
      <c r="U491" s="793" t="s">
        <v>1392</v>
      </c>
      <c r="V491" s="793" t="s">
        <v>841</v>
      </c>
      <c r="W491" s="795" t="s">
        <v>1173</v>
      </c>
      <c r="X491" s="793" t="s">
        <v>1394</v>
      </c>
      <c r="Y491" s="793" t="s">
        <v>839</v>
      </c>
      <c r="Z491" s="796"/>
      <c r="AA491" s="755"/>
      <c r="AB491" s="755"/>
      <c r="AC491" s="773"/>
      <c r="AD491" s="802"/>
      <c r="AF491" s="804"/>
      <c r="AG491" s="802"/>
      <c r="AH491" s="805"/>
      <c r="AI491" s="805"/>
      <c r="AJ491" s="805"/>
      <c r="AK491" s="805"/>
      <c r="AL491" s="806"/>
      <c r="AM491" s="805"/>
      <c r="AN491" s="805"/>
      <c r="AO491" s="807"/>
      <c r="AP491" s="805"/>
      <c r="AQ491" s="808"/>
      <c r="AR491" s="808"/>
      <c r="AS491" s="808"/>
      <c r="AT491" s="805"/>
      <c r="AU491" s="805"/>
      <c r="AV491" s="807"/>
      <c r="AW491" s="802"/>
      <c r="AX491" s="802"/>
      <c r="AY491" s="802"/>
      <c r="AZ491" s="802"/>
      <c r="BA491" s="802"/>
    </row>
    <row r="492" spans="1:53" s="803" customFormat="1" ht="12" customHeight="1" x14ac:dyDescent="0.25">
      <c r="A492" s="1115"/>
      <c r="B492" s="752" t="s">
        <v>1175</v>
      </c>
      <c r="C492" s="837">
        <f>C499</f>
        <v>42.635758975439401</v>
      </c>
      <c r="D492" s="834">
        <f>C492*$D$5</f>
        <v>8.6124233130387591</v>
      </c>
      <c r="E492" s="754" t="s">
        <v>1176</v>
      </c>
      <c r="F492" s="810"/>
      <c r="G492" s="756"/>
      <c r="H492" s="756"/>
      <c r="I492" s="757">
        <f>SUM(I493:I500)</f>
        <v>6.5736000000000008</v>
      </c>
      <c r="J492" s="758" t="s">
        <v>1176</v>
      </c>
      <c r="K492" s="811"/>
      <c r="L492" s="759"/>
      <c r="M492" s="759"/>
      <c r="N492" s="760">
        <f>SUM(N493:N500)</f>
        <v>0.11480060266357756</v>
      </c>
      <c r="O492" s="759" t="s">
        <v>1176</v>
      </c>
      <c r="P492" s="759"/>
      <c r="Q492" s="812"/>
      <c r="R492" s="813"/>
      <c r="S492" s="760">
        <f>SUM(S493:S500)</f>
        <v>9.8377551924086384E-2</v>
      </c>
      <c r="T492" s="760"/>
      <c r="U492" s="760"/>
      <c r="V492" s="760"/>
      <c r="W492" s="760"/>
      <c r="X492" s="760"/>
      <c r="Y492" s="760">
        <f>SUM(Y493:Y500)</f>
        <v>4.3489191438431192</v>
      </c>
      <c r="Z492" s="762">
        <f>(C492+D492+I492+N492+S492+Y492)*$Z$5</f>
        <v>81.110752467690546</v>
      </c>
      <c r="AA492" s="763">
        <f>C492+D492+I492+N492+S492+Y492+Z492</f>
        <v>143.49463205459949</v>
      </c>
      <c r="AB492" s="764">
        <v>0.25</v>
      </c>
      <c r="AC492" s="765">
        <f>AA492*(1+AB492)</f>
        <v>179.36829006824937</v>
      </c>
      <c r="AD492" s="814"/>
      <c r="AF492" s="804"/>
      <c r="AG492" s="802"/>
      <c r="AH492" s="805"/>
      <c r="AI492" s="808"/>
      <c r="AJ492" s="815"/>
      <c r="AK492" s="816"/>
      <c r="AL492" s="806"/>
      <c r="AM492" s="817"/>
      <c r="AN492" s="818"/>
      <c r="AO492" s="817"/>
      <c r="AP492" s="808"/>
      <c r="AQ492" s="808"/>
      <c r="AR492" s="808"/>
      <c r="AS492" s="808"/>
      <c r="AT492" s="808"/>
      <c r="AU492" s="817"/>
      <c r="AV492" s="817"/>
      <c r="AW492" s="819"/>
      <c r="AX492" s="802"/>
      <c r="AY492" s="802"/>
      <c r="AZ492" s="802"/>
      <c r="BA492" s="802"/>
    </row>
    <row r="493" spans="1:53" s="803" customFormat="1" ht="12.75" customHeight="1" x14ac:dyDescent="0.25">
      <c r="A493" s="1115"/>
      <c r="B493" s="766" t="s">
        <v>1177</v>
      </c>
      <c r="C493" s="837"/>
      <c r="D493" s="835"/>
      <c r="E493" s="767" t="s">
        <v>1437</v>
      </c>
      <c r="F493" s="768" t="s">
        <v>1438</v>
      </c>
      <c r="G493" s="769">
        <v>0.74</v>
      </c>
      <c r="H493" s="768">
        <v>0.01</v>
      </c>
      <c r="I493" s="770">
        <f>G493*H493</f>
        <v>7.4000000000000003E-3</v>
      </c>
      <c r="J493" s="758" t="s">
        <v>1291</v>
      </c>
      <c r="K493" s="760">
        <v>2</v>
      </c>
      <c r="L493" s="760">
        <v>750</v>
      </c>
      <c r="M493" s="760">
        <v>2</v>
      </c>
      <c r="N493" s="786">
        <f>L493/'Исп. коэффициенты'!E52*(C497+C498)</f>
        <v>9.8966036778946179E-2</v>
      </c>
      <c r="O493" s="759" t="s">
        <v>186</v>
      </c>
      <c r="P493" s="759">
        <v>5303.64</v>
      </c>
      <c r="Q493" s="759">
        <v>19.68</v>
      </c>
      <c r="R493" s="759">
        <f>P493*Q493%</f>
        <v>1043.7563520000001</v>
      </c>
      <c r="S493" s="759">
        <f>R493/'Исп. коэффициенты'!E52</f>
        <v>9.8377551924086384E-2</v>
      </c>
      <c r="T493" s="755" t="s">
        <v>1435</v>
      </c>
      <c r="U493" s="756">
        <v>6785401.3499999996</v>
      </c>
      <c r="V493" s="785">
        <f>'Исп. коэффициенты'!E124</f>
        <v>2978.5</v>
      </c>
      <c r="W493" s="761">
        <f>'Исп. коэффициенты'!D124</f>
        <v>1.3599999999999999E-2</v>
      </c>
      <c r="X493" s="760">
        <f>U493*W493</f>
        <v>92281.45835999999</v>
      </c>
      <c r="Y493" s="759">
        <f>X493/'Исп. коэффициенты'!E52/2</f>
        <v>4.3489191438431192</v>
      </c>
      <c r="Z493" s="759"/>
      <c r="AA493" s="755"/>
      <c r="AB493" s="755"/>
      <c r="AC493" s="773"/>
      <c r="AD493" s="802"/>
      <c r="AF493" s="821"/>
      <c r="AG493" s="802"/>
      <c r="AH493" s="805"/>
      <c r="AI493" s="805"/>
      <c r="AJ493" s="822"/>
      <c r="AK493" s="805"/>
      <c r="AL493" s="806"/>
      <c r="AM493" s="805"/>
      <c r="AN493" s="805"/>
      <c r="AO493" s="807"/>
      <c r="AP493" s="805"/>
      <c r="AQ493" s="805"/>
      <c r="AR493" s="807"/>
      <c r="AS493" s="807"/>
      <c r="AT493" s="808"/>
      <c r="AU493" s="805"/>
      <c r="AV493" s="807"/>
      <c r="AW493" s="802"/>
      <c r="AX493" s="802"/>
      <c r="AY493" s="802"/>
      <c r="AZ493" s="802"/>
      <c r="BA493" s="802"/>
    </row>
    <row r="494" spans="1:53" s="803" customFormat="1" x14ac:dyDescent="0.25">
      <c r="A494" s="1115"/>
      <c r="B494" s="774" t="s">
        <v>1178</v>
      </c>
      <c r="C494" s="753">
        <f>C464</f>
        <v>33.667709452234185</v>
      </c>
      <c r="D494" s="835"/>
      <c r="E494" s="767" t="s">
        <v>1439</v>
      </c>
      <c r="F494" s="768" t="s">
        <v>1438</v>
      </c>
      <c r="G494" s="769">
        <v>0.27</v>
      </c>
      <c r="H494" s="768">
        <v>0.01</v>
      </c>
      <c r="I494" s="775">
        <f>G494*H494</f>
        <v>2.7000000000000001E-3</v>
      </c>
      <c r="J494" s="758" t="s">
        <v>1445</v>
      </c>
      <c r="K494" s="760">
        <v>2</v>
      </c>
      <c r="L494" s="760">
        <v>95</v>
      </c>
      <c r="M494" s="760">
        <v>2</v>
      </c>
      <c r="N494" s="786">
        <f>L494/'Исп. коэффициенты'!E52*(C497+C498)</f>
        <v>1.2535697991999849E-2</v>
      </c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5"/>
      <c r="AB494" s="755"/>
      <c r="AC494" s="773"/>
      <c r="AD494" s="802"/>
      <c r="AF494" s="821"/>
      <c r="AG494" s="802"/>
      <c r="AH494" s="805"/>
      <c r="AI494" s="805"/>
      <c r="AJ494" s="822"/>
      <c r="AK494" s="805"/>
      <c r="AL494" s="806"/>
      <c r="AM494" s="824"/>
      <c r="AN494" s="805"/>
      <c r="AO494" s="807"/>
      <c r="AP494" s="805"/>
      <c r="AQ494" s="805"/>
      <c r="AR494" s="807"/>
      <c r="AS494" s="807"/>
      <c r="AT494" s="805"/>
      <c r="AU494" s="805"/>
      <c r="AV494" s="807"/>
      <c r="AW494" s="802"/>
      <c r="AX494" s="802"/>
      <c r="AY494" s="802"/>
      <c r="AZ494" s="802"/>
      <c r="BA494" s="802"/>
    </row>
    <row r="495" spans="1:53" s="803" customFormat="1" ht="12.75" customHeight="1" x14ac:dyDescent="0.25">
      <c r="A495" s="1115"/>
      <c r="B495" s="754" t="s">
        <v>1179</v>
      </c>
      <c r="C495" s="837">
        <f>C465</f>
        <v>22.420123808013045</v>
      </c>
      <c r="D495" s="835"/>
      <c r="E495" s="767" t="s">
        <v>1598</v>
      </c>
      <c r="F495" s="768" t="s">
        <v>1441</v>
      </c>
      <c r="G495" s="769">
        <v>4.4000000000000004</v>
      </c>
      <c r="H495" s="769">
        <v>1</v>
      </c>
      <c r="I495" s="770">
        <f>G495*H495</f>
        <v>4.4000000000000004</v>
      </c>
      <c r="J495" s="758" t="s">
        <v>1513</v>
      </c>
      <c r="K495" s="760">
        <v>2</v>
      </c>
      <c r="L495" s="760">
        <v>25</v>
      </c>
      <c r="M495" s="760">
        <v>0.5</v>
      </c>
      <c r="N495" s="786">
        <f>L495/'Исп. коэффициенты'!E52*(C497+C498)</f>
        <v>3.2988678926315395E-3</v>
      </c>
      <c r="O495" s="759"/>
      <c r="P495" s="759"/>
      <c r="Q495" s="759"/>
      <c r="R495" s="759"/>
      <c r="S495" s="759"/>
      <c r="T495" s="759"/>
      <c r="U495" s="759"/>
      <c r="V495" s="759"/>
      <c r="W495" s="759"/>
      <c r="X495" s="759"/>
      <c r="Y495" s="759"/>
      <c r="Z495" s="759"/>
      <c r="AA495" s="755"/>
      <c r="AB495" s="755"/>
      <c r="AC495" s="773"/>
      <c r="AD495" s="802"/>
      <c r="AF495" s="821"/>
      <c r="AG495" s="802"/>
      <c r="AH495" s="805"/>
      <c r="AI495" s="805"/>
      <c r="AJ495" s="822"/>
      <c r="AK495" s="805"/>
      <c r="AL495" s="806"/>
      <c r="AM495" s="805"/>
      <c r="AN495" s="805"/>
      <c r="AO495" s="807"/>
      <c r="AP495" s="805"/>
      <c r="AQ495" s="805"/>
      <c r="AR495" s="807"/>
      <c r="AS495" s="807"/>
      <c r="AT495" s="805"/>
      <c r="AU495" s="805"/>
      <c r="AV495" s="807"/>
      <c r="AW495" s="802"/>
      <c r="AX495" s="802"/>
      <c r="AY495" s="802"/>
      <c r="AZ495" s="802"/>
      <c r="BA495" s="802"/>
    </row>
    <row r="496" spans="1:53" s="803" customFormat="1" ht="12.75" customHeight="1" x14ac:dyDescent="0.25">
      <c r="A496" s="1115"/>
      <c r="B496" s="754" t="s">
        <v>1180</v>
      </c>
      <c r="C496" s="789"/>
      <c r="D496" s="835"/>
      <c r="E496" s="767"/>
      <c r="F496" s="768"/>
      <c r="G496" s="769"/>
      <c r="H496" s="768"/>
      <c r="I496" s="770"/>
      <c r="J496" s="758"/>
      <c r="K496" s="760"/>
      <c r="L496" s="760"/>
      <c r="M496" s="760"/>
      <c r="N496" s="760"/>
      <c r="O496" s="759"/>
      <c r="P496" s="759"/>
      <c r="Q496" s="759"/>
      <c r="R496" s="759"/>
      <c r="S496" s="759"/>
      <c r="T496" s="759"/>
      <c r="U496" s="759"/>
      <c r="V496" s="759"/>
      <c r="W496" s="759"/>
      <c r="X496" s="759"/>
      <c r="Y496" s="759"/>
      <c r="Z496" s="759"/>
      <c r="AA496" s="755"/>
      <c r="AB496" s="755"/>
      <c r="AC496" s="773"/>
      <c r="AD496" s="802"/>
      <c r="AF496" s="821"/>
      <c r="AG496" s="802"/>
      <c r="AH496" s="805"/>
      <c r="AI496" s="805"/>
      <c r="AJ496" s="822"/>
      <c r="AK496" s="805"/>
      <c r="AL496" s="806"/>
      <c r="AM496" s="805"/>
      <c r="AN496" s="805"/>
      <c r="AO496" s="807"/>
      <c r="AP496" s="805"/>
      <c r="AQ496" s="805"/>
      <c r="AR496" s="807"/>
      <c r="AS496" s="807"/>
      <c r="AT496" s="805"/>
      <c r="AU496" s="805"/>
      <c r="AV496" s="807"/>
      <c r="AW496" s="802"/>
      <c r="AX496" s="802"/>
      <c r="AY496" s="802"/>
      <c r="AZ496" s="802"/>
      <c r="BA496" s="802"/>
    </row>
    <row r="497" spans="1:53" s="803" customFormat="1" ht="12.75" customHeight="1" x14ac:dyDescent="0.25">
      <c r="A497" s="1115"/>
      <c r="B497" s="774" t="s">
        <v>1178</v>
      </c>
      <c r="C497" s="784">
        <v>1</v>
      </c>
      <c r="D497" s="835"/>
      <c r="E497" s="767" t="s">
        <v>1442</v>
      </c>
      <c r="F497" s="768" t="s">
        <v>1443</v>
      </c>
      <c r="G497" s="769">
        <v>419.5</v>
      </c>
      <c r="H497" s="768">
        <v>1E-3</v>
      </c>
      <c r="I497" s="770">
        <f>G497*H497</f>
        <v>0.41949999999999998</v>
      </c>
      <c r="J497" s="758"/>
      <c r="K497" s="760"/>
      <c r="L497" s="760"/>
      <c r="M497" s="760"/>
      <c r="N497" s="760"/>
      <c r="O497" s="759"/>
      <c r="P497" s="759"/>
      <c r="Q497" s="759"/>
      <c r="R497" s="759"/>
      <c r="S497" s="759"/>
      <c r="T497" s="759"/>
      <c r="U497" s="759"/>
      <c r="V497" s="759"/>
      <c r="W497" s="759"/>
      <c r="X497" s="759"/>
      <c r="Y497" s="759"/>
      <c r="Z497" s="759"/>
      <c r="AA497" s="755"/>
      <c r="AB497" s="755"/>
      <c r="AC497" s="773"/>
      <c r="AD497" s="802"/>
      <c r="AF497" s="821"/>
      <c r="AG497" s="802"/>
      <c r="AH497" s="805"/>
      <c r="AI497" s="805"/>
      <c r="AJ497" s="827"/>
      <c r="AK497" s="805"/>
      <c r="AL497" s="806"/>
      <c r="AM497" s="805"/>
      <c r="AN497" s="805"/>
      <c r="AO497" s="807"/>
      <c r="AP497" s="805"/>
      <c r="AQ497" s="805"/>
      <c r="AR497" s="807"/>
      <c r="AS497" s="807"/>
      <c r="AT497" s="805"/>
      <c r="AU497" s="805"/>
      <c r="AV497" s="807"/>
      <c r="AW497" s="802"/>
      <c r="AX497" s="802"/>
      <c r="AY497" s="802"/>
      <c r="AZ497" s="802"/>
      <c r="BA497" s="802"/>
    </row>
    <row r="498" spans="1:53" s="803" customFormat="1" ht="12.75" customHeight="1" x14ac:dyDescent="0.25">
      <c r="A498" s="1115"/>
      <c r="B498" s="754" t="s">
        <v>1179</v>
      </c>
      <c r="C498" s="784">
        <v>0.4</v>
      </c>
      <c r="D498" s="835"/>
      <c r="E498" s="767" t="s">
        <v>1444</v>
      </c>
      <c r="F498" s="768" t="s">
        <v>1443</v>
      </c>
      <c r="G498" s="769">
        <v>872</v>
      </c>
      <c r="H498" s="768">
        <v>2E-3</v>
      </c>
      <c r="I498" s="770">
        <f>G498*H498</f>
        <v>1.744</v>
      </c>
      <c r="J498" s="758"/>
      <c r="K498" s="760"/>
      <c r="L498" s="760"/>
      <c r="M498" s="760"/>
      <c r="N498" s="760"/>
      <c r="O498" s="759"/>
      <c r="P498" s="759"/>
      <c r="Q498" s="759"/>
      <c r="R498" s="759"/>
      <c r="S498" s="759"/>
      <c r="T498" s="759"/>
      <c r="U498" s="759"/>
      <c r="V498" s="759"/>
      <c r="W498" s="759"/>
      <c r="X498" s="759"/>
      <c r="Y498" s="759"/>
      <c r="Z498" s="759"/>
      <c r="AA498" s="755"/>
      <c r="AB498" s="755"/>
      <c r="AC498" s="773"/>
      <c r="AD498" s="802"/>
      <c r="AF498" s="821"/>
      <c r="AG498" s="802"/>
      <c r="AH498" s="805"/>
      <c r="AI498" s="805"/>
      <c r="AJ498" s="827"/>
      <c r="AK498" s="805"/>
      <c r="AL498" s="806"/>
      <c r="AM498" s="805"/>
      <c r="AN498" s="805"/>
      <c r="AO498" s="807"/>
      <c r="AP498" s="805"/>
      <c r="AQ498" s="805"/>
      <c r="AR498" s="807"/>
      <c r="AS498" s="807"/>
      <c r="AT498" s="805"/>
      <c r="AU498" s="805"/>
      <c r="AV498" s="807"/>
      <c r="AW498" s="802"/>
      <c r="AX498" s="802"/>
      <c r="AY498" s="802"/>
      <c r="AZ498" s="802"/>
      <c r="BA498" s="802"/>
    </row>
    <row r="499" spans="1:53" s="803" customFormat="1" ht="12.75" customHeight="1" x14ac:dyDescent="0.25">
      <c r="A499" s="1115"/>
      <c r="B499" s="782" t="s">
        <v>1181</v>
      </c>
      <c r="C499" s="837">
        <f>C494*C497+C495*C498</f>
        <v>42.635758975439401</v>
      </c>
      <c r="D499" s="835"/>
      <c r="E499" s="767"/>
      <c r="F499" s="781"/>
      <c r="G499" s="769"/>
      <c r="H499" s="768"/>
      <c r="I499" s="770"/>
      <c r="J499" s="758"/>
      <c r="K499" s="828"/>
      <c r="L499" s="760"/>
      <c r="M499" s="760"/>
      <c r="N499" s="760"/>
      <c r="O499" s="759"/>
      <c r="P499" s="759"/>
      <c r="Q499" s="759"/>
      <c r="R499" s="759"/>
      <c r="S499" s="759"/>
      <c r="T499" s="759"/>
      <c r="U499" s="759"/>
      <c r="V499" s="759"/>
      <c r="W499" s="759"/>
      <c r="X499" s="759"/>
      <c r="Y499" s="759"/>
      <c r="Z499" s="759"/>
      <c r="AA499" s="755"/>
      <c r="AB499" s="755"/>
      <c r="AC499" s="773"/>
      <c r="AD499" s="802"/>
      <c r="AF499" s="821"/>
      <c r="AG499" s="802"/>
      <c r="AH499" s="805"/>
      <c r="AI499" s="805"/>
      <c r="AJ499" s="822"/>
      <c r="AK499" s="805"/>
      <c r="AL499" s="806"/>
      <c r="AM499" s="805"/>
      <c r="AN499" s="805"/>
      <c r="AO499" s="807"/>
      <c r="AP499" s="805"/>
      <c r="AQ499" s="805"/>
      <c r="AR499" s="807"/>
      <c r="AS499" s="807"/>
      <c r="AT499" s="805"/>
      <c r="AU499" s="805"/>
      <c r="AV499" s="807"/>
      <c r="AW499" s="802"/>
      <c r="AX499" s="802"/>
      <c r="AY499" s="802"/>
      <c r="AZ499" s="802"/>
      <c r="BA499" s="802"/>
    </row>
    <row r="500" spans="1:53" s="803" customFormat="1" ht="12.75" customHeight="1" x14ac:dyDescent="0.25">
      <c r="A500" s="1116"/>
      <c r="B500" s="782"/>
      <c r="C500" s="784"/>
      <c r="D500" s="836"/>
      <c r="E500" s="754"/>
      <c r="F500" s="857"/>
      <c r="G500" s="769"/>
      <c r="H500" s="756"/>
      <c r="I500" s="770"/>
      <c r="J500" s="758"/>
      <c r="K500" s="828"/>
      <c r="L500" s="760"/>
      <c r="M500" s="760"/>
      <c r="N500" s="760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5"/>
      <c r="AB500" s="755"/>
      <c r="AC500" s="773"/>
      <c r="AD500" s="802"/>
      <c r="AF500" s="814"/>
      <c r="AG500" s="802"/>
      <c r="AH500" s="805"/>
      <c r="AI500" s="805"/>
      <c r="AJ500" s="827"/>
      <c r="AK500" s="805"/>
      <c r="AL500" s="806"/>
      <c r="AM500" s="805"/>
      <c r="AN500" s="805"/>
      <c r="AO500" s="807"/>
      <c r="AP500" s="805"/>
      <c r="AQ500" s="805"/>
      <c r="AR500" s="807"/>
      <c r="AS500" s="807"/>
      <c r="AT500" s="805"/>
      <c r="AU500" s="805"/>
      <c r="AV500" s="807"/>
      <c r="AW500" s="802"/>
      <c r="AX500" s="802"/>
      <c r="AY500" s="802"/>
      <c r="AZ500" s="802"/>
      <c r="BA500" s="802"/>
    </row>
    <row r="501" spans="1:53" s="803" customFormat="1" ht="56.25" customHeight="1" x14ac:dyDescent="0.25">
      <c r="A501" s="1122" t="s">
        <v>592</v>
      </c>
      <c r="B501" s="753" t="s">
        <v>1230</v>
      </c>
      <c r="C501" s="837"/>
      <c r="D501" s="834"/>
      <c r="E501" s="791" t="s">
        <v>488</v>
      </c>
      <c r="F501" s="792" t="s">
        <v>837</v>
      </c>
      <c r="G501" s="837" t="s">
        <v>489</v>
      </c>
      <c r="H501" s="791" t="s">
        <v>1170</v>
      </c>
      <c r="I501" s="792" t="s">
        <v>838</v>
      </c>
      <c r="J501" s="793" t="s">
        <v>1171</v>
      </c>
      <c r="K501" s="793" t="s">
        <v>490</v>
      </c>
      <c r="L501" s="794" t="s">
        <v>489</v>
      </c>
      <c r="M501" s="793" t="s">
        <v>1172</v>
      </c>
      <c r="N501" s="792" t="s">
        <v>838</v>
      </c>
      <c r="O501" s="793" t="s">
        <v>1171</v>
      </c>
      <c r="P501" s="793" t="s">
        <v>826</v>
      </c>
      <c r="Q501" s="793" t="s">
        <v>1173</v>
      </c>
      <c r="R501" s="793" t="s">
        <v>1174</v>
      </c>
      <c r="S501" s="793" t="s">
        <v>839</v>
      </c>
      <c r="T501" s="793" t="s">
        <v>1171</v>
      </c>
      <c r="U501" s="793" t="s">
        <v>1392</v>
      </c>
      <c r="V501" s="793" t="s">
        <v>841</v>
      </c>
      <c r="W501" s="795" t="s">
        <v>1173</v>
      </c>
      <c r="X501" s="793" t="s">
        <v>1394</v>
      </c>
      <c r="Y501" s="793" t="s">
        <v>839</v>
      </c>
      <c r="Z501" s="796"/>
      <c r="AA501" s="755"/>
      <c r="AB501" s="755"/>
      <c r="AC501" s="773"/>
      <c r="AD501" s="802"/>
      <c r="AF501" s="804"/>
      <c r="AG501" s="802"/>
      <c r="AH501" s="805"/>
      <c r="AI501" s="805"/>
      <c r="AJ501" s="805"/>
      <c r="AK501" s="805"/>
      <c r="AL501" s="806"/>
      <c r="AM501" s="805"/>
      <c r="AN501" s="805"/>
      <c r="AO501" s="807"/>
      <c r="AP501" s="805"/>
      <c r="AQ501" s="808"/>
      <c r="AR501" s="808"/>
      <c r="AS501" s="808"/>
      <c r="AT501" s="805"/>
      <c r="AU501" s="805"/>
      <c r="AV501" s="807"/>
      <c r="AW501" s="802"/>
      <c r="AX501" s="802"/>
      <c r="AY501" s="802"/>
      <c r="AZ501" s="802"/>
      <c r="BA501" s="802"/>
    </row>
    <row r="502" spans="1:53" s="803" customFormat="1" ht="12" customHeight="1" x14ac:dyDescent="0.25">
      <c r="A502" s="1122"/>
      <c r="B502" s="752" t="s">
        <v>1175</v>
      </c>
      <c r="C502" s="837">
        <f>C509</f>
        <v>80.742464701018662</v>
      </c>
      <c r="D502" s="834">
        <f>C502*$D$5</f>
        <v>16.30997786960577</v>
      </c>
      <c r="E502" s="754" t="s">
        <v>1176</v>
      </c>
      <c r="F502" s="810"/>
      <c r="G502" s="756"/>
      <c r="H502" s="756"/>
      <c r="I502" s="757">
        <f>SUM(I503:I510)</f>
        <v>6.5736000000000008</v>
      </c>
      <c r="J502" s="758" t="s">
        <v>1176</v>
      </c>
      <c r="K502" s="811"/>
      <c r="L502" s="759"/>
      <c r="M502" s="759"/>
      <c r="N502" s="760">
        <f>SUM(N503:N510)</f>
        <v>0.26240137751674875</v>
      </c>
      <c r="O502" s="759" t="s">
        <v>1176</v>
      </c>
      <c r="P502" s="759"/>
      <c r="Q502" s="812"/>
      <c r="R502" s="813"/>
      <c r="S502" s="760">
        <f>SUM(S503:S510)</f>
        <v>9.8377551924086384E-2</v>
      </c>
      <c r="T502" s="760"/>
      <c r="U502" s="760"/>
      <c r="V502" s="760"/>
      <c r="W502" s="760"/>
      <c r="X502" s="760"/>
      <c r="Y502" s="760">
        <f>SUM(Y503:Y510)</f>
        <v>4.3489191438431192</v>
      </c>
      <c r="Z502" s="762">
        <f>(C502+D502+I502+N502+S502+Y502)*$Z$5</f>
        <v>140.85679667501697</v>
      </c>
      <c r="AA502" s="763">
        <f>C502+D502+I502+N502+S502+Y502+Z502</f>
        <v>249.19253731892536</v>
      </c>
      <c r="AB502" s="764">
        <v>0.25</v>
      </c>
      <c r="AC502" s="765">
        <f>AA502*(1+AB502)</f>
        <v>311.4906716486567</v>
      </c>
      <c r="AD502" s="814"/>
      <c r="AF502" s="804"/>
      <c r="AG502" s="802"/>
      <c r="AH502" s="805"/>
      <c r="AI502" s="808"/>
      <c r="AJ502" s="815"/>
      <c r="AK502" s="816"/>
      <c r="AL502" s="806"/>
      <c r="AM502" s="817"/>
      <c r="AN502" s="818"/>
      <c r="AO502" s="817"/>
      <c r="AP502" s="808"/>
      <c r="AQ502" s="808"/>
      <c r="AR502" s="808"/>
      <c r="AS502" s="808"/>
      <c r="AT502" s="808"/>
      <c r="AU502" s="817"/>
      <c r="AV502" s="817"/>
      <c r="AW502" s="819"/>
      <c r="AX502" s="802"/>
      <c r="AY502" s="802"/>
      <c r="AZ502" s="802"/>
      <c r="BA502" s="802"/>
    </row>
    <row r="503" spans="1:53" s="803" customFormat="1" ht="12.75" customHeight="1" x14ac:dyDescent="0.25">
      <c r="A503" s="1122"/>
      <c r="B503" s="766" t="s">
        <v>1177</v>
      </c>
      <c r="C503" s="837"/>
      <c r="D503" s="835"/>
      <c r="E503" s="767" t="s">
        <v>1437</v>
      </c>
      <c r="F503" s="768" t="s">
        <v>1438</v>
      </c>
      <c r="G503" s="769">
        <v>0.74</v>
      </c>
      <c r="H503" s="768">
        <v>0.01</v>
      </c>
      <c r="I503" s="770">
        <f>G503*H503</f>
        <v>7.4000000000000003E-3</v>
      </c>
      <c r="J503" s="758" t="s">
        <v>1291</v>
      </c>
      <c r="K503" s="760">
        <v>2</v>
      </c>
      <c r="L503" s="760">
        <v>750</v>
      </c>
      <c r="M503" s="760">
        <v>2</v>
      </c>
      <c r="N503" s="786">
        <f>L503/'Исп. коэффициенты'!E52*(C507+C508)</f>
        <v>0.22620808406616272</v>
      </c>
      <c r="O503" s="759" t="s">
        <v>186</v>
      </c>
      <c r="P503" s="759">
        <v>5303.64</v>
      </c>
      <c r="Q503" s="759">
        <v>19.68</v>
      </c>
      <c r="R503" s="759">
        <f>P503*Q503%</f>
        <v>1043.7563520000001</v>
      </c>
      <c r="S503" s="759">
        <f>R503/'Исп. коэффициенты'!E52</f>
        <v>9.8377551924086384E-2</v>
      </c>
      <c r="T503" s="755" t="s">
        <v>1435</v>
      </c>
      <c r="U503" s="756">
        <v>6785401.3499999996</v>
      </c>
      <c r="V503" s="785">
        <f>'Исп. коэффициенты'!E124</f>
        <v>2978.5</v>
      </c>
      <c r="W503" s="761">
        <f>'Исп. коэффициенты'!D124</f>
        <v>1.3599999999999999E-2</v>
      </c>
      <c r="X503" s="760">
        <f>U503*W503</f>
        <v>92281.45835999999</v>
      </c>
      <c r="Y503" s="759">
        <f>X503/'Исп. коэффициенты'!E52/2</f>
        <v>4.3489191438431192</v>
      </c>
      <c r="Z503" s="759"/>
      <c r="AA503" s="755"/>
      <c r="AB503" s="755"/>
      <c r="AC503" s="773"/>
      <c r="AD503" s="802"/>
      <c r="AF503" s="821"/>
      <c r="AG503" s="802"/>
      <c r="AH503" s="805"/>
      <c r="AI503" s="805"/>
      <c r="AJ503" s="822"/>
      <c r="AK503" s="805"/>
      <c r="AL503" s="806"/>
      <c r="AM503" s="805"/>
      <c r="AN503" s="805"/>
      <c r="AO503" s="807"/>
      <c r="AP503" s="805"/>
      <c r="AQ503" s="805"/>
      <c r="AR503" s="807"/>
      <c r="AS503" s="807"/>
      <c r="AT503" s="808"/>
      <c r="AU503" s="805"/>
      <c r="AV503" s="807"/>
      <c r="AW503" s="802"/>
      <c r="AX503" s="802"/>
      <c r="AY503" s="802"/>
      <c r="AZ503" s="802"/>
      <c r="BA503" s="802"/>
    </row>
    <row r="504" spans="1:53" s="803" customFormat="1" x14ac:dyDescent="0.25">
      <c r="A504" s="1122"/>
      <c r="B504" s="774" t="s">
        <v>1178</v>
      </c>
      <c r="C504" s="753">
        <f>C494</f>
        <v>33.667709452234185</v>
      </c>
      <c r="D504" s="835"/>
      <c r="E504" s="767" t="s">
        <v>1439</v>
      </c>
      <c r="F504" s="768" t="s">
        <v>1438</v>
      </c>
      <c r="G504" s="769">
        <v>0.27</v>
      </c>
      <c r="H504" s="768">
        <v>0.01</v>
      </c>
      <c r="I504" s="775">
        <f>G504*H504</f>
        <v>2.7000000000000001E-3</v>
      </c>
      <c r="J504" s="758" t="s">
        <v>1445</v>
      </c>
      <c r="K504" s="760">
        <v>2</v>
      </c>
      <c r="L504" s="760">
        <v>95</v>
      </c>
      <c r="M504" s="760">
        <v>2</v>
      </c>
      <c r="N504" s="786">
        <f>L504/'Исп. коэффициенты'!E52*(C507+C508)</f>
        <v>2.8653023981713946E-2</v>
      </c>
      <c r="O504" s="759"/>
      <c r="P504" s="759"/>
      <c r="Q504" s="759"/>
      <c r="R504" s="759"/>
      <c r="S504" s="759"/>
      <c r="T504" s="759"/>
      <c r="U504" s="759"/>
      <c r="V504" s="759"/>
      <c r="W504" s="759"/>
      <c r="X504" s="759"/>
      <c r="Y504" s="759"/>
      <c r="Z504" s="759"/>
      <c r="AA504" s="755"/>
      <c r="AB504" s="755"/>
      <c r="AC504" s="773"/>
      <c r="AD504" s="802"/>
      <c r="AF504" s="821"/>
      <c r="AG504" s="802"/>
      <c r="AH504" s="805"/>
      <c r="AI504" s="805"/>
      <c r="AJ504" s="822"/>
      <c r="AK504" s="805"/>
      <c r="AL504" s="806"/>
      <c r="AM504" s="824"/>
      <c r="AN504" s="805"/>
      <c r="AO504" s="807"/>
      <c r="AP504" s="805"/>
      <c r="AQ504" s="805"/>
      <c r="AR504" s="807"/>
      <c r="AS504" s="807"/>
      <c r="AT504" s="805"/>
      <c r="AU504" s="805"/>
      <c r="AV504" s="807"/>
      <c r="AW504" s="802"/>
      <c r="AX504" s="802"/>
      <c r="AY504" s="802"/>
      <c r="AZ504" s="802"/>
      <c r="BA504" s="802"/>
    </row>
    <row r="505" spans="1:53" s="803" customFormat="1" ht="12.75" customHeight="1" x14ac:dyDescent="0.25">
      <c r="A505" s="1122"/>
      <c r="B505" s="754" t="s">
        <v>1179</v>
      </c>
      <c r="C505" s="837">
        <f>C495</f>
        <v>22.420123808013045</v>
      </c>
      <c r="D505" s="835"/>
      <c r="E505" s="767" t="s">
        <v>1598</v>
      </c>
      <c r="F505" s="768" t="s">
        <v>1441</v>
      </c>
      <c r="G505" s="769">
        <v>4.4000000000000004</v>
      </c>
      <c r="H505" s="769">
        <v>1</v>
      </c>
      <c r="I505" s="770">
        <f>G505*H505</f>
        <v>4.4000000000000004</v>
      </c>
      <c r="J505" s="758" t="s">
        <v>1513</v>
      </c>
      <c r="K505" s="760">
        <v>2</v>
      </c>
      <c r="L505" s="760">
        <v>25</v>
      </c>
      <c r="M505" s="760">
        <v>0.5</v>
      </c>
      <c r="N505" s="786">
        <f>L505/'Исп. коэффициенты'!E52*(C507+C508)</f>
        <v>7.5402694688720909E-3</v>
      </c>
      <c r="O505" s="759"/>
      <c r="P505" s="759"/>
      <c r="Q505" s="759"/>
      <c r="R505" s="759"/>
      <c r="S505" s="759"/>
      <c r="T505" s="759"/>
      <c r="U505" s="759"/>
      <c r="V505" s="759"/>
      <c r="W505" s="759"/>
      <c r="X505" s="759"/>
      <c r="Y505" s="759"/>
      <c r="Z505" s="759"/>
      <c r="AA505" s="755"/>
      <c r="AB505" s="755"/>
      <c r="AC505" s="773"/>
      <c r="AD505" s="802"/>
      <c r="AF505" s="821"/>
      <c r="AG505" s="802"/>
      <c r="AH505" s="805"/>
      <c r="AI505" s="805"/>
      <c r="AJ505" s="822"/>
      <c r="AK505" s="805"/>
      <c r="AL505" s="806"/>
      <c r="AM505" s="805"/>
      <c r="AN505" s="805"/>
      <c r="AO505" s="807"/>
      <c r="AP505" s="805"/>
      <c r="AQ505" s="805"/>
      <c r="AR505" s="807"/>
      <c r="AS505" s="807"/>
      <c r="AT505" s="805"/>
      <c r="AU505" s="805"/>
      <c r="AV505" s="807"/>
      <c r="AW505" s="802"/>
      <c r="AX505" s="802"/>
      <c r="AY505" s="802"/>
      <c r="AZ505" s="802"/>
      <c r="BA505" s="802"/>
    </row>
    <row r="506" spans="1:53" s="803" customFormat="1" ht="12.75" customHeight="1" x14ac:dyDescent="0.25">
      <c r="A506" s="1122"/>
      <c r="B506" s="754" t="s">
        <v>1180</v>
      </c>
      <c r="C506" s="789"/>
      <c r="D506" s="835"/>
      <c r="E506" s="767"/>
      <c r="F506" s="768"/>
      <c r="G506" s="769"/>
      <c r="H506" s="768"/>
      <c r="I506" s="770"/>
      <c r="J506" s="758"/>
      <c r="K506" s="760"/>
      <c r="L506" s="760"/>
      <c r="M506" s="760"/>
      <c r="N506" s="760"/>
      <c r="O506" s="759"/>
      <c r="P506" s="759"/>
      <c r="Q506" s="759"/>
      <c r="R506" s="759"/>
      <c r="S506" s="759"/>
      <c r="T506" s="759"/>
      <c r="U506" s="759"/>
      <c r="V506" s="759"/>
      <c r="W506" s="759"/>
      <c r="X506" s="759"/>
      <c r="Y506" s="759"/>
      <c r="Z506" s="759"/>
      <c r="AA506" s="755"/>
      <c r="AB506" s="755"/>
      <c r="AC506" s="773"/>
      <c r="AD506" s="802"/>
      <c r="AF506" s="821"/>
      <c r="AG506" s="802"/>
      <c r="AH506" s="805"/>
      <c r="AI506" s="805"/>
      <c r="AJ506" s="822"/>
      <c r="AK506" s="805"/>
      <c r="AL506" s="806"/>
      <c r="AM506" s="805"/>
      <c r="AN506" s="805"/>
      <c r="AO506" s="807"/>
      <c r="AP506" s="805"/>
      <c r="AQ506" s="805"/>
      <c r="AR506" s="807"/>
      <c r="AS506" s="807"/>
      <c r="AT506" s="805"/>
      <c r="AU506" s="805"/>
      <c r="AV506" s="807"/>
      <c r="AW506" s="802"/>
      <c r="AX506" s="802"/>
      <c r="AY506" s="802"/>
      <c r="AZ506" s="802"/>
      <c r="BA506" s="802"/>
    </row>
    <row r="507" spans="1:53" s="803" customFormat="1" ht="12.75" customHeight="1" x14ac:dyDescent="0.25">
      <c r="A507" s="1122"/>
      <c r="B507" s="774" t="s">
        <v>1178</v>
      </c>
      <c r="C507" s="784">
        <v>0.8</v>
      </c>
      <c r="D507" s="835"/>
      <c r="E507" s="767" t="s">
        <v>1442</v>
      </c>
      <c r="F507" s="768" t="s">
        <v>1443</v>
      </c>
      <c r="G507" s="769">
        <v>419.5</v>
      </c>
      <c r="H507" s="768">
        <v>1E-3</v>
      </c>
      <c r="I507" s="770">
        <f>G507*H507</f>
        <v>0.41949999999999998</v>
      </c>
      <c r="J507" s="758"/>
      <c r="K507" s="760"/>
      <c r="L507" s="760"/>
      <c r="M507" s="760"/>
      <c r="N507" s="760"/>
      <c r="O507" s="759"/>
      <c r="P507" s="759"/>
      <c r="Q507" s="759"/>
      <c r="R507" s="759"/>
      <c r="S507" s="759"/>
      <c r="T507" s="759"/>
      <c r="U507" s="759"/>
      <c r="V507" s="759"/>
      <c r="W507" s="759"/>
      <c r="X507" s="759"/>
      <c r="Y507" s="759"/>
      <c r="Z507" s="759"/>
      <c r="AA507" s="755"/>
      <c r="AB507" s="755"/>
      <c r="AC507" s="773"/>
      <c r="AD507" s="802"/>
      <c r="AF507" s="821"/>
      <c r="AG507" s="802"/>
      <c r="AH507" s="805"/>
      <c r="AI507" s="805"/>
      <c r="AJ507" s="827"/>
      <c r="AK507" s="805"/>
      <c r="AL507" s="806"/>
      <c r="AM507" s="805"/>
      <c r="AN507" s="805"/>
      <c r="AO507" s="807"/>
      <c r="AP507" s="805"/>
      <c r="AQ507" s="805"/>
      <c r="AR507" s="807"/>
      <c r="AS507" s="807"/>
      <c r="AT507" s="805"/>
      <c r="AU507" s="805"/>
      <c r="AV507" s="807"/>
      <c r="AW507" s="802"/>
      <c r="AX507" s="802"/>
      <c r="AY507" s="802"/>
      <c r="AZ507" s="802"/>
      <c r="BA507" s="802"/>
    </row>
    <row r="508" spans="1:53" s="803" customFormat="1" ht="12.75" customHeight="1" x14ac:dyDescent="0.25">
      <c r="A508" s="1122"/>
      <c r="B508" s="754" t="s">
        <v>1179</v>
      </c>
      <c r="C508" s="784">
        <v>2.4</v>
      </c>
      <c r="D508" s="835"/>
      <c r="E508" s="767" t="s">
        <v>1444</v>
      </c>
      <c r="F508" s="768" t="s">
        <v>1443</v>
      </c>
      <c r="G508" s="769">
        <v>872</v>
      </c>
      <c r="H508" s="768">
        <v>2E-3</v>
      </c>
      <c r="I508" s="770">
        <f>G508*H508</f>
        <v>1.744</v>
      </c>
      <c r="J508" s="758"/>
      <c r="K508" s="760"/>
      <c r="L508" s="760"/>
      <c r="M508" s="760"/>
      <c r="N508" s="760"/>
      <c r="O508" s="759"/>
      <c r="P508" s="759"/>
      <c r="Q508" s="759"/>
      <c r="R508" s="759"/>
      <c r="S508" s="759"/>
      <c r="T508" s="759"/>
      <c r="U508" s="759"/>
      <c r="V508" s="759"/>
      <c r="W508" s="759"/>
      <c r="X508" s="759"/>
      <c r="Y508" s="759"/>
      <c r="Z508" s="759"/>
      <c r="AA508" s="755"/>
      <c r="AB508" s="755"/>
      <c r="AC508" s="773"/>
      <c r="AD508" s="802"/>
      <c r="AF508" s="821"/>
      <c r="AG508" s="802"/>
      <c r="AH508" s="805"/>
      <c r="AI508" s="805"/>
      <c r="AJ508" s="827"/>
      <c r="AK508" s="805"/>
      <c r="AL508" s="806"/>
      <c r="AM508" s="805"/>
      <c r="AN508" s="805"/>
      <c r="AO508" s="807"/>
      <c r="AP508" s="805"/>
      <c r="AQ508" s="805"/>
      <c r="AR508" s="807"/>
      <c r="AS508" s="807"/>
      <c r="AT508" s="805"/>
      <c r="AU508" s="805"/>
      <c r="AV508" s="807"/>
      <c r="AW508" s="802"/>
      <c r="AX508" s="802"/>
      <c r="AY508" s="802"/>
      <c r="AZ508" s="802"/>
      <c r="BA508" s="802"/>
    </row>
    <row r="509" spans="1:53" s="803" customFormat="1" ht="12.75" customHeight="1" x14ac:dyDescent="0.25">
      <c r="A509" s="1122"/>
      <c r="B509" s="782" t="s">
        <v>1181</v>
      </c>
      <c r="C509" s="837">
        <f>C504*C507+C505*C508</f>
        <v>80.742464701018662</v>
      </c>
      <c r="D509" s="835"/>
      <c r="E509" s="767"/>
      <c r="F509" s="781"/>
      <c r="G509" s="769"/>
      <c r="H509" s="768"/>
      <c r="I509" s="770"/>
      <c r="J509" s="758"/>
      <c r="K509" s="828"/>
      <c r="L509" s="760"/>
      <c r="M509" s="760"/>
      <c r="N509" s="760"/>
      <c r="O509" s="759"/>
      <c r="P509" s="759"/>
      <c r="Q509" s="759"/>
      <c r="R509" s="759"/>
      <c r="S509" s="759"/>
      <c r="T509" s="759"/>
      <c r="U509" s="759"/>
      <c r="V509" s="759"/>
      <c r="W509" s="759"/>
      <c r="X509" s="759"/>
      <c r="Y509" s="759"/>
      <c r="Z509" s="759"/>
      <c r="AA509" s="755"/>
      <c r="AB509" s="755"/>
      <c r="AC509" s="773"/>
      <c r="AD509" s="802"/>
      <c r="AF509" s="821"/>
      <c r="AG509" s="802"/>
      <c r="AH509" s="805"/>
      <c r="AI509" s="805"/>
      <c r="AJ509" s="822"/>
      <c r="AK509" s="805"/>
      <c r="AL509" s="806"/>
      <c r="AM509" s="805"/>
      <c r="AN509" s="805"/>
      <c r="AO509" s="807"/>
      <c r="AP509" s="805"/>
      <c r="AQ509" s="805"/>
      <c r="AR509" s="807"/>
      <c r="AS509" s="807"/>
      <c r="AT509" s="805"/>
      <c r="AU509" s="805"/>
      <c r="AV509" s="807"/>
      <c r="AW509" s="802"/>
      <c r="AX509" s="802"/>
      <c r="AY509" s="802"/>
      <c r="AZ509" s="802"/>
      <c r="BA509" s="802"/>
    </row>
    <row r="510" spans="1:53" s="803" customFormat="1" ht="12.75" customHeight="1" x14ac:dyDescent="0.25">
      <c r="A510" s="1122"/>
      <c r="B510" s="782"/>
      <c r="C510" s="784"/>
      <c r="D510" s="836"/>
      <c r="E510" s="754"/>
      <c r="F510" s="857"/>
      <c r="G510" s="769"/>
      <c r="H510" s="756"/>
      <c r="I510" s="770"/>
      <c r="J510" s="758"/>
      <c r="K510" s="828"/>
      <c r="L510" s="760"/>
      <c r="M510" s="760"/>
      <c r="N510" s="760"/>
      <c r="O510" s="759"/>
      <c r="P510" s="759"/>
      <c r="Q510" s="759"/>
      <c r="R510" s="759"/>
      <c r="S510" s="759"/>
      <c r="T510" s="759"/>
      <c r="U510" s="759"/>
      <c r="V510" s="759"/>
      <c r="W510" s="759"/>
      <c r="X510" s="759"/>
      <c r="Y510" s="759"/>
      <c r="Z510" s="759"/>
      <c r="AA510" s="755"/>
      <c r="AB510" s="755"/>
      <c r="AC510" s="773"/>
      <c r="AD510" s="802"/>
      <c r="AF510" s="814"/>
      <c r="AG510" s="802"/>
      <c r="AH510" s="805"/>
      <c r="AI510" s="805"/>
      <c r="AJ510" s="827"/>
      <c r="AK510" s="805"/>
      <c r="AL510" s="806"/>
      <c r="AM510" s="805"/>
      <c r="AN510" s="805"/>
      <c r="AO510" s="807"/>
      <c r="AP510" s="805"/>
      <c r="AQ510" s="805"/>
      <c r="AR510" s="807"/>
      <c r="AS510" s="807"/>
      <c r="AT510" s="805"/>
      <c r="AU510" s="805"/>
      <c r="AV510" s="807"/>
      <c r="AW510" s="802"/>
      <c r="AX510" s="802"/>
      <c r="AY510" s="802"/>
      <c r="AZ510" s="802"/>
      <c r="BA510" s="802"/>
    </row>
    <row r="511" spans="1:53" s="803" customFormat="1" ht="56.25" customHeight="1" x14ac:dyDescent="0.25">
      <c r="A511" s="1122" t="s">
        <v>1231</v>
      </c>
      <c r="B511" s="753" t="s">
        <v>1232</v>
      </c>
      <c r="C511" s="837"/>
      <c r="D511" s="834"/>
      <c r="E511" s="791" t="s">
        <v>488</v>
      </c>
      <c r="F511" s="792" t="s">
        <v>837</v>
      </c>
      <c r="G511" s="837" t="s">
        <v>489</v>
      </c>
      <c r="H511" s="791" t="s">
        <v>1170</v>
      </c>
      <c r="I511" s="792" t="s">
        <v>838</v>
      </c>
      <c r="J511" s="793" t="s">
        <v>1171</v>
      </c>
      <c r="K511" s="793" t="s">
        <v>490</v>
      </c>
      <c r="L511" s="794" t="s">
        <v>489</v>
      </c>
      <c r="M511" s="793" t="s">
        <v>1172</v>
      </c>
      <c r="N511" s="792" t="s">
        <v>838</v>
      </c>
      <c r="O511" s="793" t="s">
        <v>1171</v>
      </c>
      <c r="P511" s="793" t="s">
        <v>826</v>
      </c>
      <c r="Q511" s="793" t="s">
        <v>1173</v>
      </c>
      <c r="R511" s="793" t="s">
        <v>1174</v>
      </c>
      <c r="S511" s="793" t="s">
        <v>839</v>
      </c>
      <c r="T511" s="793" t="s">
        <v>1171</v>
      </c>
      <c r="U511" s="793" t="s">
        <v>1392</v>
      </c>
      <c r="V511" s="793" t="s">
        <v>841</v>
      </c>
      <c r="W511" s="795" t="s">
        <v>1173</v>
      </c>
      <c r="X511" s="793" t="s">
        <v>1394</v>
      </c>
      <c r="Y511" s="793" t="s">
        <v>839</v>
      </c>
      <c r="Z511" s="796"/>
      <c r="AA511" s="755"/>
      <c r="AB511" s="755"/>
      <c r="AC511" s="773"/>
      <c r="AD511" s="802"/>
      <c r="AF511" s="804"/>
      <c r="AG511" s="802"/>
      <c r="AH511" s="805"/>
      <c r="AI511" s="805"/>
      <c r="AJ511" s="805"/>
      <c r="AK511" s="805"/>
      <c r="AL511" s="806"/>
      <c r="AM511" s="805"/>
      <c r="AN511" s="805"/>
      <c r="AO511" s="807"/>
      <c r="AP511" s="805"/>
      <c r="AQ511" s="808"/>
      <c r="AR511" s="808"/>
      <c r="AS511" s="808"/>
      <c r="AT511" s="805"/>
      <c r="AU511" s="805"/>
      <c r="AV511" s="807"/>
      <c r="AW511" s="802"/>
      <c r="AX511" s="802"/>
      <c r="AY511" s="802"/>
      <c r="AZ511" s="802"/>
      <c r="BA511" s="802"/>
    </row>
    <row r="512" spans="1:53" s="803" customFormat="1" ht="12" customHeight="1" x14ac:dyDescent="0.25">
      <c r="A512" s="1122"/>
      <c r="B512" s="752" t="s">
        <v>1175</v>
      </c>
      <c r="C512" s="837">
        <f>C519</f>
        <v>82.999486577905799</v>
      </c>
      <c r="D512" s="834">
        <f>C512*$D$5</f>
        <v>16.765896288736972</v>
      </c>
      <c r="E512" s="754" t="s">
        <v>1176</v>
      </c>
      <c r="F512" s="810"/>
      <c r="G512" s="756"/>
      <c r="H512" s="756"/>
      <c r="I512" s="757">
        <f>SUM(I513:I520)</f>
        <v>6.5736000000000008</v>
      </c>
      <c r="J512" s="758" t="s">
        <v>1176</v>
      </c>
      <c r="K512" s="811"/>
      <c r="L512" s="759"/>
      <c r="M512" s="759"/>
      <c r="N512" s="760">
        <f>SUM(N513:N520)</f>
        <v>0.25420133446935034</v>
      </c>
      <c r="O512" s="759" t="s">
        <v>1176</v>
      </c>
      <c r="P512" s="759"/>
      <c r="Q512" s="812"/>
      <c r="R512" s="813"/>
      <c r="S512" s="760">
        <f>SUM(S513:S520)</f>
        <v>9.8377551924086384E-2</v>
      </c>
      <c r="T512" s="760"/>
      <c r="U512" s="760"/>
      <c r="V512" s="760"/>
      <c r="W512" s="760"/>
      <c r="X512" s="760"/>
      <c r="Y512" s="760">
        <f>SUM(Y513:Y520)</f>
        <v>4.3489191438431192</v>
      </c>
      <c r="Z512" s="762">
        <f>(C512+D512+I512+N512+S512+Y512)*$Z$5</f>
        <v>144.37346666413643</v>
      </c>
      <c r="AA512" s="763">
        <f>C512+D512+I512+N512+S512+Y512+Z512</f>
        <v>255.41394756101576</v>
      </c>
      <c r="AB512" s="764">
        <v>0.25</v>
      </c>
      <c r="AC512" s="765">
        <f>AA512*(1+AB512)</f>
        <v>319.26743445126971</v>
      </c>
      <c r="AD512" s="814"/>
      <c r="AF512" s="804"/>
      <c r="AG512" s="802"/>
      <c r="AH512" s="805"/>
      <c r="AI512" s="808"/>
      <c r="AJ512" s="815"/>
      <c r="AK512" s="816"/>
      <c r="AL512" s="806"/>
      <c r="AM512" s="817"/>
      <c r="AN512" s="818"/>
      <c r="AO512" s="817"/>
      <c r="AP512" s="808"/>
      <c r="AQ512" s="808"/>
      <c r="AR512" s="808"/>
      <c r="AS512" s="808"/>
      <c r="AT512" s="808"/>
      <c r="AU512" s="817"/>
      <c r="AV512" s="817"/>
      <c r="AW512" s="819"/>
      <c r="AX512" s="802"/>
      <c r="AY512" s="802"/>
      <c r="AZ512" s="802"/>
      <c r="BA512" s="802"/>
    </row>
    <row r="513" spans="1:53" s="803" customFormat="1" ht="12.75" customHeight="1" x14ac:dyDescent="0.25">
      <c r="A513" s="1122"/>
      <c r="B513" s="766" t="s">
        <v>1177</v>
      </c>
      <c r="C513" s="837"/>
      <c r="D513" s="835"/>
      <c r="E513" s="767" t="s">
        <v>1437</v>
      </c>
      <c r="F513" s="768" t="s">
        <v>1438</v>
      </c>
      <c r="G513" s="769">
        <v>0.74</v>
      </c>
      <c r="H513" s="768">
        <v>0.01</v>
      </c>
      <c r="I513" s="770">
        <f>G513*H513</f>
        <v>7.4000000000000003E-3</v>
      </c>
      <c r="J513" s="758" t="s">
        <v>1291</v>
      </c>
      <c r="K513" s="760">
        <v>2</v>
      </c>
      <c r="L513" s="760">
        <v>750</v>
      </c>
      <c r="M513" s="760">
        <v>2</v>
      </c>
      <c r="N513" s="786">
        <f>L513/'Исп. коэффициенты'!E52*(C517+C518)</f>
        <v>0.21913908143909511</v>
      </c>
      <c r="O513" s="759" t="s">
        <v>186</v>
      </c>
      <c r="P513" s="759">
        <v>5303.64</v>
      </c>
      <c r="Q513" s="759">
        <v>19.68</v>
      </c>
      <c r="R513" s="759">
        <f>P513*Q513%</f>
        <v>1043.7563520000001</v>
      </c>
      <c r="S513" s="759">
        <f>R513/'Исп. коэффициенты'!E52</f>
        <v>9.8377551924086384E-2</v>
      </c>
      <c r="T513" s="755" t="s">
        <v>1435</v>
      </c>
      <c r="U513" s="756">
        <v>6785401.3499999996</v>
      </c>
      <c r="V513" s="785">
        <f>'Исп. коэффициенты'!E124</f>
        <v>2978.5</v>
      </c>
      <c r="W513" s="761">
        <f>'Исп. коэффициенты'!D124</f>
        <v>1.3599999999999999E-2</v>
      </c>
      <c r="X513" s="760">
        <f>U513*W513</f>
        <v>92281.45835999999</v>
      </c>
      <c r="Y513" s="759">
        <f>X513/'Исп. коэффициенты'!E52/2</f>
        <v>4.3489191438431192</v>
      </c>
      <c r="Z513" s="759"/>
      <c r="AA513" s="755"/>
      <c r="AB513" s="755"/>
      <c r="AC513" s="773"/>
      <c r="AD513" s="802"/>
      <c r="AF513" s="821"/>
      <c r="AG513" s="802"/>
      <c r="AH513" s="805"/>
      <c r="AI513" s="805"/>
      <c r="AJ513" s="822"/>
      <c r="AK513" s="805"/>
      <c r="AL513" s="806"/>
      <c r="AM513" s="805"/>
      <c r="AN513" s="805"/>
      <c r="AO513" s="807"/>
      <c r="AP513" s="805"/>
      <c r="AQ513" s="805"/>
      <c r="AR513" s="807"/>
      <c r="AS513" s="807"/>
      <c r="AT513" s="808"/>
      <c r="AU513" s="805"/>
      <c r="AV513" s="807"/>
      <c r="AW513" s="802"/>
      <c r="AX513" s="802"/>
      <c r="AY513" s="802"/>
      <c r="AZ513" s="802"/>
      <c r="BA513" s="802"/>
    </row>
    <row r="514" spans="1:53" s="803" customFormat="1" x14ac:dyDescent="0.25">
      <c r="A514" s="1122"/>
      <c r="B514" s="774" t="s">
        <v>1178</v>
      </c>
      <c r="C514" s="753">
        <f>C504</f>
        <v>33.667709452234185</v>
      </c>
      <c r="D514" s="835"/>
      <c r="E514" s="767" t="s">
        <v>1439</v>
      </c>
      <c r="F514" s="768" t="s">
        <v>1438</v>
      </c>
      <c r="G514" s="769">
        <v>0.27</v>
      </c>
      <c r="H514" s="768">
        <v>0.01</v>
      </c>
      <c r="I514" s="775">
        <f>G514*H514</f>
        <v>2.7000000000000001E-3</v>
      </c>
      <c r="J514" s="758" t="s">
        <v>1445</v>
      </c>
      <c r="K514" s="760">
        <v>2</v>
      </c>
      <c r="L514" s="760">
        <v>95</v>
      </c>
      <c r="M514" s="760">
        <v>2</v>
      </c>
      <c r="N514" s="786">
        <f>L514/'Исп. коэффициенты'!E52*(C517+C518)</f>
        <v>2.775761698228538E-2</v>
      </c>
      <c r="O514" s="759"/>
      <c r="P514" s="759"/>
      <c r="Q514" s="759"/>
      <c r="R514" s="759"/>
      <c r="S514" s="759"/>
      <c r="T514" s="759"/>
      <c r="U514" s="759"/>
      <c r="V514" s="759"/>
      <c r="W514" s="759"/>
      <c r="X514" s="759"/>
      <c r="Y514" s="759"/>
      <c r="Z514" s="759"/>
      <c r="AA514" s="755"/>
      <c r="AB514" s="755"/>
      <c r="AC514" s="773"/>
      <c r="AD514" s="802"/>
      <c r="AF514" s="821"/>
      <c r="AG514" s="802"/>
      <c r="AH514" s="805"/>
      <c r="AI514" s="805"/>
      <c r="AJ514" s="822"/>
      <c r="AK514" s="805"/>
      <c r="AL514" s="806"/>
      <c r="AM514" s="824"/>
      <c r="AN514" s="805"/>
      <c r="AO514" s="807"/>
      <c r="AP514" s="805"/>
      <c r="AQ514" s="805"/>
      <c r="AR514" s="807"/>
      <c r="AS514" s="807"/>
      <c r="AT514" s="805"/>
      <c r="AU514" s="805"/>
      <c r="AV514" s="807"/>
      <c r="AW514" s="802"/>
      <c r="AX514" s="802"/>
      <c r="AY514" s="802"/>
      <c r="AZ514" s="802"/>
      <c r="BA514" s="802"/>
    </row>
    <row r="515" spans="1:53" s="803" customFormat="1" ht="12.75" customHeight="1" x14ac:dyDescent="0.25">
      <c r="A515" s="1122"/>
      <c r="B515" s="754" t="s">
        <v>1179</v>
      </c>
      <c r="C515" s="837">
        <f>C505</f>
        <v>22.420123808013045</v>
      </c>
      <c r="D515" s="835"/>
      <c r="E515" s="767" t="s">
        <v>1598</v>
      </c>
      <c r="F515" s="768" t="s">
        <v>1441</v>
      </c>
      <c r="G515" s="769">
        <v>4.4000000000000004</v>
      </c>
      <c r="H515" s="769">
        <v>1</v>
      </c>
      <c r="I515" s="770">
        <f>G515*H515</f>
        <v>4.4000000000000004</v>
      </c>
      <c r="J515" s="758" t="s">
        <v>1513</v>
      </c>
      <c r="K515" s="760">
        <v>2</v>
      </c>
      <c r="L515" s="760">
        <v>25</v>
      </c>
      <c r="M515" s="760">
        <v>0.5</v>
      </c>
      <c r="N515" s="786">
        <f>L515/'Исп. коэффициенты'!E52*(C517+C518)</f>
        <v>7.3046360479698371E-3</v>
      </c>
      <c r="O515" s="759"/>
      <c r="P515" s="759"/>
      <c r="Q515" s="759"/>
      <c r="R515" s="759"/>
      <c r="S515" s="759"/>
      <c r="T515" s="759"/>
      <c r="U515" s="759"/>
      <c r="V515" s="759"/>
      <c r="W515" s="759"/>
      <c r="X515" s="759"/>
      <c r="Y515" s="759"/>
      <c r="Z515" s="759"/>
      <c r="AA515" s="755"/>
      <c r="AB515" s="755"/>
      <c r="AC515" s="773"/>
      <c r="AD515" s="802"/>
      <c r="AF515" s="821"/>
      <c r="AG515" s="802"/>
      <c r="AH515" s="805"/>
      <c r="AI515" s="805"/>
      <c r="AJ515" s="822"/>
      <c r="AK515" s="805"/>
      <c r="AL515" s="806"/>
      <c r="AM515" s="805"/>
      <c r="AN515" s="805"/>
      <c r="AO515" s="807"/>
      <c r="AP515" s="805"/>
      <c r="AQ515" s="805"/>
      <c r="AR515" s="807"/>
      <c r="AS515" s="807"/>
      <c r="AT515" s="805"/>
      <c r="AU515" s="805"/>
      <c r="AV515" s="807"/>
      <c r="AW515" s="802"/>
      <c r="AX515" s="802"/>
      <c r="AY515" s="802"/>
      <c r="AZ515" s="802"/>
      <c r="BA515" s="802"/>
    </row>
    <row r="516" spans="1:53" s="803" customFormat="1" ht="12.75" customHeight="1" x14ac:dyDescent="0.25">
      <c r="A516" s="1122"/>
      <c r="B516" s="754" t="s">
        <v>1180</v>
      </c>
      <c r="C516" s="789"/>
      <c r="D516" s="835"/>
      <c r="E516" s="767"/>
      <c r="F516" s="768"/>
      <c r="G516" s="769"/>
      <c r="H516" s="768"/>
      <c r="I516" s="770"/>
      <c r="J516" s="758"/>
      <c r="K516" s="760"/>
      <c r="L516" s="760"/>
      <c r="M516" s="760"/>
      <c r="N516" s="760"/>
      <c r="O516" s="759"/>
      <c r="P516" s="759"/>
      <c r="Q516" s="759"/>
      <c r="R516" s="759"/>
      <c r="S516" s="759"/>
      <c r="T516" s="759"/>
      <c r="U516" s="759"/>
      <c r="V516" s="759"/>
      <c r="W516" s="759"/>
      <c r="X516" s="759"/>
      <c r="Y516" s="759"/>
      <c r="Z516" s="759"/>
      <c r="AA516" s="755"/>
      <c r="AB516" s="755"/>
      <c r="AC516" s="773"/>
      <c r="AD516" s="802"/>
      <c r="AF516" s="821"/>
      <c r="AG516" s="802"/>
      <c r="AH516" s="805"/>
      <c r="AI516" s="805"/>
      <c r="AJ516" s="822"/>
      <c r="AK516" s="805"/>
      <c r="AL516" s="806"/>
      <c r="AM516" s="805"/>
      <c r="AN516" s="805"/>
      <c r="AO516" s="807"/>
      <c r="AP516" s="805"/>
      <c r="AQ516" s="805"/>
      <c r="AR516" s="807"/>
      <c r="AS516" s="807"/>
      <c r="AT516" s="805"/>
      <c r="AU516" s="805"/>
      <c r="AV516" s="807"/>
      <c r="AW516" s="802"/>
      <c r="AX516" s="802"/>
      <c r="AY516" s="802"/>
      <c r="AZ516" s="802"/>
      <c r="BA516" s="802"/>
    </row>
    <row r="517" spans="1:53" s="803" customFormat="1" ht="12.75" customHeight="1" x14ac:dyDescent="0.25">
      <c r="A517" s="1122"/>
      <c r="B517" s="774" t="s">
        <v>1178</v>
      </c>
      <c r="C517" s="784">
        <v>1.2</v>
      </c>
      <c r="D517" s="835"/>
      <c r="E517" s="767" t="s">
        <v>1442</v>
      </c>
      <c r="F517" s="768" t="s">
        <v>1443</v>
      </c>
      <c r="G517" s="769">
        <v>419.5</v>
      </c>
      <c r="H517" s="768">
        <v>1E-3</v>
      </c>
      <c r="I517" s="770">
        <f>G517*H517</f>
        <v>0.41949999999999998</v>
      </c>
      <c r="J517" s="758"/>
      <c r="K517" s="760"/>
      <c r="L517" s="760"/>
      <c r="M517" s="760"/>
      <c r="N517" s="760"/>
      <c r="O517" s="759"/>
      <c r="P517" s="759"/>
      <c r="Q517" s="759"/>
      <c r="R517" s="759"/>
      <c r="S517" s="759"/>
      <c r="T517" s="759"/>
      <c r="U517" s="759"/>
      <c r="V517" s="759"/>
      <c r="W517" s="759"/>
      <c r="X517" s="759"/>
      <c r="Y517" s="759"/>
      <c r="Z517" s="759"/>
      <c r="AA517" s="755"/>
      <c r="AB517" s="755"/>
      <c r="AC517" s="773"/>
      <c r="AD517" s="802"/>
      <c r="AF517" s="821"/>
      <c r="AG517" s="802"/>
      <c r="AH517" s="805"/>
      <c r="AI517" s="805"/>
      <c r="AJ517" s="827"/>
      <c r="AK517" s="805"/>
      <c r="AL517" s="806"/>
      <c r="AM517" s="805"/>
      <c r="AN517" s="805"/>
      <c r="AO517" s="807"/>
      <c r="AP517" s="805"/>
      <c r="AQ517" s="805"/>
      <c r="AR517" s="807"/>
      <c r="AS517" s="807"/>
      <c r="AT517" s="805"/>
      <c r="AU517" s="805"/>
      <c r="AV517" s="807"/>
      <c r="AW517" s="802"/>
      <c r="AX517" s="802"/>
      <c r="AY517" s="802"/>
      <c r="AZ517" s="802"/>
      <c r="BA517" s="802"/>
    </row>
    <row r="518" spans="1:53" s="803" customFormat="1" ht="12.75" customHeight="1" x14ac:dyDescent="0.25">
      <c r="A518" s="1122"/>
      <c r="B518" s="754" t="s">
        <v>1179</v>
      </c>
      <c r="C518" s="784">
        <v>1.9</v>
      </c>
      <c r="D518" s="835"/>
      <c r="E518" s="767" t="s">
        <v>1444</v>
      </c>
      <c r="F518" s="768" t="s">
        <v>1443</v>
      </c>
      <c r="G518" s="769">
        <v>872</v>
      </c>
      <c r="H518" s="768">
        <v>2E-3</v>
      </c>
      <c r="I518" s="770">
        <f>G518*H518</f>
        <v>1.744</v>
      </c>
      <c r="J518" s="758"/>
      <c r="K518" s="760"/>
      <c r="L518" s="760"/>
      <c r="M518" s="760"/>
      <c r="N518" s="760"/>
      <c r="O518" s="759"/>
      <c r="P518" s="759"/>
      <c r="Q518" s="759"/>
      <c r="R518" s="759"/>
      <c r="S518" s="759"/>
      <c r="T518" s="759"/>
      <c r="U518" s="759"/>
      <c r="V518" s="759"/>
      <c r="W518" s="759"/>
      <c r="X518" s="759"/>
      <c r="Y518" s="759"/>
      <c r="Z518" s="759"/>
      <c r="AA518" s="755"/>
      <c r="AB518" s="755"/>
      <c r="AC518" s="773"/>
      <c r="AD518" s="802"/>
      <c r="AF518" s="821"/>
      <c r="AG518" s="802"/>
      <c r="AH518" s="805"/>
      <c r="AI518" s="805"/>
      <c r="AJ518" s="827"/>
      <c r="AK518" s="805"/>
      <c r="AL518" s="806"/>
      <c r="AM518" s="805"/>
      <c r="AN518" s="805"/>
      <c r="AO518" s="807"/>
      <c r="AP518" s="805"/>
      <c r="AQ518" s="805"/>
      <c r="AR518" s="807"/>
      <c r="AS518" s="807"/>
      <c r="AT518" s="805"/>
      <c r="AU518" s="805"/>
      <c r="AV518" s="807"/>
      <c r="AW518" s="802"/>
      <c r="AX518" s="802"/>
      <c r="AY518" s="802"/>
      <c r="AZ518" s="802"/>
      <c r="BA518" s="802"/>
    </row>
    <row r="519" spans="1:53" s="803" customFormat="1" ht="12.75" customHeight="1" x14ac:dyDescent="0.25">
      <c r="A519" s="1122"/>
      <c r="B519" s="782" t="s">
        <v>1181</v>
      </c>
      <c r="C519" s="837">
        <f>C514*C517+C515*C518</f>
        <v>82.999486577905799</v>
      </c>
      <c r="D519" s="835"/>
      <c r="E519" s="767"/>
      <c r="F519" s="781"/>
      <c r="G519" s="769"/>
      <c r="H519" s="768"/>
      <c r="I519" s="770"/>
      <c r="J519" s="758"/>
      <c r="K519" s="828"/>
      <c r="L519" s="760"/>
      <c r="M519" s="760"/>
      <c r="N519" s="760"/>
      <c r="O519" s="759"/>
      <c r="P519" s="759"/>
      <c r="Q519" s="759"/>
      <c r="R519" s="759"/>
      <c r="S519" s="759"/>
      <c r="T519" s="759"/>
      <c r="U519" s="759"/>
      <c r="V519" s="759"/>
      <c r="W519" s="759"/>
      <c r="X519" s="759"/>
      <c r="Y519" s="759"/>
      <c r="Z519" s="759"/>
      <c r="AA519" s="755"/>
      <c r="AB519" s="755"/>
      <c r="AC519" s="773"/>
      <c r="AD519" s="802"/>
      <c r="AF519" s="821"/>
      <c r="AG519" s="802"/>
      <c r="AH519" s="805"/>
      <c r="AI519" s="805"/>
      <c r="AJ519" s="822"/>
      <c r="AK519" s="805"/>
      <c r="AL519" s="806"/>
      <c r="AM519" s="805"/>
      <c r="AN519" s="805"/>
      <c r="AO519" s="807"/>
      <c r="AP519" s="805"/>
      <c r="AQ519" s="805"/>
      <c r="AR519" s="807"/>
      <c r="AS519" s="807"/>
      <c r="AT519" s="805"/>
      <c r="AU519" s="805"/>
      <c r="AV519" s="807"/>
      <c r="AW519" s="802"/>
      <c r="AX519" s="802"/>
      <c r="AY519" s="802"/>
      <c r="AZ519" s="802"/>
      <c r="BA519" s="802"/>
    </row>
    <row r="520" spans="1:53" s="803" customFormat="1" ht="12.75" customHeight="1" x14ac:dyDescent="0.25">
      <c r="A520" s="1122"/>
      <c r="B520" s="782"/>
      <c r="C520" s="784"/>
      <c r="D520" s="836"/>
      <c r="E520" s="754"/>
      <c r="F520" s="857"/>
      <c r="G520" s="769"/>
      <c r="H520" s="756"/>
      <c r="I520" s="770"/>
      <c r="J520" s="758"/>
      <c r="K520" s="828"/>
      <c r="L520" s="760"/>
      <c r="M520" s="760"/>
      <c r="N520" s="760"/>
      <c r="O520" s="759"/>
      <c r="P520" s="759"/>
      <c r="Q520" s="759"/>
      <c r="R520" s="759"/>
      <c r="S520" s="759"/>
      <c r="T520" s="759"/>
      <c r="U520" s="759"/>
      <c r="V520" s="759"/>
      <c r="W520" s="759"/>
      <c r="X520" s="759"/>
      <c r="Y520" s="759"/>
      <c r="Z520" s="759"/>
      <c r="AA520" s="755"/>
      <c r="AB520" s="755"/>
      <c r="AC520" s="773"/>
      <c r="AD520" s="802"/>
      <c r="AF520" s="814"/>
      <c r="AG520" s="802"/>
      <c r="AH520" s="805"/>
      <c r="AI520" s="805"/>
      <c r="AJ520" s="827"/>
      <c r="AK520" s="805"/>
      <c r="AL520" s="806"/>
      <c r="AM520" s="805"/>
      <c r="AN520" s="805"/>
      <c r="AO520" s="807"/>
      <c r="AP520" s="805"/>
      <c r="AQ520" s="805"/>
      <c r="AR520" s="807"/>
      <c r="AS520" s="807"/>
      <c r="AT520" s="805"/>
      <c r="AU520" s="805"/>
      <c r="AV520" s="807"/>
      <c r="AW520" s="802"/>
      <c r="AX520" s="802"/>
      <c r="AY520" s="802"/>
      <c r="AZ520" s="802"/>
      <c r="BA520" s="802"/>
    </row>
    <row r="521" spans="1:53" s="803" customFormat="1" ht="56.25" customHeight="1" x14ac:dyDescent="0.25">
      <c r="A521" s="1122" t="s">
        <v>1790</v>
      </c>
      <c r="B521" s="753" t="s">
        <v>1791</v>
      </c>
      <c r="C521" s="837"/>
      <c r="D521" s="834"/>
      <c r="E521" s="791" t="s">
        <v>488</v>
      </c>
      <c r="F521" s="792" t="s">
        <v>837</v>
      </c>
      <c r="G521" s="837" t="s">
        <v>489</v>
      </c>
      <c r="H521" s="791" t="s">
        <v>1170</v>
      </c>
      <c r="I521" s="792" t="s">
        <v>838</v>
      </c>
      <c r="J521" s="793" t="s">
        <v>1171</v>
      </c>
      <c r="K521" s="793" t="s">
        <v>490</v>
      </c>
      <c r="L521" s="794" t="s">
        <v>489</v>
      </c>
      <c r="M521" s="793" t="s">
        <v>1172</v>
      </c>
      <c r="N521" s="792" t="s">
        <v>838</v>
      </c>
      <c r="O521" s="793" t="s">
        <v>1171</v>
      </c>
      <c r="P521" s="793" t="s">
        <v>826</v>
      </c>
      <c r="Q521" s="793" t="s">
        <v>1173</v>
      </c>
      <c r="R521" s="793" t="s">
        <v>1174</v>
      </c>
      <c r="S521" s="793" t="s">
        <v>839</v>
      </c>
      <c r="T521" s="793" t="s">
        <v>1171</v>
      </c>
      <c r="U521" s="793" t="s">
        <v>1392</v>
      </c>
      <c r="V521" s="793" t="s">
        <v>841</v>
      </c>
      <c r="W521" s="795" t="s">
        <v>1173</v>
      </c>
      <c r="X521" s="793" t="s">
        <v>1394</v>
      </c>
      <c r="Y521" s="793" t="s">
        <v>839</v>
      </c>
      <c r="Z521" s="796"/>
      <c r="AA521" s="755"/>
      <c r="AB521" s="755"/>
      <c r="AC521" s="773"/>
      <c r="AD521" s="802"/>
      <c r="AF521" s="804"/>
      <c r="AG521" s="802"/>
      <c r="AH521" s="805"/>
      <c r="AI521" s="805"/>
      <c r="AJ521" s="805"/>
      <c r="AK521" s="805"/>
      <c r="AL521" s="806"/>
      <c r="AM521" s="805"/>
      <c r="AN521" s="805"/>
      <c r="AO521" s="807"/>
      <c r="AP521" s="805"/>
      <c r="AQ521" s="808"/>
      <c r="AR521" s="808"/>
      <c r="AS521" s="808"/>
      <c r="AT521" s="805"/>
      <c r="AU521" s="805"/>
      <c r="AV521" s="807"/>
      <c r="AW521" s="802"/>
      <c r="AX521" s="802"/>
      <c r="AY521" s="802"/>
      <c r="AZ521" s="802"/>
      <c r="BA521" s="802"/>
    </row>
    <row r="522" spans="1:53" s="803" customFormat="1" ht="12" customHeight="1" x14ac:dyDescent="0.25">
      <c r="A522" s="1122"/>
      <c r="B522" s="752" t="s">
        <v>1175</v>
      </c>
      <c r="C522" s="837">
        <f>C529</f>
        <v>43.760517539861517</v>
      </c>
      <c r="D522" s="834">
        <f>C522*$D$5</f>
        <v>8.8396245430520271</v>
      </c>
      <c r="E522" s="754" t="s">
        <v>1176</v>
      </c>
      <c r="F522" s="810"/>
      <c r="G522" s="756"/>
      <c r="H522" s="756"/>
      <c r="I522" s="757">
        <f>SUM(I523:I530)</f>
        <v>6.5736000000000008</v>
      </c>
      <c r="J522" s="758" t="s">
        <v>1176</v>
      </c>
      <c r="K522" s="811"/>
      <c r="L522" s="759"/>
      <c r="M522" s="759"/>
      <c r="N522" s="760">
        <f>SUM(N523:N530)</f>
        <v>0.11480060266357758</v>
      </c>
      <c r="O522" s="759" t="s">
        <v>1176</v>
      </c>
      <c r="P522" s="759"/>
      <c r="Q522" s="812"/>
      <c r="R522" s="813"/>
      <c r="S522" s="760">
        <f>SUM(S523:S530)</f>
        <v>9.8377551924086384E-2</v>
      </c>
      <c r="T522" s="760"/>
      <c r="U522" s="760"/>
      <c r="V522" s="760"/>
      <c r="W522" s="760"/>
      <c r="X522" s="760"/>
      <c r="Y522" s="760">
        <f>SUM(Y523:Y530)</f>
        <v>4.3489191438431192</v>
      </c>
      <c r="Z522" s="762">
        <f>(C522+D522+I522+N522+S522+Y522)*$Z$5</f>
        <v>82.868553953568792</v>
      </c>
      <c r="AA522" s="763">
        <f>C522+D522+I522+N522+S522+Y522+Z522</f>
        <v>146.60439333491311</v>
      </c>
      <c r="AB522" s="764">
        <v>0.25</v>
      </c>
      <c r="AC522" s="765">
        <f>AA522*(1+AB522)</f>
        <v>183.25549166864138</v>
      </c>
      <c r="AD522" s="814"/>
      <c r="AF522" s="804"/>
      <c r="AG522" s="802"/>
      <c r="AH522" s="805"/>
      <c r="AI522" s="808"/>
      <c r="AJ522" s="815"/>
      <c r="AK522" s="816"/>
      <c r="AL522" s="806"/>
      <c r="AM522" s="817"/>
      <c r="AN522" s="818"/>
      <c r="AO522" s="817"/>
      <c r="AP522" s="808"/>
      <c r="AQ522" s="808"/>
      <c r="AR522" s="808"/>
      <c r="AS522" s="808"/>
      <c r="AT522" s="808"/>
      <c r="AU522" s="817"/>
      <c r="AV522" s="817"/>
      <c r="AW522" s="819"/>
      <c r="AX522" s="802"/>
      <c r="AY522" s="802"/>
      <c r="AZ522" s="802"/>
      <c r="BA522" s="802"/>
    </row>
    <row r="523" spans="1:53" s="803" customFormat="1" ht="12.75" customHeight="1" x14ac:dyDescent="0.25">
      <c r="A523" s="1122"/>
      <c r="B523" s="766" t="s">
        <v>1177</v>
      </c>
      <c r="C523" s="837"/>
      <c r="D523" s="835"/>
      <c r="E523" s="767" t="s">
        <v>1437</v>
      </c>
      <c r="F523" s="768" t="s">
        <v>1438</v>
      </c>
      <c r="G523" s="769">
        <v>0.74</v>
      </c>
      <c r="H523" s="768">
        <v>0.01</v>
      </c>
      <c r="I523" s="770">
        <f>G523*H523</f>
        <v>7.4000000000000003E-3</v>
      </c>
      <c r="J523" s="758" t="s">
        <v>1291</v>
      </c>
      <c r="K523" s="760">
        <v>2</v>
      </c>
      <c r="L523" s="760">
        <v>750</v>
      </c>
      <c r="M523" s="760">
        <v>2</v>
      </c>
      <c r="N523" s="786">
        <f>L523/'Исп. коэффициенты'!E52*(C527+C528)</f>
        <v>9.8966036778946193E-2</v>
      </c>
      <c r="O523" s="759" t="s">
        <v>186</v>
      </c>
      <c r="P523" s="759">
        <v>5303.64</v>
      </c>
      <c r="Q523" s="759">
        <v>19.68</v>
      </c>
      <c r="R523" s="759">
        <f>P523*Q523%</f>
        <v>1043.7563520000001</v>
      </c>
      <c r="S523" s="759">
        <f>R523/'Исп. коэффициенты'!E52</f>
        <v>9.8377551924086384E-2</v>
      </c>
      <c r="T523" s="755" t="s">
        <v>1435</v>
      </c>
      <c r="U523" s="756">
        <v>6785401.3499999996</v>
      </c>
      <c r="V523" s="785">
        <f>'Исп. коэффициенты'!E124</f>
        <v>2978.5</v>
      </c>
      <c r="W523" s="761">
        <f>'Исп. коэффициенты'!D124</f>
        <v>1.3599999999999999E-2</v>
      </c>
      <c r="X523" s="760">
        <f>U523*W523</f>
        <v>92281.45835999999</v>
      </c>
      <c r="Y523" s="759">
        <f>X523/'Исп. коэффициенты'!E52/2</f>
        <v>4.3489191438431192</v>
      </c>
      <c r="Z523" s="759"/>
      <c r="AA523" s="755"/>
      <c r="AB523" s="755"/>
      <c r="AC523" s="773"/>
      <c r="AD523" s="802"/>
      <c r="AF523" s="821"/>
      <c r="AG523" s="802"/>
      <c r="AH523" s="805"/>
      <c r="AI523" s="805"/>
      <c r="AJ523" s="822"/>
      <c r="AK523" s="805"/>
      <c r="AL523" s="806"/>
      <c r="AM523" s="805"/>
      <c r="AN523" s="805"/>
      <c r="AO523" s="807"/>
      <c r="AP523" s="805"/>
      <c r="AQ523" s="805"/>
      <c r="AR523" s="807"/>
      <c r="AS523" s="807"/>
      <c r="AT523" s="808"/>
      <c r="AU523" s="805"/>
      <c r="AV523" s="807"/>
      <c r="AW523" s="802"/>
      <c r="AX523" s="802"/>
      <c r="AY523" s="802"/>
      <c r="AZ523" s="802"/>
      <c r="BA523" s="802"/>
    </row>
    <row r="524" spans="1:53" s="803" customFormat="1" x14ac:dyDescent="0.25">
      <c r="A524" s="1122"/>
      <c r="B524" s="774" t="s">
        <v>1178</v>
      </c>
      <c r="C524" s="753">
        <f>C514</f>
        <v>33.667709452234185</v>
      </c>
      <c r="D524" s="835"/>
      <c r="E524" s="767" t="s">
        <v>1439</v>
      </c>
      <c r="F524" s="768" t="s">
        <v>1438</v>
      </c>
      <c r="G524" s="769">
        <v>0.27</v>
      </c>
      <c r="H524" s="768">
        <v>0.01</v>
      </c>
      <c r="I524" s="775">
        <f>G524*H524</f>
        <v>2.7000000000000001E-3</v>
      </c>
      <c r="J524" s="758" t="s">
        <v>1445</v>
      </c>
      <c r="K524" s="760">
        <v>2</v>
      </c>
      <c r="L524" s="760">
        <v>95</v>
      </c>
      <c r="M524" s="760">
        <v>2</v>
      </c>
      <c r="N524" s="786">
        <f>L524/'Исп. коэффициенты'!E52*(C527+C528)</f>
        <v>1.253569799199985E-2</v>
      </c>
      <c r="O524" s="759"/>
      <c r="P524" s="759"/>
      <c r="Q524" s="759"/>
      <c r="R524" s="759"/>
      <c r="S524" s="759"/>
      <c r="T524" s="759"/>
      <c r="U524" s="759"/>
      <c r="V524" s="759"/>
      <c r="W524" s="759"/>
      <c r="X524" s="759"/>
      <c r="Y524" s="759"/>
      <c r="Z524" s="759"/>
      <c r="AA524" s="755"/>
      <c r="AB524" s="755"/>
      <c r="AC524" s="773"/>
      <c r="AD524" s="802"/>
      <c r="AF524" s="821"/>
      <c r="AG524" s="802"/>
      <c r="AH524" s="805"/>
      <c r="AI524" s="805"/>
      <c r="AJ524" s="822"/>
      <c r="AK524" s="805"/>
      <c r="AL524" s="806"/>
      <c r="AM524" s="824"/>
      <c r="AN524" s="805"/>
      <c r="AO524" s="807"/>
      <c r="AP524" s="805"/>
      <c r="AQ524" s="805"/>
      <c r="AR524" s="807"/>
      <c r="AS524" s="807"/>
      <c r="AT524" s="805"/>
      <c r="AU524" s="805"/>
      <c r="AV524" s="807"/>
      <c r="AW524" s="802"/>
      <c r="AX524" s="802"/>
      <c r="AY524" s="802"/>
      <c r="AZ524" s="802"/>
      <c r="BA524" s="802"/>
    </row>
    <row r="525" spans="1:53" s="803" customFormat="1" ht="12.75" customHeight="1" x14ac:dyDescent="0.25">
      <c r="A525" s="1122"/>
      <c r="B525" s="754" t="s">
        <v>1179</v>
      </c>
      <c r="C525" s="837">
        <f>C515</f>
        <v>22.420123808013045</v>
      </c>
      <c r="D525" s="835"/>
      <c r="E525" s="767" t="s">
        <v>1598</v>
      </c>
      <c r="F525" s="768" t="s">
        <v>1441</v>
      </c>
      <c r="G525" s="769">
        <v>4.4000000000000004</v>
      </c>
      <c r="H525" s="769">
        <v>1</v>
      </c>
      <c r="I525" s="770">
        <f>G525*H525</f>
        <v>4.4000000000000004</v>
      </c>
      <c r="J525" s="758" t="s">
        <v>1513</v>
      </c>
      <c r="K525" s="760">
        <v>2</v>
      </c>
      <c r="L525" s="760">
        <v>25</v>
      </c>
      <c r="M525" s="760">
        <v>0.5</v>
      </c>
      <c r="N525" s="786">
        <f>L525/'Исп. коэффициенты'!E52*(C527+C528)</f>
        <v>3.2988678926315399E-3</v>
      </c>
      <c r="O525" s="759"/>
      <c r="P525" s="759"/>
      <c r="Q525" s="759"/>
      <c r="R525" s="759"/>
      <c r="S525" s="759"/>
      <c r="T525" s="759"/>
      <c r="U525" s="759"/>
      <c r="V525" s="759"/>
      <c r="W525" s="759"/>
      <c r="X525" s="759"/>
      <c r="Y525" s="759"/>
      <c r="Z525" s="759"/>
      <c r="AA525" s="755"/>
      <c r="AB525" s="755"/>
      <c r="AC525" s="773"/>
      <c r="AD525" s="802"/>
      <c r="AF525" s="821"/>
      <c r="AG525" s="802"/>
      <c r="AH525" s="805"/>
      <c r="AI525" s="805"/>
      <c r="AJ525" s="822"/>
      <c r="AK525" s="805"/>
      <c r="AL525" s="806"/>
      <c r="AM525" s="805"/>
      <c r="AN525" s="805"/>
      <c r="AO525" s="807"/>
      <c r="AP525" s="805"/>
      <c r="AQ525" s="805"/>
      <c r="AR525" s="807"/>
      <c r="AS525" s="807"/>
      <c r="AT525" s="805"/>
      <c r="AU525" s="805"/>
      <c r="AV525" s="807"/>
      <c r="AW525" s="802"/>
      <c r="AX525" s="802"/>
      <c r="AY525" s="802"/>
      <c r="AZ525" s="802"/>
      <c r="BA525" s="802"/>
    </row>
    <row r="526" spans="1:53" s="803" customFormat="1" ht="12.75" customHeight="1" x14ac:dyDescent="0.25">
      <c r="A526" s="1122"/>
      <c r="B526" s="754" t="s">
        <v>1180</v>
      </c>
      <c r="C526" s="789"/>
      <c r="D526" s="835"/>
      <c r="E526" s="767"/>
      <c r="F526" s="768"/>
      <c r="G526" s="769"/>
      <c r="H526" s="768"/>
      <c r="I526" s="770"/>
      <c r="J526" s="758"/>
      <c r="K526" s="760"/>
      <c r="L526" s="760"/>
      <c r="M526" s="760"/>
      <c r="N526" s="760"/>
      <c r="O526" s="759"/>
      <c r="P526" s="759"/>
      <c r="Q526" s="759"/>
      <c r="R526" s="759"/>
      <c r="S526" s="759"/>
      <c r="T526" s="759"/>
      <c r="U526" s="759"/>
      <c r="V526" s="759"/>
      <c r="W526" s="759"/>
      <c r="X526" s="759"/>
      <c r="Y526" s="759"/>
      <c r="Z526" s="759"/>
      <c r="AA526" s="755"/>
      <c r="AB526" s="755"/>
      <c r="AC526" s="773"/>
      <c r="AD526" s="802"/>
      <c r="AF526" s="821"/>
      <c r="AG526" s="802"/>
      <c r="AH526" s="805"/>
      <c r="AI526" s="805"/>
      <c r="AJ526" s="822"/>
      <c r="AK526" s="805"/>
      <c r="AL526" s="806"/>
      <c r="AM526" s="805"/>
      <c r="AN526" s="805"/>
      <c r="AO526" s="807"/>
      <c r="AP526" s="805"/>
      <c r="AQ526" s="805"/>
      <c r="AR526" s="807"/>
      <c r="AS526" s="807"/>
      <c r="AT526" s="805"/>
      <c r="AU526" s="805"/>
      <c r="AV526" s="807"/>
      <c r="AW526" s="802"/>
      <c r="AX526" s="802"/>
      <c r="AY526" s="802"/>
      <c r="AZ526" s="802"/>
      <c r="BA526" s="802"/>
    </row>
    <row r="527" spans="1:53" s="803" customFormat="1" ht="12.75" customHeight="1" x14ac:dyDescent="0.25">
      <c r="A527" s="1122"/>
      <c r="B527" s="774" t="s">
        <v>1178</v>
      </c>
      <c r="C527" s="784">
        <v>1.1000000000000001</v>
      </c>
      <c r="D527" s="835"/>
      <c r="E527" s="767" t="s">
        <v>1442</v>
      </c>
      <c r="F527" s="768" t="s">
        <v>1443</v>
      </c>
      <c r="G527" s="769">
        <v>419.5</v>
      </c>
      <c r="H527" s="768">
        <v>1E-3</v>
      </c>
      <c r="I527" s="770">
        <f>G527*H527</f>
        <v>0.41949999999999998</v>
      </c>
      <c r="J527" s="758"/>
      <c r="K527" s="760"/>
      <c r="L527" s="760"/>
      <c r="M527" s="760"/>
      <c r="N527" s="760"/>
      <c r="O527" s="759"/>
      <c r="P527" s="759"/>
      <c r="Q527" s="759"/>
      <c r="R527" s="759"/>
      <c r="S527" s="759"/>
      <c r="T527" s="759"/>
      <c r="U527" s="759"/>
      <c r="V527" s="759"/>
      <c r="W527" s="759"/>
      <c r="X527" s="759"/>
      <c r="Y527" s="759"/>
      <c r="Z527" s="759"/>
      <c r="AA527" s="755"/>
      <c r="AB527" s="755"/>
      <c r="AC527" s="773"/>
      <c r="AD527" s="802"/>
      <c r="AF527" s="821"/>
      <c r="AG527" s="802"/>
      <c r="AH527" s="805"/>
      <c r="AI527" s="805"/>
      <c r="AJ527" s="827"/>
      <c r="AK527" s="805"/>
      <c r="AL527" s="806"/>
      <c r="AM527" s="805"/>
      <c r="AN527" s="805"/>
      <c r="AO527" s="807"/>
      <c r="AP527" s="805"/>
      <c r="AQ527" s="805"/>
      <c r="AR527" s="807"/>
      <c r="AS527" s="807"/>
      <c r="AT527" s="805"/>
      <c r="AU527" s="805"/>
      <c r="AV527" s="807"/>
      <c r="AW527" s="802"/>
      <c r="AX527" s="802"/>
      <c r="AY527" s="802"/>
      <c r="AZ527" s="802"/>
      <c r="BA527" s="802"/>
    </row>
    <row r="528" spans="1:53" s="803" customFormat="1" ht="12.75" customHeight="1" x14ac:dyDescent="0.25">
      <c r="A528" s="1122"/>
      <c r="B528" s="754" t="s">
        <v>1179</v>
      </c>
      <c r="C528" s="784">
        <v>0.3</v>
      </c>
      <c r="D528" s="835"/>
      <c r="E528" s="767" t="s">
        <v>1444</v>
      </c>
      <c r="F528" s="768" t="s">
        <v>1443</v>
      </c>
      <c r="G528" s="769">
        <v>872</v>
      </c>
      <c r="H528" s="768">
        <v>2E-3</v>
      </c>
      <c r="I528" s="770">
        <f>G528*H528</f>
        <v>1.744</v>
      </c>
      <c r="J528" s="758"/>
      <c r="K528" s="760"/>
      <c r="L528" s="760"/>
      <c r="M528" s="760"/>
      <c r="N528" s="760"/>
      <c r="O528" s="759"/>
      <c r="P528" s="759"/>
      <c r="Q528" s="759"/>
      <c r="R528" s="759"/>
      <c r="S528" s="759"/>
      <c r="T528" s="759"/>
      <c r="U528" s="759"/>
      <c r="V528" s="759"/>
      <c r="W528" s="759"/>
      <c r="X528" s="759"/>
      <c r="Y528" s="759"/>
      <c r="Z528" s="759"/>
      <c r="AA528" s="755"/>
      <c r="AB528" s="755"/>
      <c r="AC528" s="773"/>
      <c r="AD528" s="802"/>
      <c r="AF528" s="821"/>
      <c r="AG528" s="802"/>
      <c r="AH528" s="805"/>
      <c r="AI528" s="805"/>
      <c r="AJ528" s="827"/>
      <c r="AK528" s="805"/>
      <c r="AL528" s="806"/>
      <c r="AM528" s="805"/>
      <c r="AN528" s="805"/>
      <c r="AO528" s="807"/>
      <c r="AP528" s="805"/>
      <c r="AQ528" s="805"/>
      <c r="AR528" s="807"/>
      <c r="AS528" s="807"/>
      <c r="AT528" s="805"/>
      <c r="AU528" s="805"/>
      <c r="AV528" s="807"/>
      <c r="AW528" s="802"/>
      <c r="AX528" s="802"/>
      <c r="AY528" s="802"/>
      <c r="AZ528" s="802"/>
      <c r="BA528" s="802"/>
    </row>
    <row r="529" spans="1:53" s="803" customFormat="1" ht="12.75" customHeight="1" x14ac:dyDescent="0.25">
      <c r="A529" s="1122"/>
      <c r="B529" s="782" t="s">
        <v>1181</v>
      </c>
      <c r="C529" s="837">
        <f>C524*C527+C525*C528</f>
        <v>43.760517539861517</v>
      </c>
      <c r="D529" s="835"/>
      <c r="E529" s="767"/>
      <c r="F529" s="781"/>
      <c r="G529" s="769"/>
      <c r="H529" s="768"/>
      <c r="I529" s="770"/>
      <c r="J529" s="758"/>
      <c r="K529" s="828"/>
      <c r="L529" s="760"/>
      <c r="M529" s="760"/>
      <c r="N529" s="760"/>
      <c r="O529" s="759"/>
      <c r="P529" s="759"/>
      <c r="Q529" s="759"/>
      <c r="R529" s="759"/>
      <c r="S529" s="759"/>
      <c r="T529" s="759"/>
      <c r="U529" s="759"/>
      <c r="V529" s="759"/>
      <c r="W529" s="759"/>
      <c r="X529" s="759"/>
      <c r="Y529" s="759"/>
      <c r="Z529" s="759"/>
      <c r="AA529" s="755"/>
      <c r="AB529" s="755"/>
      <c r="AC529" s="773"/>
      <c r="AD529" s="802"/>
      <c r="AF529" s="821"/>
      <c r="AG529" s="802"/>
      <c r="AH529" s="805"/>
      <c r="AI529" s="805"/>
      <c r="AJ529" s="822"/>
      <c r="AK529" s="805"/>
      <c r="AL529" s="806"/>
      <c r="AM529" s="805"/>
      <c r="AN529" s="805"/>
      <c r="AO529" s="807"/>
      <c r="AP529" s="805"/>
      <c r="AQ529" s="805"/>
      <c r="AR529" s="807"/>
      <c r="AS529" s="807"/>
      <c r="AT529" s="805"/>
      <c r="AU529" s="805"/>
      <c r="AV529" s="807"/>
      <c r="AW529" s="802"/>
      <c r="AX529" s="802"/>
      <c r="AY529" s="802"/>
      <c r="AZ529" s="802"/>
      <c r="BA529" s="802"/>
    </row>
    <row r="530" spans="1:53" s="803" customFormat="1" ht="12.75" customHeight="1" x14ac:dyDescent="0.25">
      <c r="A530" s="1122"/>
      <c r="B530" s="782"/>
      <c r="C530" s="784"/>
      <c r="D530" s="836"/>
      <c r="E530" s="754"/>
      <c r="F530" s="857"/>
      <c r="G530" s="769"/>
      <c r="H530" s="756"/>
      <c r="I530" s="770"/>
      <c r="J530" s="758"/>
      <c r="K530" s="828"/>
      <c r="L530" s="760"/>
      <c r="M530" s="760"/>
      <c r="N530" s="760"/>
      <c r="O530" s="759"/>
      <c r="P530" s="759"/>
      <c r="Q530" s="759"/>
      <c r="R530" s="759"/>
      <c r="S530" s="759"/>
      <c r="T530" s="759"/>
      <c r="U530" s="759"/>
      <c r="V530" s="759"/>
      <c r="W530" s="759"/>
      <c r="X530" s="759"/>
      <c r="Y530" s="759"/>
      <c r="Z530" s="759"/>
      <c r="AA530" s="755"/>
      <c r="AB530" s="755"/>
      <c r="AC530" s="773"/>
      <c r="AD530" s="802"/>
      <c r="AF530" s="814"/>
      <c r="AG530" s="802"/>
      <c r="AH530" s="805"/>
      <c r="AI530" s="805"/>
      <c r="AJ530" s="827"/>
      <c r="AK530" s="805"/>
      <c r="AL530" s="806"/>
      <c r="AM530" s="805"/>
      <c r="AN530" s="805"/>
      <c r="AO530" s="807"/>
      <c r="AP530" s="805"/>
      <c r="AQ530" s="805"/>
      <c r="AR530" s="807"/>
      <c r="AS530" s="807"/>
      <c r="AT530" s="805"/>
      <c r="AU530" s="805"/>
      <c r="AV530" s="807"/>
      <c r="AW530" s="802"/>
      <c r="AX530" s="802"/>
      <c r="AY530" s="802"/>
      <c r="AZ530" s="802"/>
      <c r="BA530" s="802"/>
    </row>
    <row r="531" spans="1:53" ht="56.25" customHeight="1" x14ac:dyDescent="0.25">
      <c r="A531" s="1126" t="s">
        <v>1777</v>
      </c>
      <c r="B531" s="259" t="s">
        <v>1792</v>
      </c>
      <c r="C531" s="668"/>
      <c r="D531" s="665"/>
      <c r="E531" s="52" t="s">
        <v>488</v>
      </c>
      <c r="F531" s="53" t="s">
        <v>837</v>
      </c>
      <c r="G531" s="668" t="s">
        <v>489</v>
      </c>
      <c r="H531" s="52" t="s">
        <v>1170</v>
      </c>
      <c r="I531" s="53" t="s">
        <v>838</v>
      </c>
      <c r="J531" s="47" t="s">
        <v>1171</v>
      </c>
      <c r="K531" s="47" t="s">
        <v>490</v>
      </c>
      <c r="L531" s="54" t="s">
        <v>489</v>
      </c>
      <c r="M531" s="47" t="s">
        <v>1172</v>
      </c>
      <c r="N531" s="53" t="s">
        <v>838</v>
      </c>
      <c r="O531" s="47" t="s">
        <v>1171</v>
      </c>
      <c r="P531" s="47" t="s">
        <v>826</v>
      </c>
      <c r="Q531" s="47" t="s">
        <v>1173</v>
      </c>
      <c r="R531" s="47" t="s">
        <v>1174</v>
      </c>
      <c r="S531" s="47" t="s">
        <v>839</v>
      </c>
      <c r="T531" s="47" t="s">
        <v>1171</v>
      </c>
      <c r="U531" s="47" t="s">
        <v>1392</v>
      </c>
      <c r="V531" s="47" t="s">
        <v>841</v>
      </c>
      <c r="W531" s="231" t="s">
        <v>1173</v>
      </c>
      <c r="X531" s="47" t="s">
        <v>1394</v>
      </c>
      <c r="Y531" s="47" t="s">
        <v>839</v>
      </c>
      <c r="Z531" s="55"/>
      <c r="AA531" s="1"/>
      <c r="AB531" s="1"/>
      <c r="AC531" s="245"/>
      <c r="AD531" s="56"/>
      <c r="AQ531" s="139"/>
      <c r="AR531" s="139"/>
      <c r="AS531" s="139"/>
    </row>
    <row r="532" spans="1:53" ht="12" customHeight="1" x14ac:dyDescent="0.25">
      <c r="A532" s="1126"/>
      <c r="B532" s="36" t="s">
        <v>1175</v>
      </c>
      <c r="C532" s="668">
        <f>C539</f>
        <v>83.044515066163342</v>
      </c>
      <c r="D532" s="665">
        <f>C532*$D$5</f>
        <v>16.774992043364996</v>
      </c>
      <c r="E532" s="57" t="s">
        <v>1176</v>
      </c>
      <c r="F532" s="165"/>
      <c r="G532" s="58"/>
      <c r="H532" s="58"/>
      <c r="I532" s="2">
        <f>SUM(I533:I540)</f>
        <v>6.5736000000000008</v>
      </c>
      <c r="J532" s="59" t="s">
        <v>1176</v>
      </c>
      <c r="K532" s="169"/>
      <c r="L532" s="60"/>
      <c r="M532" s="60"/>
      <c r="N532" s="61">
        <f>SUM(N533:N540)</f>
        <v>0.20500107618495994</v>
      </c>
      <c r="O532" s="60" t="s">
        <v>1176</v>
      </c>
      <c r="P532" s="60"/>
      <c r="Q532" s="62"/>
      <c r="R532" s="63"/>
      <c r="S532" s="61">
        <f>SUM(S533:S540)</f>
        <v>9.8377551924086384E-2</v>
      </c>
      <c r="T532" s="61"/>
      <c r="U532" s="61"/>
      <c r="V532" s="61"/>
      <c r="W532" s="61"/>
      <c r="X532" s="61"/>
      <c r="Y532" s="61">
        <f>SUM(Y533:Y540)</f>
        <v>4.3489191438431192</v>
      </c>
      <c r="Z532" s="64">
        <f>(C532+D532+I532+N532+S532+Y532)*$Z$5</f>
        <v>144.37986876831437</v>
      </c>
      <c r="AA532" s="65">
        <f>C532+D532+I532+N532+S532+Y532+Z532</f>
        <v>255.42527364979486</v>
      </c>
      <c r="AB532" s="66">
        <v>0.25</v>
      </c>
      <c r="AC532" s="244">
        <f>AA532*(1+AB532)</f>
        <v>319.28159206224359</v>
      </c>
      <c r="AD532" s="67"/>
      <c r="AI532" s="139"/>
      <c r="AJ532" s="140"/>
      <c r="AK532" s="141"/>
      <c r="AM532" s="142"/>
      <c r="AN532" s="143"/>
      <c r="AO532" s="142"/>
      <c r="AP532" s="139"/>
      <c r="AQ532" s="139"/>
      <c r="AR532" s="139"/>
      <c r="AS532" s="139"/>
      <c r="AT532" s="139"/>
      <c r="AU532" s="142"/>
      <c r="AV532" s="142"/>
      <c r="AW532" s="144"/>
    </row>
    <row r="533" spans="1:53" ht="12.75" customHeight="1" x14ac:dyDescent="0.25">
      <c r="A533" s="1126"/>
      <c r="B533" s="50" t="s">
        <v>1177</v>
      </c>
      <c r="C533" s="668"/>
      <c r="D533" s="666"/>
      <c r="E533" s="68" t="s">
        <v>1437</v>
      </c>
      <c r="F533" s="69" t="s">
        <v>1438</v>
      </c>
      <c r="G533" s="70">
        <v>0.74</v>
      </c>
      <c r="H533" s="69">
        <v>0.01</v>
      </c>
      <c r="I533" s="71">
        <f>G533*H533</f>
        <v>7.4000000000000003E-3</v>
      </c>
      <c r="J533" s="758" t="s">
        <v>1291</v>
      </c>
      <c r="K533" s="760">
        <v>2</v>
      </c>
      <c r="L533" s="760">
        <v>750</v>
      </c>
      <c r="M533" s="760">
        <v>2</v>
      </c>
      <c r="N533" s="786">
        <f>L533/'Исп. коэффициенты'!E52*(C537+C538)</f>
        <v>0.17672506567668961</v>
      </c>
      <c r="O533" s="759" t="s">
        <v>186</v>
      </c>
      <c r="P533" s="759">
        <v>5303.64</v>
      </c>
      <c r="Q533" s="759">
        <v>19.68</v>
      </c>
      <c r="R533" s="759">
        <f>P533*Q533%</f>
        <v>1043.7563520000001</v>
      </c>
      <c r="S533" s="759">
        <f>R533/'Исп. коэффициенты'!E52</f>
        <v>9.8377551924086384E-2</v>
      </c>
      <c r="T533" s="755" t="s">
        <v>1435</v>
      </c>
      <c r="U533" s="756">
        <v>6785401.3499999996</v>
      </c>
      <c r="V533" s="785">
        <f>'Исп. коэффициенты'!E124</f>
        <v>2978.5</v>
      </c>
      <c r="W533" s="761">
        <f>'Исп. коэффициенты'!D124</f>
        <v>1.3599999999999999E-2</v>
      </c>
      <c r="X533" s="760">
        <f>U533*W533</f>
        <v>92281.45835999999</v>
      </c>
      <c r="Y533" s="759">
        <f>X533/'Исп. коэффициенты'!E52/2</f>
        <v>4.3489191438431192</v>
      </c>
      <c r="Z533" s="60"/>
      <c r="AA533" s="1"/>
      <c r="AB533" s="1"/>
      <c r="AC533" s="245"/>
      <c r="AD533" s="56"/>
      <c r="AF533" s="151"/>
      <c r="AJ533" s="136"/>
      <c r="AT533" s="139"/>
    </row>
    <row r="534" spans="1:53" x14ac:dyDescent="0.25">
      <c r="A534" s="1126"/>
      <c r="B534" s="74" t="s">
        <v>1178</v>
      </c>
      <c r="C534" s="75">
        <f>C524</f>
        <v>33.667709452234185</v>
      </c>
      <c r="D534" s="666"/>
      <c r="E534" s="68" t="s">
        <v>1439</v>
      </c>
      <c r="F534" s="69" t="s">
        <v>1438</v>
      </c>
      <c r="G534" s="70">
        <v>0.27</v>
      </c>
      <c r="H534" s="69">
        <v>0.01</v>
      </c>
      <c r="I534" s="242">
        <f>G534*H534</f>
        <v>2.7000000000000001E-3</v>
      </c>
      <c r="J534" s="758" t="s">
        <v>1445</v>
      </c>
      <c r="K534" s="760">
        <v>2</v>
      </c>
      <c r="L534" s="760">
        <v>95</v>
      </c>
      <c r="M534" s="760">
        <v>2</v>
      </c>
      <c r="N534" s="786">
        <f>L534/'Исп. коэффициенты'!E52*(C537+C538)</f>
        <v>2.2385174985714018E-2</v>
      </c>
      <c r="O534" s="759"/>
      <c r="P534" s="759"/>
      <c r="Q534" s="759"/>
      <c r="R534" s="759"/>
      <c r="S534" s="759"/>
      <c r="T534" s="759"/>
      <c r="U534" s="759"/>
      <c r="V534" s="759"/>
      <c r="W534" s="759"/>
      <c r="X534" s="759"/>
      <c r="Y534" s="759"/>
      <c r="Z534" s="60"/>
      <c r="AA534" s="1"/>
      <c r="AB534" s="1"/>
      <c r="AC534" s="245"/>
      <c r="AD534" s="56"/>
      <c r="AF534" s="151"/>
      <c r="AJ534" s="136"/>
      <c r="AM534" s="145"/>
    </row>
    <row r="535" spans="1:53" ht="12.75" customHeight="1" x14ac:dyDescent="0.25">
      <c r="A535" s="1126"/>
      <c r="B535" s="57" t="s">
        <v>1179</v>
      </c>
      <c r="C535" s="668">
        <f>C525</f>
        <v>22.420123808013045</v>
      </c>
      <c r="D535" s="666"/>
      <c r="E535" s="68" t="s">
        <v>1598</v>
      </c>
      <c r="F535" s="69" t="s">
        <v>1441</v>
      </c>
      <c r="G535" s="70">
        <v>4.4000000000000004</v>
      </c>
      <c r="H535" s="70">
        <v>1</v>
      </c>
      <c r="I535" s="71">
        <f>G535*H535</f>
        <v>4.4000000000000004</v>
      </c>
      <c r="J535" s="758" t="s">
        <v>1513</v>
      </c>
      <c r="K535" s="760">
        <v>2</v>
      </c>
      <c r="L535" s="760">
        <v>25</v>
      </c>
      <c r="M535" s="760">
        <v>0.5</v>
      </c>
      <c r="N535" s="786">
        <f>L535/'Исп. коэффициенты'!E52*(C537+C538)</f>
        <v>5.8908355225563208E-3</v>
      </c>
      <c r="O535" s="759"/>
      <c r="P535" s="759"/>
      <c r="Q535" s="759"/>
      <c r="R535" s="759"/>
      <c r="S535" s="759"/>
      <c r="T535" s="759"/>
      <c r="U535" s="759"/>
      <c r="V535" s="759"/>
      <c r="W535" s="759"/>
      <c r="X535" s="759"/>
      <c r="Y535" s="759"/>
      <c r="Z535" s="60"/>
      <c r="AA535" s="1"/>
      <c r="AB535" s="1"/>
      <c r="AC535" s="245"/>
      <c r="AD535" s="56"/>
      <c r="AF535" s="151"/>
      <c r="AJ535" s="136"/>
    </row>
    <row r="536" spans="1:53" ht="12.75" customHeight="1" x14ac:dyDescent="0.25">
      <c r="A536" s="1126"/>
      <c r="B536" s="57" t="s">
        <v>1180</v>
      </c>
      <c r="C536" s="77"/>
      <c r="D536" s="666"/>
      <c r="E536" s="68"/>
      <c r="F536" s="69"/>
      <c r="G536" s="70"/>
      <c r="H536" s="69"/>
      <c r="I536" s="71"/>
      <c r="J536" s="758"/>
      <c r="K536" s="760"/>
      <c r="L536" s="760"/>
      <c r="M536" s="760"/>
      <c r="N536" s="760"/>
      <c r="O536" s="759"/>
      <c r="P536" s="759"/>
      <c r="Q536" s="759"/>
      <c r="R536" s="759"/>
      <c r="S536" s="759"/>
      <c r="T536" s="759"/>
      <c r="U536" s="759"/>
      <c r="V536" s="759"/>
      <c r="W536" s="759"/>
      <c r="X536" s="759"/>
      <c r="Y536" s="759"/>
      <c r="Z536" s="60"/>
      <c r="AA536" s="1"/>
      <c r="AB536" s="1"/>
      <c r="AC536" s="245"/>
      <c r="AD536" s="56"/>
      <c r="AF536" s="151"/>
      <c r="AJ536" s="136"/>
    </row>
    <row r="537" spans="1:53" ht="12.75" customHeight="1" x14ac:dyDescent="0.25">
      <c r="A537" s="1126"/>
      <c r="B537" s="74" t="s">
        <v>1178</v>
      </c>
      <c r="C537" s="78">
        <v>2.4</v>
      </c>
      <c r="D537" s="666"/>
      <c r="E537" s="68" t="s">
        <v>1442</v>
      </c>
      <c r="F537" s="69" t="s">
        <v>1443</v>
      </c>
      <c r="G537" s="70">
        <v>419.5</v>
      </c>
      <c r="H537" s="69">
        <v>1E-3</v>
      </c>
      <c r="I537" s="71">
        <f>G537*H537</f>
        <v>0.41949999999999998</v>
      </c>
      <c r="J537" s="758"/>
      <c r="K537" s="760"/>
      <c r="L537" s="760"/>
      <c r="M537" s="760"/>
      <c r="N537" s="760"/>
      <c r="O537" s="759"/>
      <c r="P537" s="759"/>
      <c r="Q537" s="759"/>
      <c r="R537" s="759"/>
      <c r="S537" s="759"/>
      <c r="T537" s="759"/>
      <c r="U537" s="759"/>
      <c r="V537" s="759"/>
      <c r="W537" s="759"/>
      <c r="X537" s="759"/>
      <c r="Y537" s="759"/>
      <c r="Z537" s="60"/>
      <c r="AA537" s="1"/>
      <c r="AB537" s="1"/>
      <c r="AC537" s="245"/>
      <c r="AD537" s="56"/>
      <c r="AF537" s="151"/>
      <c r="AJ537" s="146"/>
    </row>
    <row r="538" spans="1:53" ht="12.75" customHeight="1" x14ac:dyDescent="0.25">
      <c r="A538" s="1126"/>
      <c r="B538" s="57" t="s">
        <v>1179</v>
      </c>
      <c r="C538" s="78">
        <v>0.1</v>
      </c>
      <c r="D538" s="666"/>
      <c r="E538" s="68" t="s">
        <v>1444</v>
      </c>
      <c r="F538" s="69" t="s">
        <v>1443</v>
      </c>
      <c r="G538" s="70">
        <v>872</v>
      </c>
      <c r="H538" s="69">
        <v>2E-3</v>
      </c>
      <c r="I538" s="71">
        <f>G538*H538</f>
        <v>1.744</v>
      </c>
      <c r="J538" s="59"/>
      <c r="K538" s="61"/>
      <c r="L538" s="61"/>
      <c r="M538" s="61"/>
      <c r="N538" s="61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1"/>
      <c r="AB538" s="1"/>
      <c r="AC538" s="245"/>
      <c r="AD538" s="56"/>
      <c r="AF538" s="151"/>
      <c r="AJ538" s="146"/>
    </row>
    <row r="539" spans="1:53" ht="12.75" customHeight="1" x14ac:dyDescent="0.25">
      <c r="A539" s="1126"/>
      <c r="B539" s="79" t="s">
        <v>1181</v>
      </c>
      <c r="C539" s="668">
        <f>C534*C537+C535*C538</f>
        <v>83.044515066163342</v>
      </c>
      <c r="D539" s="666"/>
      <c r="E539" s="68"/>
      <c r="F539" s="166"/>
      <c r="G539" s="70"/>
      <c r="H539" s="69"/>
      <c r="I539" s="71"/>
      <c r="J539" s="59"/>
      <c r="K539" s="170"/>
      <c r="L539" s="61"/>
      <c r="M539" s="61"/>
      <c r="N539" s="61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1"/>
      <c r="AB539" s="1"/>
      <c r="AC539" s="245"/>
      <c r="AD539" s="56"/>
      <c r="AF539" s="151"/>
      <c r="AJ539" s="136"/>
    </row>
    <row r="540" spans="1:53" ht="12.75" customHeight="1" x14ac:dyDescent="0.25">
      <c r="A540" s="1126"/>
      <c r="B540" s="79"/>
      <c r="C540" s="78"/>
      <c r="D540" s="667"/>
      <c r="E540" s="57"/>
      <c r="F540" s="167"/>
      <c r="G540" s="70"/>
      <c r="H540" s="58"/>
      <c r="I540" s="71"/>
      <c r="J540" s="59"/>
      <c r="K540" s="170"/>
      <c r="L540" s="61"/>
      <c r="M540" s="61"/>
      <c r="N540" s="61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1"/>
      <c r="AB540" s="1"/>
      <c r="AC540" s="245"/>
      <c r="AD540" s="56"/>
      <c r="AF540" s="67"/>
      <c r="AJ540" s="146"/>
    </row>
    <row r="541" spans="1:53" s="803" customFormat="1" ht="56.25" customHeight="1" x14ac:dyDescent="0.25">
      <c r="A541" s="1122" t="s">
        <v>1775</v>
      </c>
      <c r="B541" s="753" t="s">
        <v>1789</v>
      </c>
      <c r="C541" s="837"/>
      <c r="D541" s="834"/>
      <c r="E541" s="791" t="s">
        <v>488</v>
      </c>
      <c r="F541" s="792" t="s">
        <v>837</v>
      </c>
      <c r="G541" s="837" t="s">
        <v>489</v>
      </c>
      <c r="H541" s="791" t="s">
        <v>1170</v>
      </c>
      <c r="I541" s="792" t="s">
        <v>838</v>
      </c>
      <c r="J541" s="793" t="s">
        <v>1171</v>
      </c>
      <c r="K541" s="793" t="s">
        <v>490</v>
      </c>
      <c r="L541" s="794" t="s">
        <v>489</v>
      </c>
      <c r="M541" s="793" t="s">
        <v>1172</v>
      </c>
      <c r="N541" s="792" t="s">
        <v>838</v>
      </c>
      <c r="O541" s="793" t="s">
        <v>1171</v>
      </c>
      <c r="P541" s="793" t="s">
        <v>826</v>
      </c>
      <c r="Q541" s="793" t="s">
        <v>1173</v>
      </c>
      <c r="R541" s="793" t="s">
        <v>1174</v>
      </c>
      <c r="S541" s="793" t="s">
        <v>839</v>
      </c>
      <c r="T541" s="793" t="s">
        <v>1171</v>
      </c>
      <c r="U541" s="793" t="s">
        <v>1392</v>
      </c>
      <c r="V541" s="793" t="s">
        <v>841</v>
      </c>
      <c r="W541" s="795" t="s">
        <v>1173</v>
      </c>
      <c r="X541" s="793" t="s">
        <v>1394</v>
      </c>
      <c r="Y541" s="793" t="s">
        <v>839</v>
      </c>
      <c r="Z541" s="796"/>
      <c r="AA541" s="755"/>
      <c r="AB541" s="755"/>
      <c r="AC541" s="773"/>
      <c r="AD541" s="802"/>
      <c r="AF541" s="804"/>
      <c r="AG541" s="802"/>
      <c r="AH541" s="805"/>
      <c r="AI541" s="805"/>
      <c r="AJ541" s="805"/>
      <c r="AK541" s="805"/>
      <c r="AL541" s="806"/>
      <c r="AM541" s="805"/>
      <c r="AN541" s="805"/>
      <c r="AO541" s="807"/>
      <c r="AP541" s="805"/>
      <c r="AQ541" s="808"/>
      <c r="AR541" s="808"/>
      <c r="AS541" s="808"/>
      <c r="AT541" s="805"/>
      <c r="AU541" s="805"/>
      <c r="AV541" s="807"/>
      <c r="AW541" s="802"/>
      <c r="AX541" s="802"/>
      <c r="AY541" s="802"/>
      <c r="AZ541" s="802"/>
      <c r="BA541" s="802"/>
    </row>
    <row r="542" spans="1:53" s="803" customFormat="1" ht="12" customHeight="1" x14ac:dyDescent="0.25">
      <c r="A542" s="1122"/>
      <c r="B542" s="752" t="s">
        <v>1175</v>
      </c>
      <c r="C542" s="837">
        <f>C549</f>
        <v>90.812758544517223</v>
      </c>
      <c r="D542" s="834">
        <f>C542*$D$5</f>
        <v>18.344177225992482</v>
      </c>
      <c r="E542" s="754" t="s">
        <v>1176</v>
      </c>
      <c r="F542" s="810"/>
      <c r="G542" s="756"/>
      <c r="H542" s="756"/>
      <c r="I542" s="757">
        <f>SUM(I543:I550)</f>
        <v>6.5736000000000008</v>
      </c>
      <c r="J542" s="758" t="s">
        <v>1176</v>
      </c>
      <c r="K542" s="811"/>
      <c r="L542" s="759"/>
      <c r="M542" s="759"/>
      <c r="N542" s="760">
        <f>SUM(N543:N550)</f>
        <v>0.3198016788485375</v>
      </c>
      <c r="O542" s="759" t="s">
        <v>1176</v>
      </c>
      <c r="P542" s="759"/>
      <c r="Q542" s="812"/>
      <c r="R542" s="813"/>
      <c r="S542" s="760">
        <f>SUM(S543:S550)</f>
        <v>9.8377551924086384E-2</v>
      </c>
      <c r="T542" s="760"/>
      <c r="U542" s="760"/>
      <c r="V542" s="760"/>
      <c r="W542" s="760"/>
      <c r="X542" s="760"/>
      <c r="Y542" s="760">
        <f>SUM(Y543:Y550)</f>
        <v>4.3489191438431192</v>
      </c>
      <c r="Z542" s="762">
        <f>(C542+D542+I542+N542+S542+Y542)*$Z$5</f>
        <v>156.66954092638019</v>
      </c>
      <c r="AA542" s="763">
        <f>C542+D542+I542+N542+S542+Y542+Z542</f>
        <v>277.16717507150565</v>
      </c>
      <c r="AB542" s="764">
        <v>0.25</v>
      </c>
      <c r="AC542" s="765">
        <f>AA542*(1+AB542)</f>
        <v>346.45896883938207</v>
      </c>
      <c r="AD542" s="814"/>
      <c r="AF542" s="804"/>
      <c r="AG542" s="802"/>
      <c r="AH542" s="805"/>
      <c r="AI542" s="808"/>
      <c r="AJ542" s="815"/>
      <c r="AK542" s="816"/>
      <c r="AL542" s="806"/>
      <c r="AM542" s="817"/>
      <c r="AN542" s="818"/>
      <c r="AO542" s="817"/>
      <c r="AP542" s="808"/>
      <c r="AQ542" s="808"/>
      <c r="AR542" s="808"/>
      <c r="AS542" s="808"/>
      <c r="AT542" s="808"/>
      <c r="AU542" s="817"/>
      <c r="AV542" s="817"/>
      <c r="AW542" s="819"/>
      <c r="AX542" s="802"/>
      <c r="AY542" s="802"/>
      <c r="AZ542" s="802"/>
      <c r="BA542" s="802"/>
    </row>
    <row r="543" spans="1:53" s="803" customFormat="1" ht="12.75" customHeight="1" x14ac:dyDescent="0.25">
      <c r="A543" s="1122"/>
      <c r="B543" s="766" t="s">
        <v>1177</v>
      </c>
      <c r="C543" s="837"/>
      <c r="D543" s="835"/>
      <c r="E543" s="767" t="s">
        <v>1437</v>
      </c>
      <c r="F543" s="768" t="s">
        <v>1438</v>
      </c>
      <c r="G543" s="769">
        <v>0.74</v>
      </c>
      <c r="H543" s="768">
        <v>0.01</v>
      </c>
      <c r="I543" s="770">
        <f>G543*H543</f>
        <v>7.4000000000000003E-3</v>
      </c>
      <c r="J543" s="758" t="s">
        <v>1291</v>
      </c>
      <c r="K543" s="760">
        <v>2</v>
      </c>
      <c r="L543" s="760">
        <v>750</v>
      </c>
      <c r="M543" s="760">
        <v>2</v>
      </c>
      <c r="N543" s="786">
        <f>L543/'Исп. коэффициенты'!E52*(C547+C548)</f>
        <v>0.27569110245563577</v>
      </c>
      <c r="O543" s="759" t="s">
        <v>186</v>
      </c>
      <c r="P543" s="759">
        <v>5303.64</v>
      </c>
      <c r="Q543" s="759">
        <v>19.68</v>
      </c>
      <c r="R543" s="759">
        <f>P543*Q543%</f>
        <v>1043.7563520000001</v>
      </c>
      <c r="S543" s="759">
        <f>R543/'Исп. коэффициенты'!E52</f>
        <v>9.8377551924086384E-2</v>
      </c>
      <c r="T543" s="755" t="s">
        <v>1435</v>
      </c>
      <c r="U543" s="756">
        <v>6785401.3499999996</v>
      </c>
      <c r="V543" s="785">
        <f>'Исп. коэффициенты'!E124</f>
        <v>2978.5</v>
      </c>
      <c r="W543" s="761">
        <f>'Исп. коэффициенты'!D124</f>
        <v>1.3599999999999999E-2</v>
      </c>
      <c r="X543" s="760">
        <f>U543*W543</f>
        <v>92281.45835999999</v>
      </c>
      <c r="Y543" s="759">
        <f>X543/'Исп. коэффициенты'!E52/2</f>
        <v>4.3489191438431192</v>
      </c>
      <c r="Z543" s="759"/>
      <c r="AA543" s="755"/>
      <c r="AB543" s="755"/>
      <c r="AC543" s="773"/>
      <c r="AD543" s="802"/>
      <c r="AF543" s="821"/>
      <c r="AG543" s="802"/>
      <c r="AH543" s="805"/>
      <c r="AI543" s="805"/>
      <c r="AJ543" s="822"/>
      <c r="AK543" s="805"/>
      <c r="AL543" s="806"/>
      <c r="AM543" s="805"/>
      <c r="AN543" s="805"/>
      <c r="AO543" s="807"/>
      <c r="AP543" s="805"/>
      <c r="AQ543" s="805"/>
      <c r="AR543" s="807"/>
      <c r="AS543" s="807"/>
      <c r="AT543" s="808"/>
      <c r="AU543" s="805"/>
      <c r="AV543" s="807"/>
      <c r="AW543" s="802"/>
      <c r="AX543" s="802"/>
      <c r="AY543" s="802"/>
      <c r="AZ543" s="802"/>
      <c r="BA543" s="802"/>
    </row>
    <row r="544" spans="1:53" s="803" customFormat="1" x14ac:dyDescent="0.25">
      <c r="A544" s="1122"/>
      <c r="B544" s="774" t="s">
        <v>1178</v>
      </c>
      <c r="C544" s="753">
        <f>C514</f>
        <v>33.667709452234185</v>
      </c>
      <c r="D544" s="835"/>
      <c r="E544" s="767" t="s">
        <v>1439</v>
      </c>
      <c r="F544" s="768" t="s">
        <v>1438</v>
      </c>
      <c r="G544" s="769">
        <v>0.27</v>
      </c>
      <c r="H544" s="768">
        <v>0.01</v>
      </c>
      <c r="I544" s="775">
        <f>G544*H544</f>
        <v>2.7000000000000001E-3</v>
      </c>
      <c r="J544" s="758" t="s">
        <v>1445</v>
      </c>
      <c r="K544" s="760">
        <v>2</v>
      </c>
      <c r="L544" s="760">
        <v>95</v>
      </c>
      <c r="M544" s="760">
        <v>2</v>
      </c>
      <c r="N544" s="786">
        <f>L544/'Исп. коэффициенты'!E52*(C547+C548)</f>
        <v>3.4920872977713867E-2</v>
      </c>
      <c r="O544" s="759"/>
      <c r="P544" s="759"/>
      <c r="Q544" s="759"/>
      <c r="R544" s="759"/>
      <c r="S544" s="759"/>
      <c r="T544" s="759"/>
      <c r="U544" s="759"/>
      <c r="V544" s="759"/>
      <c r="W544" s="759"/>
      <c r="X544" s="759"/>
      <c r="Y544" s="759"/>
      <c r="Z544" s="759"/>
      <c r="AA544" s="755"/>
      <c r="AB544" s="755"/>
      <c r="AC544" s="773"/>
      <c r="AD544" s="802"/>
      <c r="AF544" s="821"/>
      <c r="AG544" s="802"/>
      <c r="AH544" s="805"/>
      <c r="AI544" s="805"/>
      <c r="AJ544" s="822"/>
      <c r="AK544" s="805"/>
      <c r="AL544" s="806"/>
      <c r="AM544" s="824"/>
      <c r="AN544" s="805"/>
      <c r="AO544" s="807"/>
      <c r="AP544" s="805"/>
      <c r="AQ544" s="805"/>
      <c r="AR544" s="807"/>
      <c r="AS544" s="807"/>
      <c r="AT544" s="805"/>
      <c r="AU544" s="805"/>
      <c r="AV544" s="807"/>
      <c r="AW544" s="802"/>
      <c r="AX544" s="802"/>
      <c r="AY544" s="802"/>
      <c r="AZ544" s="802"/>
      <c r="BA544" s="802"/>
    </row>
    <row r="545" spans="1:53" s="803" customFormat="1" ht="12.75" customHeight="1" x14ac:dyDescent="0.25">
      <c r="A545" s="1122"/>
      <c r="B545" s="754" t="s">
        <v>1179</v>
      </c>
      <c r="C545" s="837">
        <f>C515</f>
        <v>22.420123808013045</v>
      </c>
      <c r="D545" s="835"/>
      <c r="E545" s="767" t="s">
        <v>1598</v>
      </c>
      <c r="F545" s="768" t="s">
        <v>1441</v>
      </c>
      <c r="G545" s="769">
        <v>4.4000000000000004</v>
      </c>
      <c r="H545" s="769">
        <v>1</v>
      </c>
      <c r="I545" s="770">
        <f>G545*H545</f>
        <v>4.4000000000000004</v>
      </c>
      <c r="J545" s="758" t="s">
        <v>1513</v>
      </c>
      <c r="K545" s="760">
        <v>2</v>
      </c>
      <c r="L545" s="760">
        <v>25</v>
      </c>
      <c r="M545" s="760">
        <v>0.5</v>
      </c>
      <c r="N545" s="786">
        <f>L545/'Исп. коэффициенты'!E52*(C547+C548)</f>
        <v>9.1897034151878602E-3</v>
      </c>
      <c r="O545" s="759"/>
      <c r="P545" s="759"/>
      <c r="Q545" s="759"/>
      <c r="R545" s="759"/>
      <c r="S545" s="759"/>
      <c r="T545" s="759"/>
      <c r="U545" s="759"/>
      <c r="V545" s="759"/>
      <c r="W545" s="759"/>
      <c r="X545" s="759"/>
      <c r="Y545" s="759"/>
      <c r="Z545" s="759"/>
      <c r="AA545" s="755"/>
      <c r="AB545" s="755"/>
      <c r="AC545" s="773"/>
      <c r="AD545" s="802"/>
      <c r="AF545" s="821"/>
      <c r="AG545" s="802"/>
      <c r="AH545" s="805"/>
      <c r="AI545" s="805"/>
      <c r="AJ545" s="822"/>
      <c r="AK545" s="805"/>
      <c r="AL545" s="806"/>
      <c r="AM545" s="805"/>
      <c r="AN545" s="805"/>
      <c r="AO545" s="807"/>
      <c r="AP545" s="805"/>
      <c r="AQ545" s="805"/>
      <c r="AR545" s="807"/>
      <c r="AS545" s="807"/>
      <c r="AT545" s="805"/>
      <c r="AU545" s="805"/>
      <c r="AV545" s="807"/>
      <c r="AW545" s="802"/>
      <c r="AX545" s="802"/>
      <c r="AY545" s="802"/>
      <c r="AZ545" s="802"/>
      <c r="BA545" s="802"/>
    </row>
    <row r="546" spans="1:53" s="803" customFormat="1" ht="12.75" customHeight="1" x14ac:dyDescent="0.25">
      <c r="A546" s="1122"/>
      <c r="B546" s="754" t="s">
        <v>1180</v>
      </c>
      <c r="C546" s="789"/>
      <c r="D546" s="835"/>
      <c r="E546" s="767"/>
      <c r="F546" s="768"/>
      <c r="G546" s="769"/>
      <c r="H546" s="768"/>
      <c r="I546" s="770"/>
      <c r="J546" s="758"/>
      <c r="K546" s="760"/>
      <c r="L546" s="760"/>
      <c r="M546" s="760"/>
      <c r="N546" s="760"/>
      <c r="O546" s="759"/>
      <c r="P546" s="759"/>
      <c r="Q546" s="759"/>
      <c r="R546" s="759"/>
      <c r="S546" s="759"/>
      <c r="T546" s="759"/>
      <c r="U546" s="759"/>
      <c r="V546" s="759"/>
      <c r="W546" s="759"/>
      <c r="X546" s="759"/>
      <c r="Y546" s="759"/>
      <c r="Z546" s="759"/>
      <c r="AA546" s="755"/>
      <c r="AB546" s="755"/>
      <c r="AC546" s="773"/>
      <c r="AD546" s="802"/>
      <c r="AF546" s="821"/>
      <c r="AG546" s="802"/>
      <c r="AH546" s="805"/>
      <c r="AI546" s="805"/>
      <c r="AJ546" s="822"/>
      <c r="AK546" s="805"/>
      <c r="AL546" s="806"/>
      <c r="AM546" s="805"/>
      <c r="AN546" s="805"/>
      <c r="AO546" s="807"/>
      <c r="AP546" s="805"/>
      <c r="AQ546" s="805"/>
      <c r="AR546" s="807"/>
      <c r="AS546" s="807"/>
      <c r="AT546" s="805"/>
      <c r="AU546" s="805"/>
      <c r="AV546" s="807"/>
      <c r="AW546" s="802"/>
      <c r="AX546" s="802"/>
      <c r="AY546" s="802"/>
      <c r="AZ546" s="802"/>
      <c r="BA546" s="802"/>
    </row>
    <row r="547" spans="1:53" s="803" customFormat="1" ht="12.75" customHeight="1" x14ac:dyDescent="0.25">
      <c r="A547" s="1122"/>
      <c r="B547" s="774" t="s">
        <v>1178</v>
      </c>
      <c r="C547" s="784">
        <v>0.3</v>
      </c>
      <c r="D547" s="835"/>
      <c r="E547" s="767" t="s">
        <v>1442</v>
      </c>
      <c r="F547" s="768" t="s">
        <v>1443</v>
      </c>
      <c r="G547" s="769">
        <v>419.5</v>
      </c>
      <c r="H547" s="768">
        <v>1E-3</v>
      </c>
      <c r="I547" s="770">
        <f>G547*H547</f>
        <v>0.41949999999999998</v>
      </c>
      <c r="J547" s="758"/>
      <c r="K547" s="760"/>
      <c r="L547" s="760"/>
      <c r="M547" s="760"/>
      <c r="N547" s="760"/>
      <c r="O547" s="759"/>
      <c r="P547" s="759"/>
      <c r="Q547" s="759"/>
      <c r="R547" s="759"/>
      <c r="S547" s="759"/>
      <c r="T547" s="759"/>
      <c r="U547" s="759"/>
      <c r="V547" s="759"/>
      <c r="W547" s="759"/>
      <c r="X547" s="759"/>
      <c r="Y547" s="759"/>
      <c r="Z547" s="759"/>
      <c r="AA547" s="755"/>
      <c r="AB547" s="755"/>
      <c r="AC547" s="773"/>
      <c r="AD547" s="802"/>
      <c r="AF547" s="821"/>
      <c r="AG547" s="802"/>
      <c r="AH547" s="805"/>
      <c r="AI547" s="805"/>
      <c r="AJ547" s="827"/>
      <c r="AK547" s="805"/>
      <c r="AL547" s="806"/>
      <c r="AM547" s="805"/>
      <c r="AN547" s="805"/>
      <c r="AO547" s="807"/>
      <c r="AP547" s="805"/>
      <c r="AQ547" s="805"/>
      <c r="AR547" s="807"/>
      <c r="AS547" s="807"/>
      <c r="AT547" s="805"/>
      <c r="AU547" s="805"/>
      <c r="AV547" s="807"/>
      <c r="AW547" s="802"/>
      <c r="AX547" s="802"/>
      <c r="AY547" s="802"/>
      <c r="AZ547" s="802"/>
      <c r="BA547" s="802"/>
    </row>
    <row r="548" spans="1:53" s="803" customFormat="1" ht="12.75" customHeight="1" x14ac:dyDescent="0.25">
      <c r="A548" s="1122"/>
      <c r="B548" s="754" t="s">
        <v>1179</v>
      </c>
      <c r="C548" s="784">
        <v>3.6</v>
      </c>
      <c r="D548" s="835"/>
      <c r="E548" s="767" t="s">
        <v>1444</v>
      </c>
      <c r="F548" s="768" t="s">
        <v>1443</v>
      </c>
      <c r="G548" s="769">
        <v>872</v>
      </c>
      <c r="H548" s="768">
        <v>2E-3</v>
      </c>
      <c r="I548" s="770">
        <f>G548*H548</f>
        <v>1.744</v>
      </c>
      <c r="J548" s="758"/>
      <c r="K548" s="760"/>
      <c r="L548" s="760"/>
      <c r="M548" s="760"/>
      <c r="N548" s="760"/>
      <c r="O548" s="759"/>
      <c r="P548" s="759"/>
      <c r="Q548" s="759"/>
      <c r="R548" s="759"/>
      <c r="S548" s="759"/>
      <c r="T548" s="759"/>
      <c r="U548" s="759"/>
      <c r="V548" s="759"/>
      <c r="W548" s="759"/>
      <c r="X548" s="759"/>
      <c r="Y548" s="759"/>
      <c r="Z548" s="759"/>
      <c r="AA548" s="755"/>
      <c r="AB548" s="755"/>
      <c r="AC548" s="773"/>
      <c r="AD548" s="802"/>
      <c r="AF548" s="821"/>
      <c r="AG548" s="802"/>
      <c r="AH548" s="805"/>
      <c r="AI548" s="805"/>
      <c r="AJ548" s="827"/>
      <c r="AK548" s="805"/>
      <c r="AL548" s="806"/>
      <c r="AM548" s="805"/>
      <c r="AN548" s="805"/>
      <c r="AO548" s="807"/>
      <c r="AP548" s="805"/>
      <c r="AQ548" s="805"/>
      <c r="AR548" s="807"/>
      <c r="AS548" s="807"/>
      <c r="AT548" s="805"/>
      <c r="AU548" s="805"/>
      <c r="AV548" s="807"/>
      <c r="AW548" s="802"/>
      <c r="AX548" s="802"/>
      <c r="AY548" s="802"/>
      <c r="AZ548" s="802"/>
      <c r="BA548" s="802"/>
    </row>
    <row r="549" spans="1:53" s="803" customFormat="1" ht="12.75" customHeight="1" x14ac:dyDescent="0.25">
      <c r="A549" s="1122"/>
      <c r="B549" s="782" t="s">
        <v>1181</v>
      </c>
      <c r="C549" s="837">
        <f>C544*C547+C545*C548</f>
        <v>90.812758544517223</v>
      </c>
      <c r="D549" s="835"/>
      <c r="E549" s="767"/>
      <c r="F549" s="781"/>
      <c r="G549" s="769"/>
      <c r="H549" s="768"/>
      <c r="I549" s="770"/>
      <c r="J549" s="758"/>
      <c r="K549" s="828"/>
      <c r="L549" s="760"/>
      <c r="M549" s="760"/>
      <c r="N549" s="760"/>
      <c r="O549" s="759"/>
      <c r="P549" s="759"/>
      <c r="Q549" s="759"/>
      <c r="R549" s="759"/>
      <c r="S549" s="759"/>
      <c r="T549" s="759"/>
      <c r="U549" s="759"/>
      <c r="V549" s="759"/>
      <c r="W549" s="759"/>
      <c r="X549" s="759"/>
      <c r="Y549" s="759"/>
      <c r="Z549" s="759"/>
      <c r="AA549" s="755"/>
      <c r="AB549" s="755"/>
      <c r="AC549" s="773"/>
      <c r="AD549" s="802"/>
      <c r="AF549" s="821"/>
      <c r="AG549" s="802"/>
      <c r="AH549" s="805"/>
      <c r="AI549" s="805"/>
      <c r="AJ549" s="822"/>
      <c r="AK549" s="805"/>
      <c r="AL549" s="806"/>
      <c r="AM549" s="805"/>
      <c r="AN549" s="805"/>
      <c r="AO549" s="807"/>
      <c r="AP549" s="805"/>
      <c r="AQ549" s="805"/>
      <c r="AR549" s="807"/>
      <c r="AS549" s="807"/>
      <c r="AT549" s="805"/>
      <c r="AU549" s="805"/>
      <c r="AV549" s="807"/>
      <c r="AW549" s="802"/>
      <c r="AX549" s="802"/>
      <c r="AY549" s="802"/>
      <c r="AZ549" s="802"/>
      <c r="BA549" s="802"/>
    </row>
    <row r="550" spans="1:53" s="803" customFormat="1" ht="12.75" customHeight="1" x14ac:dyDescent="0.25">
      <c r="A550" s="1122"/>
      <c r="B550" s="782"/>
      <c r="C550" s="784"/>
      <c r="D550" s="836"/>
      <c r="E550" s="754"/>
      <c r="F550" s="857"/>
      <c r="G550" s="769"/>
      <c r="H550" s="756"/>
      <c r="I550" s="770"/>
      <c r="J550" s="758"/>
      <c r="K550" s="828"/>
      <c r="L550" s="760"/>
      <c r="M550" s="760"/>
      <c r="N550" s="760"/>
      <c r="O550" s="759"/>
      <c r="P550" s="759"/>
      <c r="Q550" s="759"/>
      <c r="R550" s="759"/>
      <c r="S550" s="759"/>
      <c r="T550" s="759"/>
      <c r="U550" s="759"/>
      <c r="V550" s="759"/>
      <c r="W550" s="759"/>
      <c r="X550" s="759"/>
      <c r="Y550" s="759"/>
      <c r="Z550" s="759"/>
      <c r="AA550" s="755"/>
      <c r="AB550" s="755"/>
      <c r="AC550" s="773"/>
      <c r="AD550" s="802"/>
      <c r="AF550" s="814"/>
      <c r="AG550" s="802"/>
      <c r="AH550" s="805"/>
      <c r="AI550" s="805"/>
      <c r="AJ550" s="827"/>
      <c r="AK550" s="805"/>
      <c r="AL550" s="806"/>
      <c r="AM550" s="805"/>
      <c r="AN550" s="805"/>
      <c r="AO550" s="807"/>
      <c r="AP550" s="805"/>
      <c r="AQ550" s="805"/>
      <c r="AR550" s="807"/>
      <c r="AS550" s="807"/>
      <c r="AT550" s="805"/>
      <c r="AU550" s="805"/>
      <c r="AV550" s="807"/>
      <c r="AW550" s="802"/>
      <c r="AX550" s="802"/>
      <c r="AY550" s="802"/>
      <c r="AZ550" s="802"/>
      <c r="BA550" s="802"/>
    </row>
    <row r="551" spans="1:53" ht="12.75" customHeight="1" x14ac:dyDescent="0.25">
      <c r="A551" s="669"/>
      <c r="B551" s="670"/>
      <c r="C551" s="671"/>
      <c r="D551" s="672"/>
      <c r="E551" s="673"/>
      <c r="F551" s="674"/>
      <c r="G551" s="675"/>
      <c r="H551" s="676"/>
      <c r="I551" s="677"/>
      <c r="J551" s="678"/>
      <c r="K551" s="679"/>
      <c r="L551" s="680"/>
      <c r="M551" s="680"/>
      <c r="N551" s="680"/>
      <c r="O551" s="681"/>
      <c r="P551" s="681"/>
      <c r="Q551" s="681"/>
      <c r="R551" s="681"/>
      <c r="S551" s="681"/>
      <c r="T551" s="681"/>
      <c r="U551" s="681"/>
      <c r="V551" s="681"/>
      <c r="W551" s="681"/>
      <c r="X551" s="681"/>
      <c r="Y551" s="681"/>
      <c r="Z551" s="681"/>
      <c r="AA551" s="682"/>
      <c r="AB551" s="682"/>
      <c r="AC551" s="683"/>
      <c r="AD551" s="56"/>
      <c r="AF551" s="67"/>
      <c r="AJ551" s="146"/>
    </row>
    <row r="552" spans="1:53" ht="21" customHeight="1" x14ac:dyDescent="0.25">
      <c r="A552" s="1059" t="s">
        <v>835</v>
      </c>
      <c r="B552" s="1060"/>
      <c r="C552" s="1060"/>
      <c r="D552" s="1060"/>
      <c r="E552" s="1060"/>
      <c r="F552" s="1060"/>
      <c r="G552" s="1060"/>
      <c r="H552" s="1060"/>
      <c r="I552" s="1060"/>
      <c r="J552" s="1060"/>
      <c r="K552" s="1060"/>
      <c r="L552" s="1060"/>
      <c r="M552" s="1060"/>
      <c r="N552" s="1060"/>
      <c r="O552" s="1060"/>
      <c r="P552" s="1060"/>
      <c r="Q552" s="1060"/>
      <c r="R552" s="1060"/>
      <c r="S552" s="1060"/>
      <c r="T552" s="1060"/>
      <c r="U552" s="1060"/>
      <c r="V552" s="1060"/>
      <c r="W552" s="1060"/>
      <c r="X552" s="1060"/>
      <c r="Y552" s="1060"/>
      <c r="Z552" s="1060"/>
      <c r="AA552" s="1060"/>
      <c r="AB552" s="1060"/>
      <c r="AC552" s="1061"/>
    </row>
    <row r="553" spans="1:53" s="750" customFormat="1" ht="40.799999999999997" x14ac:dyDescent="0.25">
      <c r="A553" s="1114" t="s">
        <v>1022</v>
      </c>
      <c r="B553" s="778"/>
      <c r="C553" s="778"/>
      <c r="D553" s="1130">
        <f>C554*D5</f>
        <v>3.2723359225986468</v>
      </c>
      <c r="E553" s="791" t="s">
        <v>488</v>
      </c>
      <c r="F553" s="791" t="s">
        <v>1514</v>
      </c>
      <c r="G553" s="778" t="s">
        <v>489</v>
      </c>
      <c r="H553" s="791" t="s">
        <v>1170</v>
      </c>
      <c r="I553" s="792" t="s">
        <v>1515</v>
      </c>
      <c r="J553" s="793" t="s">
        <v>1171</v>
      </c>
      <c r="K553" s="794" t="s">
        <v>490</v>
      </c>
      <c r="L553" s="794" t="s">
        <v>489</v>
      </c>
      <c r="M553" s="793" t="s">
        <v>1172</v>
      </c>
      <c r="N553" s="794" t="s">
        <v>1515</v>
      </c>
      <c r="O553" s="793" t="s">
        <v>1171</v>
      </c>
      <c r="P553" s="793" t="s">
        <v>826</v>
      </c>
      <c r="Q553" s="793" t="s">
        <v>1173</v>
      </c>
      <c r="R553" s="793" t="s">
        <v>1174</v>
      </c>
      <c r="S553" s="793" t="s">
        <v>1516</v>
      </c>
      <c r="T553" s="793" t="s">
        <v>1171</v>
      </c>
      <c r="U553" s="793" t="s">
        <v>1392</v>
      </c>
      <c r="V553" s="795" t="s">
        <v>1173</v>
      </c>
      <c r="W553" s="793" t="s">
        <v>841</v>
      </c>
      <c r="X553" s="793" t="s">
        <v>1394</v>
      </c>
      <c r="Y553" s="793" t="s">
        <v>839</v>
      </c>
      <c r="Z553" s="796"/>
      <c r="AA553" s="755"/>
      <c r="AB553" s="755"/>
      <c r="AC553" s="755"/>
    </row>
    <row r="554" spans="1:53" s="750" customFormat="1" x14ac:dyDescent="0.25">
      <c r="A554" s="1115"/>
      <c r="B554" s="752" t="s">
        <v>1175</v>
      </c>
      <c r="C554" s="778">
        <f>C561+C562</f>
        <v>16.199682785141814</v>
      </c>
      <c r="D554" s="1131"/>
      <c r="E554" s="754" t="s">
        <v>1176</v>
      </c>
      <c r="F554" s="755"/>
      <c r="G554" s="756"/>
      <c r="H554" s="756"/>
      <c r="I554" s="757">
        <f>I555+I556+I557+I558+I559+I560</f>
        <v>6.5736000000000008</v>
      </c>
      <c r="J554" s="758" t="s">
        <v>1176</v>
      </c>
      <c r="K554" s="759"/>
      <c r="L554" s="759"/>
      <c r="M554" s="759"/>
      <c r="N554" s="760">
        <f>SUM(N555:N562)</f>
        <v>0.1125614689043594</v>
      </c>
      <c r="O554" s="759"/>
      <c r="P554" s="759"/>
      <c r="Q554" s="759"/>
      <c r="R554" s="759"/>
      <c r="S554" s="759">
        <f>S555+S556</f>
        <v>0.14630511630057816</v>
      </c>
      <c r="T554" s="759" t="s">
        <v>1176</v>
      </c>
      <c r="U554" s="756"/>
      <c r="V554" s="761"/>
      <c r="W554" s="755"/>
      <c r="X554" s="760"/>
      <c r="Y554" s="760">
        <f>SUM(Y555:Y562)</f>
        <v>6.1012255539724372</v>
      </c>
      <c r="Z554" s="762">
        <f>(C554+D554+I554+N554+Y554+S554)*$Z$5</f>
        <v>37.878855526175883</v>
      </c>
      <c r="AA554" s="763">
        <f>C554+D554+I554+N554+S554+Y554+Z554+D553</f>
        <v>70.284566373093725</v>
      </c>
      <c r="AB554" s="764">
        <v>0.25</v>
      </c>
      <c r="AC554" s="765">
        <f>AA554*(1+AB554)</f>
        <v>87.855707966367163</v>
      </c>
    </row>
    <row r="555" spans="1:53" s="750" customFormat="1" x14ac:dyDescent="0.25">
      <c r="A555" s="1115"/>
      <c r="B555" s="766" t="s">
        <v>1177</v>
      </c>
      <c r="C555" s="778"/>
      <c r="D555" s="1131"/>
      <c r="E555" s="767" t="s">
        <v>1437</v>
      </c>
      <c r="F555" s="768" t="s">
        <v>1438</v>
      </c>
      <c r="G555" s="769">
        <v>0.74</v>
      </c>
      <c r="H555" s="768">
        <v>0.01</v>
      </c>
      <c r="I555" s="770">
        <f t="shared" ref="I555:I559" si="28">G555*H555</f>
        <v>7.4000000000000003E-3</v>
      </c>
      <c r="J555" s="758" t="s">
        <v>1291</v>
      </c>
      <c r="K555" s="771">
        <v>2</v>
      </c>
      <c r="L555" s="772">
        <v>750</v>
      </c>
      <c r="M555" s="771">
        <v>2</v>
      </c>
      <c r="N555" s="786">
        <f>L555*2/'Исп. коэффициенты'!E49*(C559+C560)</f>
        <v>9.9173100356263783E-2</v>
      </c>
      <c r="O555" s="759" t="s">
        <v>1667</v>
      </c>
      <c r="P555" s="759">
        <v>4500</v>
      </c>
      <c r="Q555" s="759">
        <v>19.670000000000002</v>
      </c>
      <c r="R555" s="759">
        <f>P555*Q555%</f>
        <v>885.15000000000009</v>
      </c>
      <c r="S555" s="787">
        <f>R555/'Исп. коэффициенты'!E49*(C559+C560)</f>
        <v>5.8522046520231262E-2</v>
      </c>
      <c r="T555" s="762"/>
      <c r="U555" s="756">
        <v>6785401.3499999996</v>
      </c>
      <c r="V555" s="785">
        <f>'Исп. коэффициенты'!E124</f>
        <v>2978.5</v>
      </c>
      <c r="W555" s="761">
        <f>'Исп. коэффициенты'!D124</f>
        <v>1.3599999999999999E-2</v>
      </c>
      <c r="X555" s="760">
        <f>U555*W555</f>
        <v>92281.45835999999</v>
      </c>
      <c r="Y555" s="759">
        <f>X555/'Исп. коэффициенты'!E49*(C559+C560)</f>
        <v>6.1012255539724372</v>
      </c>
      <c r="Z555" s="759"/>
      <c r="AA555" s="755"/>
      <c r="AB555" s="755"/>
      <c r="AC555" s="773"/>
    </row>
    <row r="556" spans="1:53" s="750" customFormat="1" x14ac:dyDescent="0.25">
      <c r="A556" s="1115"/>
      <c r="B556" s="774" t="s">
        <v>1178</v>
      </c>
      <c r="C556" s="753"/>
      <c r="D556" s="1131"/>
      <c r="E556" s="767" t="s">
        <v>1439</v>
      </c>
      <c r="F556" s="768" t="s">
        <v>1438</v>
      </c>
      <c r="G556" s="769">
        <v>0.27</v>
      </c>
      <c r="H556" s="768">
        <v>0.01</v>
      </c>
      <c r="I556" s="775">
        <f t="shared" si="28"/>
        <v>2.7000000000000001E-3</v>
      </c>
      <c r="J556" s="758" t="s">
        <v>1445</v>
      </c>
      <c r="K556" s="760">
        <v>2</v>
      </c>
      <c r="L556" s="776">
        <v>95</v>
      </c>
      <c r="M556" s="771">
        <v>2</v>
      </c>
      <c r="N556" s="786">
        <f>L556*2/'Исп. коэффициенты'!E49*(C559+C560)</f>
        <v>1.2561926045126745E-2</v>
      </c>
      <c r="O556" s="759" t="s">
        <v>1668</v>
      </c>
      <c r="P556" s="759">
        <v>6750</v>
      </c>
      <c r="Q556" s="759">
        <v>19.670000000000002</v>
      </c>
      <c r="R556" s="759">
        <f>P556*Q556%</f>
        <v>1327.7250000000001</v>
      </c>
      <c r="S556" s="787">
        <f>R556/'Исп. коэффициенты'!E49*(C559+C560)</f>
        <v>8.778306978034689E-2</v>
      </c>
      <c r="T556" s="762"/>
      <c r="U556" s="759"/>
      <c r="V556" s="759"/>
      <c r="W556" s="777"/>
      <c r="X556" s="759"/>
      <c r="Y556" s="759"/>
      <c r="Z556" s="759"/>
      <c r="AA556" s="755"/>
      <c r="AB556" s="755"/>
      <c r="AC556" s="773"/>
    </row>
    <row r="557" spans="1:53" s="750" customFormat="1" x14ac:dyDescent="0.25">
      <c r="A557" s="1115"/>
      <c r="B557" s="754" t="s">
        <v>1179</v>
      </c>
      <c r="C557" s="778">
        <f>'Заработная плата'!M132</f>
        <v>23.142403978774023</v>
      </c>
      <c r="D557" s="1131"/>
      <c r="E557" s="767" t="s">
        <v>1440</v>
      </c>
      <c r="F557" s="768" t="s">
        <v>1441</v>
      </c>
      <c r="G557" s="769">
        <v>4.4000000000000004</v>
      </c>
      <c r="H557" s="779">
        <v>1</v>
      </c>
      <c r="I557" s="770">
        <f t="shared" si="28"/>
        <v>4.4000000000000004</v>
      </c>
      <c r="J557" s="758" t="s">
        <v>1513</v>
      </c>
      <c r="K557" s="760">
        <v>2</v>
      </c>
      <c r="L557" s="760">
        <v>25</v>
      </c>
      <c r="M557" s="771">
        <v>0.5</v>
      </c>
      <c r="N557" s="786">
        <f>L557*0.5/'Исп. коэффициенты'!E49*(C559+C560)</f>
        <v>8.2644250296886484E-4</v>
      </c>
      <c r="O557" s="759"/>
      <c r="P557" s="759"/>
      <c r="Q557" s="759"/>
      <c r="R557" s="759"/>
      <c r="S557" s="787"/>
      <c r="T557" s="762"/>
      <c r="U557" s="759"/>
      <c r="V557" s="759"/>
      <c r="W557" s="777"/>
      <c r="X557" s="759"/>
      <c r="Y557" s="759"/>
      <c r="Z557" s="759"/>
      <c r="AA557" s="755"/>
      <c r="AB557" s="755"/>
      <c r="AC557" s="773"/>
    </row>
    <row r="558" spans="1:53" s="750" customFormat="1" x14ac:dyDescent="0.25">
      <c r="A558" s="1115"/>
      <c r="B558" s="754" t="s">
        <v>1180</v>
      </c>
      <c r="C558" s="789"/>
      <c r="D558" s="1131"/>
      <c r="E558" s="767" t="s">
        <v>1442</v>
      </c>
      <c r="F558" s="768" t="s">
        <v>1443</v>
      </c>
      <c r="G558" s="769">
        <v>419.5</v>
      </c>
      <c r="H558" s="768">
        <v>1E-3</v>
      </c>
      <c r="I558" s="770">
        <f t="shared" si="28"/>
        <v>0.41949999999999998</v>
      </c>
      <c r="J558" s="758"/>
      <c r="K558" s="760"/>
      <c r="L558" s="760"/>
      <c r="M558" s="760"/>
      <c r="N558" s="760"/>
      <c r="O558" s="759"/>
      <c r="P558" s="759"/>
      <c r="Q558" s="759"/>
      <c r="R558" s="759"/>
      <c r="S558" s="759"/>
      <c r="T558" s="759"/>
      <c r="U558" s="759"/>
      <c r="V558" s="759"/>
      <c r="W558" s="777"/>
      <c r="X558" s="759"/>
      <c r="Y558" s="759"/>
      <c r="Z558" s="759"/>
      <c r="AA558" s="755"/>
      <c r="AB558" s="755"/>
      <c r="AC558" s="773"/>
    </row>
    <row r="559" spans="1:53" s="750" customFormat="1" x14ac:dyDescent="0.25">
      <c r="A559" s="1115"/>
      <c r="B559" s="774" t="s">
        <v>1178</v>
      </c>
      <c r="C559" s="784"/>
      <c r="D559" s="1131"/>
      <c r="E559" s="767" t="s">
        <v>1444</v>
      </c>
      <c r="F559" s="768" t="s">
        <v>1443</v>
      </c>
      <c r="G559" s="769">
        <v>872</v>
      </c>
      <c r="H559" s="768">
        <v>2E-3</v>
      </c>
      <c r="I559" s="770">
        <f t="shared" si="28"/>
        <v>1.744</v>
      </c>
      <c r="J559" s="758"/>
      <c r="K559" s="760"/>
      <c r="L559" s="760"/>
      <c r="M559" s="760"/>
      <c r="N559" s="760"/>
      <c r="O559" s="759"/>
      <c r="P559" s="759"/>
      <c r="Q559" s="759"/>
      <c r="R559" s="759"/>
      <c r="S559" s="759"/>
      <c r="T559" s="759"/>
      <c r="U559" s="759"/>
      <c r="V559" s="759"/>
      <c r="W559" s="777"/>
      <c r="X559" s="759"/>
      <c r="Y559" s="759"/>
      <c r="Z559" s="759"/>
      <c r="AA559" s="755"/>
      <c r="AB559" s="755"/>
      <c r="AC559" s="773"/>
    </row>
    <row r="560" spans="1:53" s="750" customFormat="1" x14ac:dyDescent="0.25">
      <c r="A560" s="1115"/>
      <c r="B560" s="754" t="s">
        <v>1179</v>
      </c>
      <c r="C560" s="784">
        <v>0.7</v>
      </c>
      <c r="D560" s="1131"/>
      <c r="E560" s="754"/>
      <c r="F560" s="756"/>
      <c r="G560" s="756"/>
      <c r="H560" s="756"/>
      <c r="I560" s="755"/>
      <c r="J560" s="758"/>
      <c r="K560" s="760"/>
      <c r="L560" s="772"/>
      <c r="M560" s="771"/>
      <c r="N560" s="760"/>
      <c r="O560" s="759"/>
      <c r="P560" s="759"/>
      <c r="Q560" s="759"/>
      <c r="R560" s="759"/>
      <c r="S560" s="759"/>
      <c r="T560" s="759"/>
      <c r="U560" s="759"/>
      <c r="V560" s="759"/>
      <c r="W560" s="777"/>
      <c r="X560" s="759"/>
      <c r="Y560" s="759"/>
      <c r="Z560" s="759"/>
      <c r="AA560" s="755"/>
      <c r="AB560" s="755"/>
      <c r="AC560" s="773"/>
    </row>
    <row r="561" spans="1:29" s="750" customFormat="1" x14ac:dyDescent="0.25">
      <c r="A561" s="1115"/>
      <c r="B561" s="782" t="s">
        <v>1181</v>
      </c>
      <c r="C561" s="778">
        <f>C556*C559+C557*C560</f>
        <v>16.199682785141814</v>
      </c>
      <c r="D561" s="1131"/>
      <c r="E561" s="767"/>
      <c r="F561" s="768"/>
      <c r="G561" s="756"/>
      <c r="H561" s="756"/>
      <c r="I561" s="755"/>
      <c r="J561" s="758"/>
      <c r="K561" s="760"/>
      <c r="L561" s="776"/>
      <c r="M561" s="771"/>
      <c r="N561" s="760"/>
      <c r="O561" s="759"/>
      <c r="P561" s="759"/>
      <c r="Q561" s="759"/>
      <c r="R561" s="759"/>
      <c r="S561" s="759"/>
      <c r="T561" s="759"/>
      <c r="U561" s="759"/>
      <c r="V561" s="759"/>
      <c r="W561" s="777"/>
      <c r="X561" s="759"/>
      <c r="Y561" s="759"/>
      <c r="Z561" s="759"/>
      <c r="AA561" s="755"/>
      <c r="AB561" s="755"/>
      <c r="AC561" s="773"/>
    </row>
    <row r="562" spans="1:29" s="750" customFormat="1" x14ac:dyDescent="0.25">
      <c r="A562" s="1116"/>
      <c r="B562" s="783"/>
      <c r="C562" s="784"/>
      <c r="D562" s="1132"/>
      <c r="E562" s="767"/>
      <c r="F562" s="768"/>
      <c r="G562" s="769"/>
      <c r="H562" s="768"/>
      <c r="I562" s="770"/>
      <c r="J562" s="758"/>
      <c r="K562" s="760"/>
      <c r="L562" s="760"/>
      <c r="M562" s="771"/>
      <c r="N562" s="760"/>
      <c r="O562" s="759"/>
      <c r="P562" s="759"/>
      <c r="Q562" s="759"/>
      <c r="R562" s="759"/>
      <c r="S562" s="759"/>
      <c r="T562" s="759"/>
      <c r="U562" s="759"/>
      <c r="V562" s="759"/>
      <c r="W562" s="777"/>
      <c r="X562" s="759"/>
      <c r="Y562" s="759"/>
      <c r="Z562" s="759"/>
      <c r="AA562" s="755"/>
      <c r="AB562" s="755"/>
      <c r="AC562" s="773"/>
    </row>
    <row r="563" spans="1:29" s="750" customFormat="1" x14ac:dyDescent="0.25">
      <c r="A563" s="1114" t="s">
        <v>1672</v>
      </c>
      <c r="B563" s="752" t="s">
        <v>1175</v>
      </c>
      <c r="C563" s="753">
        <f>C570</f>
        <v>34.713605968161033</v>
      </c>
      <c r="D563" s="1123">
        <f>C563*D5</f>
        <v>7.0121484055685288</v>
      </c>
      <c r="E563" s="754" t="s">
        <v>1176</v>
      </c>
      <c r="F563" s="755"/>
      <c r="G563" s="756"/>
      <c r="H563" s="756"/>
      <c r="I563" s="757">
        <f>I564+I565+I566+I568+I567+I569</f>
        <v>6.5736300000000005</v>
      </c>
      <c r="J563" s="758" t="s">
        <v>1176</v>
      </c>
      <c r="K563" s="759"/>
      <c r="L563" s="759"/>
      <c r="M563" s="759"/>
      <c r="N563" s="786">
        <f>SUM(N564:N571)</f>
        <v>0.24120314765219872</v>
      </c>
      <c r="O563" s="759"/>
      <c r="P563" s="759"/>
      <c r="Q563" s="759"/>
      <c r="R563" s="759"/>
      <c r="S563" s="759">
        <f>S564+S565</f>
        <v>0.31351096350123886</v>
      </c>
      <c r="T563" s="755" t="s">
        <v>1435</v>
      </c>
      <c r="U563" s="756"/>
      <c r="V563" s="761"/>
      <c r="W563" s="755"/>
      <c r="X563" s="760"/>
      <c r="Y563" s="760">
        <f>SUM(Y564:Y571)</f>
        <v>13.074054758512366</v>
      </c>
      <c r="Z563" s="762">
        <f>(C563+D563+I563+N563+Y563+S563)*$Z$5</f>
        <v>80.518222684571825</v>
      </c>
      <c r="AA563" s="763">
        <f>C563+D563+I563+N563+S563+Y563+Z563</f>
        <v>142.44637592796721</v>
      </c>
      <c r="AB563" s="764">
        <v>0.25</v>
      </c>
      <c r="AC563" s="765">
        <f>AA563*(1+AB563)</f>
        <v>178.05796990995901</v>
      </c>
    </row>
    <row r="564" spans="1:29" s="750" customFormat="1" x14ac:dyDescent="0.25">
      <c r="A564" s="1115"/>
      <c r="B564" s="766" t="s">
        <v>1177</v>
      </c>
      <c r="C564" s="753"/>
      <c r="D564" s="1124"/>
      <c r="E564" s="767" t="s">
        <v>1437</v>
      </c>
      <c r="F564" s="768" t="s">
        <v>1438</v>
      </c>
      <c r="G564" s="769">
        <v>0.74</v>
      </c>
      <c r="H564" s="768">
        <v>0.01</v>
      </c>
      <c r="I564" s="770">
        <f t="shared" ref="I564:I568" si="29">G564*H564</f>
        <v>7.4000000000000003E-3</v>
      </c>
      <c r="J564" s="758" t="s">
        <v>1291</v>
      </c>
      <c r="K564" s="771">
        <v>2</v>
      </c>
      <c r="L564" s="772">
        <v>750</v>
      </c>
      <c r="M564" s="771">
        <v>2</v>
      </c>
      <c r="N564" s="786">
        <f>L564*2/'Исп. коэффициенты'!E49*(C568+C569)</f>
        <v>0.21251378647770811</v>
      </c>
      <c r="O564" s="759" t="s">
        <v>1667</v>
      </c>
      <c r="P564" s="759">
        <v>4500</v>
      </c>
      <c r="Q564" s="759">
        <v>19.670000000000002</v>
      </c>
      <c r="R564" s="759">
        <f>P564*Q564%</f>
        <v>885.15000000000009</v>
      </c>
      <c r="S564" s="787">
        <f>R564/'Исп. коэффициенты'!E49*(C568+C569)</f>
        <v>0.12540438540049556</v>
      </c>
      <c r="T564" s="762"/>
      <c r="U564" s="756">
        <v>6785401.3499999996</v>
      </c>
      <c r="V564" s="785">
        <f>'Исп. коэффициенты'!E124</f>
        <v>2978.5</v>
      </c>
      <c r="W564" s="761">
        <f>'Исп. коэффициенты'!D124</f>
        <v>1.3599999999999999E-2</v>
      </c>
      <c r="X564" s="760">
        <f>U564*W564</f>
        <v>92281.45835999999</v>
      </c>
      <c r="Y564" s="759">
        <f>X564/'Исп. коэффициенты'!E49*(C568+C569)</f>
        <v>13.074054758512366</v>
      </c>
      <c r="Z564" s="759"/>
      <c r="AA564" s="755"/>
      <c r="AB564" s="755"/>
      <c r="AC564" s="773"/>
    </row>
    <row r="565" spans="1:29" s="750" customFormat="1" x14ac:dyDescent="0.25">
      <c r="A565" s="1115"/>
      <c r="B565" s="774" t="s">
        <v>1178</v>
      </c>
      <c r="C565" s="753"/>
      <c r="D565" s="1124"/>
      <c r="E565" s="767" t="s">
        <v>1439</v>
      </c>
      <c r="F565" s="768" t="s">
        <v>1438</v>
      </c>
      <c r="G565" s="769">
        <v>0.27300000000000002</v>
      </c>
      <c r="H565" s="768">
        <v>0.01</v>
      </c>
      <c r="I565" s="775">
        <f t="shared" si="29"/>
        <v>2.7300000000000002E-3</v>
      </c>
      <c r="J565" s="758" t="s">
        <v>1445</v>
      </c>
      <c r="K565" s="760">
        <v>2</v>
      </c>
      <c r="L565" s="776">
        <v>95</v>
      </c>
      <c r="M565" s="771">
        <v>2</v>
      </c>
      <c r="N565" s="786">
        <f>L565*2/'Исп. коэффициенты'!E49*(C568+C569)</f>
        <v>2.6918412953843028E-2</v>
      </c>
      <c r="O565" s="759" t="s">
        <v>1668</v>
      </c>
      <c r="P565" s="759">
        <v>6750</v>
      </c>
      <c r="Q565" s="759">
        <v>19.670000000000002</v>
      </c>
      <c r="R565" s="759">
        <f>P565*Q565%</f>
        <v>1327.7250000000001</v>
      </c>
      <c r="S565" s="787">
        <f>R565/'Исп. коэффициенты'!E49*(C568+C569)</f>
        <v>0.18810657810074333</v>
      </c>
      <c r="T565" s="762"/>
      <c r="U565" s="759"/>
      <c r="V565" s="759"/>
      <c r="W565" s="777"/>
      <c r="X565" s="759"/>
      <c r="Y565" s="759"/>
      <c r="Z565" s="759"/>
      <c r="AA565" s="755"/>
      <c r="AB565" s="755"/>
      <c r="AC565" s="773"/>
    </row>
    <row r="566" spans="1:29" s="750" customFormat="1" x14ac:dyDescent="0.25">
      <c r="A566" s="1115"/>
      <c r="B566" s="754" t="s">
        <v>1179</v>
      </c>
      <c r="C566" s="753">
        <f>C557</f>
        <v>23.142403978774023</v>
      </c>
      <c r="D566" s="1124"/>
      <c r="E566" s="767" t="s">
        <v>1440</v>
      </c>
      <c r="F566" s="768" t="s">
        <v>1441</v>
      </c>
      <c r="G566" s="769">
        <v>4.4000000000000004</v>
      </c>
      <c r="H566" s="779">
        <v>1</v>
      </c>
      <c r="I566" s="770">
        <f t="shared" si="29"/>
        <v>4.4000000000000004</v>
      </c>
      <c r="J566" s="758" t="s">
        <v>1513</v>
      </c>
      <c r="K566" s="760">
        <v>2</v>
      </c>
      <c r="L566" s="760">
        <v>25</v>
      </c>
      <c r="M566" s="771">
        <v>0.5</v>
      </c>
      <c r="N566" s="786">
        <f>L566*0.5/'Исп. коэффициенты'!E49*(C568+C569)</f>
        <v>1.7709482206475675E-3</v>
      </c>
      <c r="O566" s="759"/>
      <c r="P566" s="759"/>
      <c r="Q566" s="759"/>
      <c r="R566" s="759"/>
      <c r="S566" s="787"/>
      <c r="T566" s="762"/>
      <c r="U566" s="759"/>
      <c r="V566" s="759"/>
      <c r="W566" s="777"/>
      <c r="X566" s="759"/>
      <c r="Y566" s="759"/>
      <c r="Z566" s="759"/>
      <c r="AA566" s="755"/>
      <c r="AB566" s="755"/>
      <c r="AC566" s="773"/>
    </row>
    <row r="567" spans="1:29" s="750" customFormat="1" x14ac:dyDescent="0.25">
      <c r="A567" s="1115"/>
      <c r="B567" s="754" t="s">
        <v>1180</v>
      </c>
      <c r="C567" s="753"/>
      <c r="D567" s="1124"/>
      <c r="E567" s="767" t="s">
        <v>1442</v>
      </c>
      <c r="F567" s="768" t="s">
        <v>1443</v>
      </c>
      <c r="G567" s="769">
        <v>419.5</v>
      </c>
      <c r="H567" s="768">
        <v>1E-3</v>
      </c>
      <c r="I567" s="770">
        <f t="shared" si="29"/>
        <v>0.41949999999999998</v>
      </c>
      <c r="J567" s="758"/>
      <c r="K567" s="760"/>
      <c r="L567" s="760"/>
      <c r="M567" s="771"/>
      <c r="N567" s="760"/>
      <c r="O567" s="759"/>
      <c r="P567" s="759"/>
      <c r="Q567" s="759"/>
      <c r="R567" s="759"/>
      <c r="S567" s="759"/>
      <c r="T567" s="762"/>
      <c r="U567" s="759"/>
      <c r="V567" s="759"/>
      <c r="W567" s="777"/>
      <c r="X567" s="759"/>
      <c r="Y567" s="759"/>
      <c r="Z567" s="759"/>
      <c r="AA567" s="755"/>
      <c r="AB567" s="755"/>
      <c r="AC567" s="773"/>
    </row>
    <row r="568" spans="1:29" s="750" customFormat="1" x14ac:dyDescent="0.25">
      <c r="A568" s="1115"/>
      <c r="B568" s="774" t="s">
        <v>1178</v>
      </c>
      <c r="C568" s="753"/>
      <c r="D568" s="1124"/>
      <c r="E568" s="767" t="s">
        <v>1444</v>
      </c>
      <c r="F568" s="768" t="s">
        <v>1443</v>
      </c>
      <c r="G568" s="769">
        <v>872</v>
      </c>
      <c r="H568" s="768">
        <v>2E-3</v>
      </c>
      <c r="I568" s="770">
        <f t="shared" si="29"/>
        <v>1.744</v>
      </c>
      <c r="J568" s="758"/>
      <c r="K568" s="760"/>
      <c r="L568" s="760"/>
      <c r="M568" s="771"/>
      <c r="N568" s="760"/>
      <c r="O568" s="759"/>
      <c r="P568" s="759"/>
      <c r="Q568" s="759"/>
      <c r="R568" s="759"/>
      <c r="S568" s="759"/>
      <c r="T568" s="762"/>
      <c r="U568" s="759"/>
      <c r="V568" s="759"/>
      <c r="W568" s="777"/>
      <c r="X568" s="759"/>
      <c r="Y568" s="759"/>
      <c r="Z568" s="759"/>
      <c r="AA568" s="755"/>
      <c r="AB568" s="755"/>
      <c r="AC568" s="773"/>
    </row>
    <row r="569" spans="1:29" s="750" customFormat="1" x14ac:dyDescent="0.25">
      <c r="A569" s="1115"/>
      <c r="B569" s="754" t="s">
        <v>1179</v>
      </c>
      <c r="C569" s="753">
        <v>1.5</v>
      </c>
      <c r="D569" s="1124"/>
      <c r="E569" s="754"/>
      <c r="F569" s="756"/>
      <c r="G569" s="756"/>
      <c r="H569" s="756"/>
      <c r="I569" s="755"/>
      <c r="J569" s="758"/>
      <c r="K569" s="760"/>
      <c r="L569" s="760"/>
      <c r="M569" s="771"/>
      <c r="N569" s="760"/>
      <c r="O569" s="759"/>
      <c r="P569" s="759"/>
      <c r="Q569" s="759"/>
      <c r="R569" s="759"/>
      <c r="S569" s="759"/>
      <c r="T569" s="762"/>
      <c r="U569" s="759"/>
      <c r="V569" s="759"/>
      <c r="W569" s="777"/>
      <c r="X569" s="759"/>
      <c r="Y569" s="759"/>
      <c r="Z569" s="759"/>
      <c r="AA569" s="755"/>
      <c r="AB569" s="755"/>
      <c r="AC569" s="773"/>
    </row>
    <row r="570" spans="1:29" s="750" customFormat="1" x14ac:dyDescent="0.25">
      <c r="A570" s="1115"/>
      <c r="B570" s="782" t="s">
        <v>1181</v>
      </c>
      <c r="C570" s="753">
        <f>C565*C568+C566*C569</f>
        <v>34.713605968161033</v>
      </c>
      <c r="D570" s="1125"/>
      <c r="E570" s="767"/>
      <c r="F570" s="768"/>
      <c r="G570" s="769"/>
      <c r="H570" s="768"/>
      <c r="I570" s="770"/>
      <c r="J570" s="758"/>
      <c r="K570" s="760"/>
      <c r="L570" s="760"/>
      <c r="M570" s="771"/>
      <c r="N570" s="760"/>
      <c r="O570" s="759"/>
      <c r="P570" s="759"/>
      <c r="Q570" s="759"/>
      <c r="R570" s="759"/>
      <c r="S570" s="759"/>
      <c r="T570" s="762"/>
      <c r="U570" s="759"/>
      <c r="V570" s="759"/>
      <c r="W570" s="777"/>
      <c r="X570" s="759"/>
      <c r="Y570" s="759"/>
      <c r="Z570" s="759"/>
      <c r="AA570" s="755"/>
      <c r="AB570" s="755"/>
      <c r="AC570" s="773"/>
    </row>
    <row r="571" spans="1:29" s="750" customFormat="1" x14ac:dyDescent="0.25">
      <c r="A571" s="1116"/>
      <c r="B571" s="783"/>
      <c r="C571" s="784"/>
      <c r="D571" s="778"/>
      <c r="E571" s="767"/>
      <c r="F571" s="768"/>
      <c r="G571" s="769"/>
      <c r="H571" s="768"/>
      <c r="I571" s="770"/>
      <c r="J571" s="758"/>
      <c r="K571" s="760"/>
      <c r="L571" s="760"/>
      <c r="M571" s="771"/>
      <c r="N571" s="760"/>
      <c r="O571" s="759"/>
      <c r="P571" s="759"/>
      <c r="Q571" s="759"/>
      <c r="R571" s="759"/>
      <c r="S571" s="759"/>
      <c r="T571" s="762"/>
      <c r="U571" s="759"/>
      <c r="V571" s="759"/>
      <c r="W571" s="777"/>
      <c r="X571" s="759"/>
      <c r="Y571" s="759"/>
      <c r="Z571" s="759"/>
      <c r="AA571" s="755"/>
      <c r="AB571" s="755"/>
      <c r="AC571" s="773"/>
    </row>
    <row r="572" spans="1:29" s="750" customFormat="1" x14ac:dyDescent="0.25">
      <c r="A572" s="1114" t="s">
        <v>1669</v>
      </c>
      <c r="B572" s="752" t="s">
        <v>1175</v>
      </c>
      <c r="C572" s="778">
        <f>C579+C580</f>
        <v>34.713605968161033</v>
      </c>
      <c r="D572" s="1127">
        <f>C572*D5</f>
        <v>7.0121484055685288</v>
      </c>
      <c r="E572" s="754" t="s">
        <v>1176</v>
      </c>
      <c r="F572" s="755"/>
      <c r="G572" s="756"/>
      <c r="H572" s="756"/>
      <c r="I572" s="757">
        <f>I573+I574+I575+I576+I577+I578</f>
        <v>9.9736000000000011</v>
      </c>
      <c r="J572" s="758" t="s">
        <v>1176</v>
      </c>
      <c r="K572" s="759"/>
      <c r="L572" s="759"/>
      <c r="M572" s="759"/>
      <c r="N572" s="786">
        <f>SUM(N573:N580)</f>
        <v>0.24120314765219872</v>
      </c>
      <c r="O572" s="759"/>
      <c r="P572" s="759"/>
      <c r="Q572" s="759"/>
      <c r="R572" s="759"/>
      <c r="S572" s="759">
        <f>S573+S574</f>
        <v>0.31351096350123886</v>
      </c>
      <c r="T572" s="755" t="s">
        <v>1435</v>
      </c>
      <c r="U572" s="756"/>
      <c r="V572" s="761"/>
      <c r="W572" s="755"/>
      <c r="X572" s="760"/>
      <c r="Y572" s="760">
        <f>SUM(Y573:Y580)</f>
        <v>13.074054758512366</v>
      </c>
      <c r="Z572" s="762">
        <f>(C572+D572+I572+N572+Y572+S572)*$Z$5</f>
        <v>84.938821834443289</v>
      </c>
      <c r="AA572" s="763">
        <f>C572+D572+I572+N572+S572+Y572+Z572</f>
        <v>150.26694507783867</v>
      </c>
      <c r="AB572" s="764">
        <v>0.25</v>
      </c>
      <c r="AC572" s="765">
        <f>AA572*(1+AB572)</f>
        <v>187.83368134729835</v>
      </c>
    </row>
    <row r="573" spans="1:29" s="750" customFormat="1" x14ac:dyDescent="0.25">
      <c r="A573" s="1128"/>
      <c r="B573" s="766" t="s">
        <v>1177</v>
      </c>
      <c r="C573" s="778"/>
      <c r="D573" s="1127"/>
      <c r="E573" s="767" t="s">
        <v>1437</v>
      </c>
      <c r="F573" s="768" t="s">
        <v>1438</v>
      </c>
      <c r="G573" s="769">
        <v>0.74</v>
      </c>
      <c r="H573" s="768">
        <v>0.01</v>
      </c>
      <c r="I573" s="770">
        <f t="shared" ref="I573:I578" si="30">G573*H573</f>
        <v>7.4000000000000003E-3</v>
      </c>
      <c r="J573" s="758" t="s">
        <v>1291</v>
      </c>
      <c r="K573" s="771">
        <v>2</v>
      </c>
      <c r="L573" s="772">
        <v>750</v>
      </c>
      <c r="M573" s="771">
        <v>2</v>
      </c>
      <c r="N573" s="786">
        <f>L573*2/'Исп. коэффициенты'!E49*(C577+C578)</f>
        <v>0.21251378647770811</v>
      </c>
      <c r="O573" s="759" t="s">
        <v>1667</v>
      </c>
      <c r="P573" s="759">
        <v>4500</v>
      </c>
      <c r="Q573" s="759">
        <v>19.670000000000002</v>
      </c>
      <c r="R573" s="759">
        <f>P573*Q573%</f>
        <v>885.15000000000009</v>
      </c>
      <c r="S573" s="787">
        <f>R573/'Исп. коэффициенты'!E49*(C577+C578)</f>
        <v>0.12540438540049556</v>
      </c>
      <c r="T573" s="762"/>
      <c r="U573" s="756">
        <v>6785401.3499999996</v>
      </c>
      <c r="V573" s="785">
        <f>'Исп. коэффициенты'!E124</f>
        <v>2978.5</v>
      </c>
      <c r="W573" s="761">
        <f>'Исп. коэффициенты'!D124</f>
        <v>1.3599999999999999E-2</v>
      </c>
      <c r="X573" s="760">
        <f>U573*W573</f>
        <v>92281.45835999999</v>
      </c>
      <c r="Y573" s="759">
        <f>X573/'Исп. коэффициенты'!E49*(C577+C578)</f>
        <v>13.074054758512366</v>
      </c>
      <c r="Z573" s="759"/>
      <c r="AA573" s="755"/>
      <c r="AB573" s="755"/>
      <c r="AC573" s="773"/>
    </row>
    <row r="574" spans="1:29" s="750" customFormat="1" x14ac:dyDescent="0.25">
      <c r="A574" s="1128"/>
      <c r="B574" s="774" t="s">
        <v>1178</v>
      </c>
      <c r="C574" s="753"/>
      <c r="D574" s="1127"/>
      <c r="E574" s="767" t="s">
        <v>1439</v>
      </c>
      <c r="F574" s="768" t="s">
        <v>1438</v>
      </c>
      <c r="G574" s="769">
        <v>0.27</v>
      </c>
      <c r="H574" s="768">
        <v>0.01</v>
      </c>
      <c r="I574" s="775">
        <f t="shared" si="30"/>
        <v>2.7000000000000001E-3</v>
      </c>
      <c r="J574" s="758" t="s">
        <v>1445</v>
      </c>
      <c r="K574" s="760">
        <v>2</v>
      </c>
      <c r="L574" s="776">
        <v>95</v>
      </c>
      <c r="M574" s="771">
        <v>2</v>
      </c>
      <c r="N574" s="786">
        <f>L574*2/'Исп. коэффициенты'!E49*(C577+C578)</f>
        <v>2.6918412953843028E-2</v>
      </c>
      <c r="O574" s="759" t="s">
        <v>1668</v>
      </c>
      <c r="P574" s="759">
        <v>6750</v>
      </c>
      <c r="Q574" s="759">
        <v>19.670000000000002</v>
      </c>
      <c r="R574" s="759">
        <f>P574*Q574%</f>
        <v>1327.7250000000001</v>
      </c>
      <c r="S574" s="787">
        <f>R574/'Исп. коэффициенты'!E49*(C577+C578)</f>
        <v>0.18810657810074333</v>
      </c>
      <c r="T574" s="762"/>
      <c r="U574" s="759"/>
      <c r="V574" s="759"/>
      <c r="W574" s="777"/>
      <c r="X574" s="759"/>
      <c r="Y574" s="759"/>
      <c r="Z574" s="759"/>
      <c r="AA574" s="755"/>
      <c r="AB574" s="755"/>
      <c r="AC574" s="773"/>
    </row>
    <row r="575" spans="1:29" s="750" customFormat="1" x14ac:dyDescent="0.25">
      <c r="A575" s="1128"/>
      <c r="B575" s="754" t="s">
        <v>1179</v>
      </c>
      <c r="C575" s="778">
        <f>C566</f>
        <v>23.142403978774023</v>
      </c>
      <c r="D575" s="1127"/>
      <c r="E575" s="767" t="s">
        <v>1440</v>
      </c>
      <c r="F575" s="768" t="s">
        <v>1441</v>
      </c>
      <c r="G575" s="769">
        <v>4.4000000000000004</v>
      </c>
      <c r="H575" s="779">
        <v>1</v>
      </c>
      <c r="I575" s="770">
        <f t="shared" si="30"/>
        <v>4.4000000000000004</v>
      </c>
      <c r="J575" s="758" t="s">
        <v>1513</v>
      </c>
      <c r="K575" s="760">
        <v>2</v>
      </c>
      <c r="L575" s="760">
        <v>25</v>
      </c>
      <c r="M575" s="771">
        <v>0.5</v>
      </c>
      <c r="N575" s="786">
        <f>L575*0.5/'Исп. коэффициенты'!E49*(C577+C578)</f>
        <v>1.7709482206475675E-3</v>
      </c>
      <c r="O575" s="759"/>
      <c r="P575" s="759"/>
      <c r="Q575" s="759"/>
      <c r="R575" s="759"/>
      <c r="S575" s="787"/>
      <c r="T575" s="762"/>
      <c r="U575" s="759"/>
      <c r="V575" s="759"/>
      <c r="W575" s="777"/>
      <c r="X575" s="759"/>
      <c r="Y575" s="759"/>
      <c r="Z575" s="759"/>
      <c r="AA575" s="755"/>
      <c r="AB575" s="755"/>
      <c r="AC575" s="773"/>
    </row>
    <row r="576" spans="1:29" s="750" customFormat="1" x14ac:dyDescent="0.25">
      <c r="A576" s="1128"/>
      <c r="B576" s="754" t="s">
        <v>1180</v>
      </c>
      <c r="C576" s="789"/>
      <c r="D576" s="1127"/>
      <c r="E576" s="767" t="s">
        <v>1442</v>
      </c>
      <c r="F576" s="768" t="s">
        <v>1443</v>
      </c>
      <c r="G576" s="769">
        <v>419.5</v>
      </c>
      <c r="H576" s="768">
        <v>1E-3</v>
      </c>
      <c r="I576" s="770">
        <f t="shared" si="30"/>
        <v>0.41949999999999998</v>
      </c>
      <c r="J576" s="758"/>
      <c r="K576" s="760"/>
      <c r="L576" s="760"/>
      <c r="M576" s="760"/>
      <c r="N576" s="760"/>
      <c r="O576" s="759"/>
      <c r="P576" s="759"/>
      <c r="Q576" s="759"/>
      <c r="R576" s="759"/>
      <c r="S576" s="759"/>
      <c r="T576" s="762"/>
      <c r="U576" s="759"/>
      <c r="V576" s="759"/>
      <c r="W576" s="777"/>
      <c r="X576" s="759"/>
      <c r="Y576" s="759"/>
      <c r="Z576" s="759"/>
      <c r="AA576" s="755"/>
      <c r="AB576" s="755"/>
      <c r="AC576" s="773"/>
    </row>
    <row r="577" spans="1:29" s="750" customFormat="1" x14ac:dyDescent="0.25">
      <c r="A577" s="1128"/>
      <c r="B577" s="774" t="s">
        <v>1178</v>
      </c>
      <c r="C577" s="784"/>
      <c r="D577" s="1127"/>
      <c r="E577" s="767" t="s">
        <v>1444</v>
      </c>
      <c r="F577" s="768" t="s">
        <v>1443</v>
      </c>
      <c r="G577" s="769">
        <v>872</v>
      </c>
      <c r="H577" s="768">
        <v>2E-3</v>
      </c>
      <c r="I577" s="770">
        <f t="shared" si="30"/>
        <v>1.744</v>
      </c>
      <c r="J577" s="758"/>
      <c r="K577" s="760"/>
      <c r="L577" s="760"/>
      <c r="M577" s="760"/>
      <c r="N577" s="760"/>
      <c r="O577" s="759"/>
      <c r="P577" s="759"/>
      <c r="Q577" s="759"/>
      <c r="R577" s="759"/>
      <c r="S577" s="759"/>
      <c r="T577" s="762"/>
      <c r="U577" s="759"/>
      <c r="V577" s="759"/>
      <c r="W577" s="777"/>
      <c r="X577" s="759"/>
      <c r="Y577" s="759"/>
      <c r="Z577" s="759"/>
      <c r="AA577" s="755"/>
      <c r="AB577" s="755"/>
      <c r="AC577" s="773"/>
    </row>
    <row r="578" spans="1:29" s="750" customFormat="1" x14ac:dyDescent="0.25">
      <c r="A578" s="1128"/>
      <c r="B578" s="754" t="s">
        <v>1179</v>
      </c>
      <c r="C578" s="784">
        <v>1.5</v>
      </c>
      <c r="D578" s="1127"/>
      <c r="E578" s="754" t="s">
        <v>1517</v>
      </c>
      <c r="F578" s="756" t="s">
        <v>1441</v>
      </c>
      <c r="G578" s="756">
        <v>3.4</v>
      </c>
      <c r="H578" s="756">
        <v>1</v>
      </c>
      <c r="I578" s="755">
        <f t="shared" si="30"/>
        <v>3.4</v>
      </c>
      <c r="J578" s="758"/>
      <c r="K578" s="760"/>
      <c r="L578" s="772"/>
      <c r="M578" s="771"/>
      <c r="N578" s="760"/>
      <c r="O578" s="759"/>
      <c r="P578" s="759"/>
      <c r="Q578" s="759"/>
      <c r="R578" s="759"/>
      <c r="S578" s="759"/>
      <c r="T578" s="762"/>
      <c r="U578" s="759"/>
      <c r="V578" s="759"/>
      <c r="W578" s="777"/>
      <c r="X578" s="759"/>
      <c r="Y578" s="759"/>
      <c r="Z578" s="759"/>
      <c r="AA578" s="755"/>
      <c r="AB578" s="755"/>
      <c r="AC578" s="773"/>
    </row>
    <row r="579" spans="1:29" s="750" customFormat="1" x14ac:dyDescent="0.25">
      <c r="A579" s="1128"/>
      <c r="B579" s="782" t="s">
        <v>1181</v>
      </c>
      <c r="C579" s="778">
        <f>C574*C577+C575*C578</f>
        <v>34.713605968161033</v>
      </c>
      <c r="D579" s="1127"/>
      <c r="E579" s="767"/>
      <c r="F579" s="768"/>
      <c r="G579" s="769"/>
      <c r="H579" s="768"/>
      <c r="I579" s="770"/>
      <c r="J579" s="758"/>
      <c r="K579" s="760"/>
      <c r="L579" s="776"/>
      <c r="M579" s="771"/>
      <c r="N579" s="760"/>
      <c r="O579" s="759"/>
      <c r="P579" s="759"/>
      <c r="Q579" s="759"/>
      <c r="R579" s="759"/>
      <c r="S579" s="759"/>
      <c r="T579" s="762"/>
      <c r="U579" s="759"/>
      <c r="V579" s="759"/>
      <c r="W579" s="777"/>
      <c r="X579" s="759"/>
      <c r="Y579" s="759"/>
      <c r="Z579" s="759"/>
      <c r="AA579" s="755"/>
      <c r="AB579" s="755"/>
      <c r="AC579" s="773"/>
    </row>
    <row r="580" spans="1:29" s="750" customFormat="1" x14ac:dyDescent="0.25">
      <c r="A580" s="1129"/>
      <c r="B580" s="783"/>
      <c r="C580" s="784"/>
      <c r="D580" s="1127"/>
      <c r="E580" s="767"/>
      <c r="F580" s="768"/>
      <c r="G580" s="769"/>
      <c r="H580" s="768"/>
      <c r="I580" s="770"/>
      <c r="J580" s="758"/>
      <c r="K580" s="760"/>
      <c r="L580" s="760"/>
      <c r="M580" s="771"/>
      <c r="N580" s="760"/>
      <c r="O580" s="759"/>
      <c r="P580" s="759"/>
      <c r="Q580" s="759"/>
      <c r="R580" s="759"/>
      <c r="S580" s="759"/>
      <c r="T580" s="762"/>
      <c r="U580" s="759"/>
      <c r="V580" s="759"/>
      <c r="W580" s="777"/>
      <c r="X580" s="759"/>
      <c r="Y580" s="759"/>
      <c r="Z580" s="759"/>
      <c r="AA580" s="755"/>
      <c r="AB580" s="755"/>
      <c r="AC580" s="773"/>
    </row>
    <row r="581" spans="1:29" customFormat="1" x14ac:dyDescent="0.25">
      <c r="A581" s="1031" t="s">
        <v>1021</v>
      </c>
      <c r="B581" s="36" t="s">
        <v>1175</v>
      </c>
      <c r="C581" s="75">
        <f>C588</f>
        <v>23.142403978774023</v>
      </c>
      <c r="D581" s="1133">
        <f>C581*14.2/100</f>
        <v>3.2862213649859111</v>
      </c>
      <c r="E581" s="57" t="s">
        <v>1176</v>
      </c>
      <c r="F581" s="1"/>
      <c r="G581" s="58"/>
      <c r="H581" s="58"/>
      <c r="I581" s="2">
        <f>SUM(I582:I589)</f>
        <v>6.5736000000000008</v>
      </c>
      <c r="J581" s="59" t="s">
        <v>1176</v>
      </c>
      <c r="K581" s="60"/>
      <c r="L581" s="60"/>
      <c r="M581" s="60"/>
      <c r="N581" s="61">
        <f>SUM(N582:N589)</f>
        <v>8.4000000000000005E-2</v>
      </c>
      <c r="O581" s="60"/>
      <c r="P581" s="60"/>
      <c r="Q581" s="60"/>
      <c r="R581" s="60"/>
      <c r="S581" s="60">
        <f>S582+S583</f>
        <v>2.9266000000000001</v>
      </c>
      <c r="T581" s="239" t="s">
        <v>1435</v>
      </c>
      <c r="U581" s="240"/>
      <c r="V581" s="241"/>
      <c r="W581" s="239"/>
      <c r="X581" s="61"/>
      <c r="Y581" s="61">
        <f>SUM(Y582:Y589)</f>
        <v>9.1999999999999998E-3</v>
      </c>
      <c r="Z581" s="64">
        <f>(C581+D581+I581+N581+Y581+S581)*$Z$5</f>
        <v>46.835394021498338</v>
      </c>
      <c r="AA581" s="65">
        <f>C581+D581+I581+N581+S581+Y581+Z581</f>
        <v>82.857419365258266</v>
      </c>
      <c r="AB581" s="66">
        <v>0.25</v>
      </c>
      <c r="AC581" s="244">
        <f>AA581*(1+AB581)</f>
        <v>103.57177420657283</v>
      </c>
    </row>
    <row r="582" spans="1:29" customFormat="1" x14ac:dyDescent="0.25">
      <c r="A582" s="1032"/>
      <c r="B582" s="50" t="s">
        <v>1177</v>
      </c>
      <c r="C582" s="75"/>
      <c r="D582" s="1134"/>
      <c r="E582" s="68" t="s">
        <v>1437</v>
      </c>
      <c r="F582" s="69" t="s">
        <v>1438</v>
      </c>
      <c r="G582" s="70">
        <v>0.74</v>
      </c>
      <c r="H582" s="69">
        <v>0.01</v>
      </c>
      <c r="I582" s="71">
        <f>G582*H582</f>
        <v>7.4000000000000003E-3</v>
      </c>
      <c r="J582" s="59" t="s">
        <v>1291</v>
      </c>
      <c r="K582" s="72">
        <v>2</v>
      </c>
      <c r="L582" s="73">
        <v>640</v>
      </c>
      <c r="M582" s="72">
        <v>2</v>
      </c>
      <c r="N582" s="61">
        <v>0.05</v>
      </c>
      <c r="O582" s="60" t="s">
        <v>1667</v>
      </c>
      <c r="P582" s="60">
        <v>4500</v>
      </c>
      <c r="Q582" s="60">
        <v>19.670000000000002</v>
      </c>
      <c r="R582" s="60">
        <v>885.15</v>
      </c>
      <c r="S582" s="60">
        <v>1.1706000000000001</v>
      </c>
      <c r="T582" s="64"/>
      <c r="U582" s="240">
        <v>6785401.3499999996</v>
      </c>
      <c r="V582" s="241">
        <v>1.32E-2</v>
      </c>
      <c r="W582" s="239">
        <v>1508.3</v>
      </c>
      <c r="X582" s="61">
        <v>59.38</v>
      </c>
      <c r="Y582" s="60">
        <v>9.1999999999999998E-3</v>
      </c>
      <c r="Z582" s="60"/>
      <c r="AA582" s="1"/>
      <c r="AB582" s="1"/>
      <c r="AC582" s="245"/>
    </row>
    <row r="583" spans="1:29" customFormat="1" x14ac:dyDescent="0.25">
      <c r="A583" s="1032"/>
      <c r="B583" s="74" t="s">
        <v>1178</v>
      </c>
      <c r="C583" s="75"/>
      <c r="D583" s="1134"/>
      <c r="E583" s="68" t="s">
        <v>1439</v>
      </c>
      <c r="F583" s="69" t="s">
        <v>1438</v>
      </c>
      <c r="G583" s="70">
        <v>0.27</v>
      </c>
      <c r="H583" s="69">
        <v>0.01</v>
      </c>
      <c r="I583" s="242">
        <f>G583*H583</f>
        <v>2.7000000000000001E-3</v>
      </c>
      <c r="J583" s="59" t="s">
        <v>1445</v>
      </c>
      <c r="K583" s="61">
        <v>2</v>
      </c>
      <c r="L583" s="76">
        <v>84</v>
      </c>
      <c r="M583" s="72">
        <v>2</v>
      </c>
      <c r="N583" s="61">
        <v>8.9999999999999993E-3</v>
      </c>
      <c r="O583" s="60" t="s">
        <v>1668</v>
      </c>
      <c r="P583" s="60">
        <v>6750</v>
      </c>
      <c r="Q583" s="60">
        <v>19.670000000000002</v>
      </c>
      <c r="R583" s="60">
        <v>1327.73</v>
      </c>
      <c r="S583" s="60">
        <v>1.756</v>
      </c>
      <c r="T583" s="64"/>
      <c r="U583" s="60"/>
      <c r="V583" s="60"/>
      <c r="W583" s="232"/>
      <c r="X583" s="60"/>
      <c r="Y583" s="60"/>
      <c r="Z583" s="60"/>
      <c r="AA583" s="1"/>
      <c r="AB583" s="1"/>
      <c r="AC583" s="245"/>
    </row>
    <row r="584" spans="1:29" customFormat="1" x14ac:dyDescent="0.25">
      <c r="A584" s="1032"/>
      <c r="B584" s="57" t="s">
        <v>1179</v>
      </c>
      <c r="C584" s="51">
        <f>C575</f>
        <v>23.142403978774023</v>
      </c>
      <c r="D584" s="1134"/>
      <c r="E584" s="68" t="s">
        <v>1440</v>
      </c>
      <c r="F584" s="69" t="s">
        <v>1441</v>
      </c>
      <c r="G584" s="70">
        <v>4.4000000000000004</v>
      </c>
      <c r="H584" s="80">
        <v>1</v>
      </c>
      <c r="I584" s="71">
        <f>G584*H584</f>
        <v>4.4000000000000004</v>
      </c>
      <c r="J584" s="59" t="s">
        <v>1513</v>
      </c>
      <c r="K584" s="61">
        <v>2</v>
      </c>
      <c r="L584" s="61">
        <v>96</v>
      </c>
      <c r="M584" s="72">
        <v>0.5</v>
      </c>
      <c r="N584" s="61">
        <v>2.5000000000000001E-2</v>
      </c>
      <c r="O584" s="60"/>
      <c r="P584" s="60"/>
      <c r="Q584" s="60"/>
      <c r="R584" s="60"/>
      <c r="S584" s="60"/>
      <c r="T584" s="64"/>
      <c r="U584" s="60"/>
      <c r="V584" s="60"/>
      <c r="W584" s="232"/>
      <c r="X584" s="60"/>
      <c r="Y584" s="60"/>
      <c r="Z584" s="60"/>
      <c r="AA584" s="1"/>
      <c r="AB584" s="1"/>
      <c r="AC584" s="245"/>
    </row>
    <row r="585" spans="1:29" customFormat="1" x14ac:dyDescent="0.25">
      <c r="A585" s="1032"/>
      <c r="B585" s="57" t="s">
        <v>1180</v>
      </c>
      <c r="C585" s="75"/>
      <c r="D585" s="1134"/>
      <c r="E585" s="68" t="s">
        <v>1442</v>
      </c>
      <c r="F585" s="69" t="s">
        <v>1443</v>
      </c>
      <c r="G585" s="70">
        <v>419.5</v>
      </c>
      <c r="H585" s="69">
        <v>1E-3</v>
      </c>
      <c r="I585" s="71">
        <f>G585*H585</f>
        <v>0.41949999999999998</v>
      </c>
      <c r="J585" s="59"/>
      <c r="K585" s="61"/>
      <c r="L585" s="61"/>
      <c r="M585" s="61"/>
      <c r="N585" s="61"/>
      <c r="O585" s="60"/>
      <c r="P585" s="60"/>
      <c r="Q585" s="60"/>
      <c r="R585" s="60"/>
      <c r="S585" s="60"/>
      <c r="T585" s="64"/>
      <c r="U585" s="60"/>
      <c r="V585" s="60"/>
      <c r="W585" s="232"/>
      <c r="X585" s="60"/>
      <c r="Y585" s="60"/>
      <c r="Z585" s="60"/>
      <c r="AA585" s="1"/>
      <c r="AB585" s="1"/>
      <c r="AC585" s="245"/>
    </row>
    <row r="586" spans="1:29" customFormat="1" x14ac:dyDescent="0.25">
      <c r="A586" s="1032"/>
      <c r="B586" s="74" t="s">
        <v>1178</v>
      </c>
      <c r="C586" s="75"/>
      <c r="D586" s="1134"/>
      <c r="E586" s="68" t="s">
        <v>1444</v>
      </c>
      <c r="F586" s="69" t="s">
        <v>1443</v>
      </c>
      <c r="G586" s="70">
        <v>872</v>
      </c>
      <c r="H586" s="69">
        <v>2E-3</v>
      </c>
      <c r="I586" s="71">
        <f>G586*H586</f>
        <v>1.744</v>
      </c>
      <c r="J586" s="59"/>
      <c r="K586" s="61"/>
      <c r="L586" s="61"/>
      <c r="M586" s="72"/>
      <c r="N586" s="61"/>
      <c r="O586" s="60"/>
      <c r="P586" s="60"/>
      <c r="Q586" s="60"/>
      <c r="R586" s="60"/>
      <c r="S586" s="60"/>
      <c r="T586" s="64"/>
      <c r="U586" s="60"/>
      <c r="V586" s="60"/>
      <c r="W586" s="232"/>
      <c r="X586" s="60"/>
      <c r="Y586" s="60"/>
      <c r="Z586" s="60"/>
      <c r="AA586" s="1"/>
      <c r="AB586" s="1"/>
      <c r="AC586" s="245"/>
    </row>
    <row r="587" spans="1:29" customFormat="1" x14ac:dyDescent="0.25">
      <c r="A587" s="1032"/>
      <c r="B587" s="57" t="s">
        <v>1179</v>
      </c>
      <c r="C587" s="75">
        <v>1</v>
      </c>
      <c r="D587" s="1134"/>
      <c r="E587" s="57"/>
      <c r="F587" s="1"/>
      <c r="G587" s="58"/>
      <c r="H587" s="58"/>
      <c r="I587" s="1"/>
      <c r="J587" s="59"/>
      <c r="K587" s="61"/>
      <c r="L587" s="61"/>
      <c r="M587" s="72"/>
      <c r="N587" s="61"/>
      <c r="O587" s="60"/>
      <c r="P587" s="60"/>
      <c r="Q587" s="60"/>
      <c r="R587" s="60"/>
      <c r="S587" s="60"/>
      <c r="T587" s="64"/>
      <c r="U587" s="60"/>
      <c r="V587" s="60"/>
      <c r="W587" s="232"/>
      <c r="X587" s="60"/>
      <c r="Y587" s="60"/>
      <c r="Z587" s="60"/>
      <c r="AA587" s="1"/>
      <c r="AB587" s="1"/>
      <c r="AC587" s="245"/>
    </row>
    <row r="588" spans="1:29" customFormat="1" x14ac:dyDescent="0.25">
      <c r="A588" s="1032"/>
      <c r="B588" s="79" t="s">
        <v>1181</v>
      </c>
      <c r="C588" s="75">
        <f>C583*C586+C584*C587</f>
        <v>23.142403978774023</v>
      </c>
      <c r="D588" s="1135"/>
      <c r="E588" s="68"/>
      <c r="F588" s="69"/>
      <c r="G588" s="70"/>
      <c r="H588" s="69"/>
      <c r="I588" s="71"/>
      <c r="J588" s="59"/>
      <c r="K588" s="61"/>
      <c r="L588" s="61"/>
      <c r="M588" s="72"/>
      <c r="N588" s="61"/>
      <c r="O588" s="60"/>
      <c r="P588" s="60"/>
      <c r="Q588" s="60"/>
      <c r="R588" s="60"/>
      <c r="S588" s="60"/>
      <c r="T588" s="64"/>
      <c r="U588" s="60"/>
      <c r="V588" s="60"/>
      <c r="W588" s="232"/>
      <c r="X588" s="60"/>
      <c r="Y588" s="60"/>
      <c r="Z588" s="60"/>
      <c r="AA588" s="1"/>
      <c r="AB588" s="1"/>
      <c r="AC588" s="245"/>
    </row>
    <row r="589" spans="1:29" customFormat="1" x14ac:dyDescent="0.25">
      <c r="A589" s="1033"/>
      <c r="B589" s="123"/>
      <c r="C589" s="78"/>
      <c r="D589" s="51"/>
      <c r="E589" s="68"/>
      <c r="F589" s="69"/>
      <c r="G589" s="70"/>
      <c r="H589" s="69"/>
      <c r="I589" s="71"/>
      <c r="J589" s="59"/>
      <c r="K589" s="61"/>
      <c r="L589" s="61"/>
      <c r="M589" s="72"/>
      <c r="N589" s="61"/>
      <c r="O589" s="60"/>
      <c r="P589" s="60"/>
      <c r="Q589" s="60"/>
      <c r="R589" s="60"/>
      <c r="S589" s="60"/>
      <c r="T589" s="64"/>
      <c r="U589" s="60"/>
      <c r="V589" s="60"/>
      <c r="W589" s="232"/>
      <c r="X589" s="60"/>
      <c r="Y589" s="60"/>
      <c r="Z589" s="60"/>
      <c r="AA589" s="1"/>
      <c r="AB589" s="1"/>
      <c r="AC589" s="245"/>
    </row>
    <row r="590" spans="1:29" customFormat="1" x14ac:dyDescent="0.25">
      <c r="A590" s="1031" t="s">
        <v>1253</v>
      </c>
      <c r="B590" s="36" t="s">
        <v>1175</v>
      </c>
      <c r="C590" s="75">
        <f>C597</f>
        <v>34.713605968161033</v>
      </c>
      <c r="D590" s="1133">
        <f>C590*D5</f>
        <v>7.0121484055685288</v>
      </c>
      <c r="E590" s="57" t="s">
        <v>1176</v>
      </c>
      <c r="F590" s="1"/>
      <c r="G590" s="58"/>
      <c r="H590" s="58"/>
      <c r="I590" s="2">
        <f>SUM(I591:I598)</f>
        <v>7.8836000000000013</v>
      </c>
      <c r="J590" s="59" t="s">
        <v>1176</v>
      </c>
      <c r="K590" s="60"/>
      <c r="L590" s="60"/>
      <c r="M590" s="60"/>
      <c r="N590" s="61">
        <f>SUM(N591:N598)</f>
        <v>8.4000000000000005E-2</v>
      </c>
      <c r="O590" s="60"/>
      <c r="P590" s="60"/>
      <c r="Q590" s="60"/>
      <c r="R590" s="60"/>
      <c r="S590" s="60">
        <f>S591+S592</f>
        <v>2.9266000000000001</v>
      </c>
      <c r="T590" s="239" t="s">
        <v>1435</v>
      </c>
      <c r="U590" s="240"/>
      <c r="V590" s="241"/>
      <c r="W590" s="239"/>
      <c r="X590" s="61"/>
      <c r="Y590" s="61">
        <f>SUM(Y591:Y598)</f>
        <v>9.1999999999999998E-3</v>
      </c>
      <c r="Z590" s="64">
        <f>(C590+D590+I590+N590+Y590+S590)*$Z$5</f>
        <v>68.427778798919775</v>
      </c>
      <c r="AA590" s="65">
        <f>C590+D590+I590+N590+S590+Y590+Z590</f>
        <v>121.05693317264934</v>
      </c>
      <c r="AB590" s="66">
        <v>0.25</v>
      </c>
      <c r="AC590" s="244">
        <f>AA590*(1+AB590)</f>
        <v>151.32116646581167</v>
      </c>
    </row>
    <row r="591" spans="1:29" customFormat="1" x14ac:dyDescent="0.25">
      <c r="A591" s="1032"/>
      <c r="B591" s="50" t="s">
        <v>1177</v>
      </c>
      <c r="C591" s="75"/>
      <c r="D591" s="1134"/>
      <c r="E591" s="68" t="s">
        <v>1437</v>
      </c>
      <c r="F591" s="69" t="s">
        <v>1438</v>
      </c>
      <c r="G591" s="70">
        <v>0.74</v>
      </c>
      <c r="H591" s="69">
        <v>0.01</v>
      </c>
      <c r="I591" s="71">
        <f t="shared" ref="I591:I596" si="31">G591*H591</f>
        <v>7.4000000000000003E-3</v>
      </c>
      <c r="J591" s="59" t="s">
        <v>1291</v>
      </c>
      <c r="K591" s="72">
        <v>2</v>
      </c>
      <c r="L591" s="73">
        <v>640</v>
      </c>
      <c r="M591" s="72">
        <v>2</v>
      </c>
      <c r="N591" s="61">
        <v>0.05</v>
      </c>
      <c r="O591" s="60" t="s">
        <v>1667</v>
      </c>
      <c r="P591" s="60">
        <v>4500</v>
      </c>
      <c r="Q591" s="60">
        <v>19.670000000000002</v>
      </c>
      <c r="R591" s="60">
        <v>885.15</v>
      </c>
      <c r="S591" s="60">
        <v>1.1706000000000001</v>
      </c>
      <c r="T591" s="64"/>
      <c r="U591" s="240">
        <v>6785401.3499999996</v>
      </c>
      <c r="V591" s="241">
        <v>1.32E-2</v>
      </c>
      <c r="W591" s="239">
        <v>1508.3</v>
      </c>
      <c r="X591" s="61">
        <v>59.38</v>
      </c>
      <c r="Y591" s="60">
        <v>9.1999999999999998E-3</v>
      </c>
      <c r="Z591" s="60"/>
      <c r="AA591" s="1"/>
      <c r="AB591" s="1"/>
      <c r="AC591" s="245"/>
    </row>
    <row r="592" spans="1:29" customFormat="1" x14ac:dyDescent="0.25">
      <c r="A592" s="1032"/>
      <c r="B592" s="74" t="s">
        <v>1178</v>
      </c>
      <c r="C592" s="75">
        <v>0</v>
      </c>
      <c r="D592" s="1134"/>
      <c r="E592" s="68" t="s">
        <v>1439</v>
      </c>
      <c r="F592" s="69" t="s">
        <v>1438</v>
      </c>
      <c r="G592" s="70">
        <v>0.27</v>
      </c>
      <c r="H592" s="69">
        <v>0.01</v>
      </c>
      <c r="I592" s="242">
        <f t="shared" si="31"/>
        <v>2.7000000000000001E-3</v>
      </c>
      <c r="J592" s="59" t="s">
        <v>1445</v>
      </c>
      <c r="K592" s="61">
        <v>2</v>
      </c>
      <c r="L592" s="76">
        <v>84</v>
      </c>
      <c r="M592" s="72">
        <v>2</v>
      </c>
      <c r="N592" s="61">
        <v>8.9999999999999993E-3</v>
      </c>
      <c r="O592" s="60" t="s">
        <v>1668</v>
      </c>
      <c r="P592" s="60">
        <v>6750</v>
      </c>
      <c r="Q592" s="60">
        <v>19.670000000000002</v>
      </c>
      <c r="R592" s="60">
        <v>1327.73</v>
      </c>
      <c r="S592" s="60">
        <v>1.756</v>
      </c>
      <c r="T592" s="64"/>
      <c r="U592" s="60"/>
      <c r="V592" s="60"/>
      <c r="W592" s="232"/>
      <c r="X592" s="60"/>
      <c r="Y592" s="60"/>
      <c r="Z592" s="60"/>
      <c r="AA592" s="1"/>
      <c r="AB592" s="1"/>
      <c r="AC592" s="245"/>
    </row>
    <row r="593" spans="1:29" customFormat="1" x14ac:dyDescent="0.25">
      <c r="A593" s="1032"/>
      <c r="B593" s="57" t="s">
        <v>1179</v>
      </c>
      <c r="C593" s="51">
        <f>C584</f>
        <v>23.142403978774023</v>
      </c>
      <c r="D593" s="1134"/>
      <c r="E593" s="68" t="s">
        <v>1440</v>
      </c>
      <c r="F593" s="69" t="s">
        <v>1441</v>
      </c>
      <c r="G593" s="70">
        <v>4.4000000000000004</v>
      </c>
      <c r="H593" s="80">
        <v>1</v>
      </c>
      <c r="I593" s="71">
        <f t="shared" si="31"/>
        <v>4.4000000000000004</v>
      </c>
      <c r="J593" s="59" t="s">
        <v>1513</v>
      </c>
      <c r="K593" s="61">
        <v>2</v>
      </c>
      <c r="L593" s="61">
        <v>96</v>
      </c>
      <c r="M593" s="72">
        <v>0.5</v>
      </c>
      <c r="N593" s="61">
        <v>2.5000000000000001E-2</v>
      </c>
      <c r="O593" s="60"/>
      <c r="P593" s="60"/>
      <c r="Q593" s="60"/>
      <c r="R593" s="60"/>
      <c r="S593" s="60"/>
      <c r="T593" s="64"/>
      <c r="U593" s="60"/>
      <c r="V593" s="60"/>
      <c r="W593" s="232"/>
      <c r="X593" s="60"/>
      <c r="Y593" s="60"/>
      <c r="Z593" s="60"/>
      <c r="AA593" s="1"/>
      <c r="AB593" s="1"/>
      <c r="AC593" s="245"/>
    </row>
    <row r="594" spans="1:29" customFormat="1" x14ac:dyDescent="0.25">
      <c r="A594" s="1032"/>
      <c r="B594" s="57" t="s">
        <v>1180</v>
      </c>
      <c r="C594" s="75"/>
      <c r="D594" s="1134"/>
      <c r="E594" s="68" t="s">
        <v>1442</v>
      </c>
      <c r="F594" s="69" t="s">
        <v>1443</v>
      </c>
      <c r="G594" s="70">
        <v>419.5</v>
      </c>
      <c r="H594" s="69">
        <v>1E-3</v>
      </c>
      <c r="I594" s="71">
        <f t="shared" si="31"/>
        <v>0.41949999999999998</v>
      </c>
      <c r="J594" s="59"/>
      <c r="K594" s="61"/>
      <c r="L594" s="61"/>
      <c r="M594" s="61"/>
      <c r="N594" s="61"/>
      <c r="O594" s="60"/>
      <c r="P594" s="60"/>
      <c r="Q594" s="60"/>
      <c r="R594" s="60"/>
      <c r="S594" s="60"/>
      <c r="T594" s="64"/>
      <c r="U594" s="60"/>
      <c r="V594" s="60"/>
      <c r="W594" s="232"/>
      <c r="X594" s="60"/>
      <c r="Y594" s="60"/>
      <c r="Z594" s="60"/>
      <c r="AA594" s="1"/>
      <c r="AB594" s="1"/>
      <c r="AC594" s="245"/>
    </row>
    <row r="595" spans="1:29" customFormat="1" x14ac:dyDescent="0.25">
      <c r="A595" s="1032"/>
      <c r="B595" s="74" t="s">
        <v>1178</v>
      </c>
      <c r="C595" s="75">
        <v>0</v>
      </c>
      <c r="D595" s="1134"/>
      <c r="E595" s="68" t="s">
        <v>1444</v>
      </c>
      <c r="F595" s="69" t="s">
        <v>1443</v>
      </c>
      <c r="G595" s="70">
        <v>872</v>
      </c>
      <c r="H595" s="69">
        <v>2E-3</v>
      </c>
      <c r="I595" s="71">
        <f t="shared" si="31"/>
        <v>1.744</v>
      </c>
      <c r="J595" s="59"/>
      <c r="K595" s="61"/>
      <c r="L595" s="61"/>
      <c r="M595" s="72"/>
      <c r="N595" s="61"/>
      <c r="O595" s="60"/>
      <c r="P595" s="60"/>
      <c r="Q595" s="60"/>
      <c r="R595" s="60"/>
      <c r="S595" s="60"/>
      <c r="T595" s="64"/>
      <c r="U595" s="60"/>
      <c r="V595" s="60"/>
      <c r="W595" s="232"/>
      <c r="X595" s="60"/>
      <c r="Y595" s="60"/>
      <c r="Z595" s="60"/>
      <c r="AA595" s="1"/>
      <c r="AB595" s="1"/>
      <c r="AC595" s="245"/>
    </row>
    <row r="596" spans="1:29" customFormat="1" x14ac:dyDescent="0.25">
      <c r="A596" s="1032"/>
      <c r="B596" s="57" t="s">
        <v>1179</v>
      </c>
      <c r="C596" s="75">
        <v>1.5</v>
      </c>
      <c r="D596" s="1134"/>
      <c r="E596" s="228" t="s">
        <v>1517</v>
      </c>
      <c r="F596" s="166" t="s">
        <v>1441</v>
      </c>
      <c r="G596" s="70">
        <v>1.31</v>
      </c>
      <c r="H596" s="69">
        <v>1</v>
      </c>
      <c r="I596" s="71">
        <f t="shared" si="31"/>
        <v>1.31</v>
      </c>
      <c r="J596" s="59"/>
      <c r="K596" s="61"/>
      <c r="L596" s="61"/>
      <c r="M596" s="72"/>
      <c r="N596" s="61"/>
      <c r="O596" s="60"/>
      <c r="P596" s="60"/>
      <c r="Q596" s="60"/>
      <c r="R596" s="60"/>
      <c r="S596" s="60"/>
      <c r="T596" s="64"/>
      <c r="U596" s="60"/>
      <c r="V596" s="60"/>
      <c r="W596" s="232"/>
      <c r="X596" s="60"/>
      <c r="Y596" s="60"/>
      <c r="Z596" s="60"/>
      <c r="AA596" s="1"/>
      <c r="AB596" s="1"/>
      <c r="AC596" s="245"/>
    </row>
    <row r="597" spans="1:29" customFormat="1" x14ac:dyDescent="0.25">
      <c r="A597" s="1032"/>
      <c r="B597" s="79" t="s">
        <v>1181</v>
      </c>
      <c r="C597" s="75">
        <f>C592*C595+C593*C596</f>
        <v>34.713605968161033</v>
      </c>
      <c r="D597" s="1135"/>
      <c r="E597" s="68"/>
      <c r="F597" s="69"/>
      <c r="G597" s="70"/>
      <c r="H597" s="69"/>
      <c r="I597" s="71"/>
      <c r="J597" s="59"/>
      <c r="K597" s="61"/>
      <c r="L597" s="61"/>
      <c r="M597" s="72"/>
      <c r="N597" s="61"/>
      <c r="O597" s="60"/>
      <c r="P597" s="60"/>
      <c r="Q597" s="60"/>
      <c r="R597" s="60"/>
      <c r="S597" s="60"/>
      <c r="T597" s="64"/>
      <c r="U597" s="60"/>
      <c r="V597" s="60"/>
      <c r="W597" s="232"/>
      <c r="X597" s="60"/>
      <c r="Y597" s="60"/>
      <c r="Z597" s="60"/>
      <c r="AA597" s="1"/>
      <c r="AB597" s="1"/>
      <c r="AC597" s="245"/>
    </row>
    <row r="598" spans="1:29" customFormat="1" x14ac:dyDescent="0.25">
      <c r="A598" s="1033"/>
      <c r="B598" s="123"/>
      <c r="C598" s="78"/>
      <c r="D598" s="51"/>
      <c r="E598" s="68"/>
      <c r="F598" s="69"/>
      <c r="G598" s="70"/>
      <c r="H598" s="69"/>
      <c r="I598" s="71"/>
      <c r="J598" s="59"/>
      <c r="K598" s="61"/>
      <c r="L598" s="61"/>
      <c r="M598" s="72"/>
      <c r="N598" s="61"/>
      <c r="O598" s="60"/>
      <c r="P598" s="60"/>
      <c r="Q598" s="60"/>
      <c r="R598" s="60"/>
      <c r="S598" s="60"/>
      <c r="T598" s="64"/>
      <c r="U598" s="60"/>
      <c r="V598" s="60"/>
      <c r="W598" s="232"/>
      <c r="X598" s="60"/>
      <c r="Y598" s="60"/>
      <c r="Z598" s="60"/>
      <c r="AA598" s="1"/>
      <c r="AB598" s="1"/>
      <c r="AC598" s="245"/>
    </row>
    <row r="599" spans="1:29" s="750" customFormat="1" x14ac:dyDescent="0.25">
      <c r="A599" s="1114" t="s">
        <v>1666</v>
      </c>
      <c r="B599" s="752" t="s">
        <v>1175</v>
      </c>
      <c r="C599" s="753">
        <f>C606</f>
        <v>43.133850346929165</v>
      </c>
      <c r="D599" s="1123">
        <f>C599*D5</f>
        <v>8.7130377700796924</v>
      </c>
      <c r="E599" s="754" t="s">
        <v>1176</v>
      </c>
      <c r="F599" s="755"/>
      <c r="G599" s="756"/>
      <c r="H599" s="756"/>
      <c r="I599" s="757">
        <f>SUM(I600:I607)</f>
        <v>7.8836000000000013</v>
      </c>
      <c r="J599" s="758" t="s">
        <v>1176</v>
      </c>
      <c r="K599" s="759"/>
      <c r="L599" s="759"/>
      <c r="M599" s="759"/>
      <c r="N599" s="786">
        <f>SUM(N600:N607)</f>
        <v>0.24114324711733182</v>
      </c>
      <c r="O599" s="759"/>
      <c r="P599" s="759"/>
      <c r="Q599" s="759"/>
      <c r="R599" s="759"/>
      <c r="S599" s="787">
        <f>S600+S601</f>
        <v>0.31285638376744362</v>
      </c>
      <c r="T599" s="755" t="s">
        <v>1435</v>
      </c>
      <c r="U599" s="756"/>
      <c r="V599" s="761"/>
      <c r="W599" s="755"/>
      <c r="X599" s="760"/>
      <c r="Y599" s="760">
        <f>SUM(Y600:Y607)</f>
        <v>13.046757431529358</v>
      </c>
      <c r="Z599" s="762">
        <f>(C599+D599+I599+N599+Y599+S599)*$Z$5</f>
        <v>95.344382479602331</v>
      </c>
      <c r="AA599" s="763">
        <f>C599+D599+I599+N599+S599+Y599+Z599</f>
        <v>168.67562765902534</v>
      </c>
      <c r="AB599" s="764">
        <v>0.25</v>
      </c>
      <c r="AC599" s="765">
        <f>AA599*(1+AB599)</f>
        <v>210.84453457378169</v>
      </c>
    </row>
    <row r="600" spans="1:29" s="750" customFormat="1" x14ac:dyDescent="0.25">
      <c r="A600" s="1115"/>
      <c r="B600" s="766" t="s">
        <v>1177</v>
      </c>
      <c r="C600" s="753"/>
      <c r="D600" s="1124"/>
      <c r="E600" s="767" t="s">
        <v>1437</v>
      </c>
      <c r="F600" s="768" t="s">
        <v>1438</v>
      </c>
      <c r="G600" s="769">
        <v>0.74</v>
      </c>
      <c r="H600" s="768">
        <v>0.01</v>
      </c>
      <c r="I600" s="770">
        <f t="shared" ref="I600:I605" si="32">G600*H600</f>
        <v>7.4000000000000003E-3</v>
      </c>
      <c r="J600" s="758" t="s">
        <v>1291</v>
      </c>
      <c r="K600" s="771">
        <v>2</v>
      </c>
      <c r="L600" s="772">
        <v>750</v>
      </c>
      <c r="M600" s="771">
        <v>2</v>
      </c>
      <c r="N600" s="786">
        <f>L600*2/'Исп. коэффициенты'!E49*(C604+C605)</f>
        <v>0.21251378647770811</v>
      </c>
      <c r="O600" s="759" t="s">
        <v>1667</v>
      </c>
      <c r="P600" s="759">
        <v>4500</v>
      </c>
      <c r="Q600" s="759">
        <v>19.670000000000002</v>
      </c>
      <c r="R600" s="759">
        <f>P600*Q600%</f>
        <v>885.15000000000009</v>
      </c>
      <c r="S600" s="787">
        <f>R600/'Исп. коэффициенты'!E52*(C604+C605)</f>
        <v>0.12514255350697745</v>
      </c>
      <c r="T600" s="762"/>
      <c r="U600" s="756">
        <v>6785401.3499999996</v>
      </c>
      <c r="V600" s="785">
        <f>'Исп. коэффициенты'!E124</f>
        <v>2978.5</v>
      </c>
      <c r="W600" s="761">
        <f>'Исп. коэффициенты'!D124</f>
        <v>1.3599999999999999E-2</v>
      </c>
      <c r="X600" s="760">
        <f>U600*W600</f>
        <v>92281.45835999999</v>
      </c>
      <c r="Y600" s="759">
        <f>X600/'Исп. коэффициенты'!E52*(C604+C605)</f>
        <v>13.046757431529358</v>
      </c>
      <c r="Z600" s="759"/>
      <c r="AA600" s="755"/>
      <c r="AB600" s="755"/>
      <c r="AC600" s="773"/>
    </row>
    <row r="601" spans="1:29" s="750" customFormat="1" x14ac:dyDescent="0.25">
      <c r="A601" s="1115"/>
      <c r="B601" s="774" t="s">
        <v>1178</v>
      </c>
      <c r="C601" s="753">
        <f>'Заработная плата'!M76</f>
        <v>33.667709452234185</v>
      </c>
      <c r="D601" s="1124"/>
      <c r="E601" s="767" t="s">
        <v>1439</v>
      </c>
      <c r="F601" s="768" t="s">
        <v>1438</v>
      </c>
      <c r="G601" s="769">
        <v>0.27</v>
      </c>
      <c r="H601" s="768">
        <v>0.01</v>
      </c>
      <c r="I601" s="775">
        <f t="shared" si="32"/>
        <v>2.7000000000000001E-3</v>
      </c>
      <c r="J601" s="758" t="s">
        <v>1445</v>
      </c>
      <c r="K601" s="760">
        <v>2</v>
      </c>
      <c r="L601" s="776">
        <v>95</v>
      </c>
      <c r="M601" s="771">
        <v>2</v>
      </c>
      <c r="N601" s="786">
        <f>L601*2/'Исп. коэффициенты'!E52*(C604+C605)</f>
        <v>2.6862209982856822E-2</v>
      </c>
      <c r="O601" s="759" t="s">
        <v>1668</v>
      </c>
      <c r="P601" s="759">
        <v>6750</v>
      </c>
      <c r="Q601" s="759">
        <v>19.670000000000002</v>
      </c>
      <c r="R601" s="759">
        <f>P601*Q601%</f>
        <v>1327.7250000000001</v>
      </c>
      <c r="S601" s="787">
        <f>R601/'Исп. коэффициенты'!E52*(C604+C605)</f>
        <v>0.18771383026046617</v>
      </c>
      <c r="T601" s="762"/>
      <c r="U601" s="759"/>
      <c r="V601" s="759"/>
      <c r="W601" s="777"/>
      <c r="X601" s="759"/>
      <c r="Y601" s="759"/>
      <c r="Z601" s="759"/>
      <c r="AA601" s="755"/>
      <c r="AB601" s="755"/>
      <c r="AC601" s="773"/>
    </row>
    <row r="602" spans="1:29" s="750" customFormat="1" x14ac:dyDescent="0.25">
      <c r="A602" s="1115"/>
      <c r="B602" s="754" t="s">
        <v>1179</v>
      </c>
      <c r="C602" s="778">
        <f>C593</f>
        <v>23.142403978774023</v>
      </c>
      <c r="D602" s="1124"/>
      <c r="E602" s="767" t="s">
        <v>1440</v>
      </c>
      <c r="F602" s="768" t="s">
        <v>1441</v>
      </c>
      <c r="G602" s="769">
        <v>4.4000000000000004</v>
      </c>
      <c r="H602" s="779">
        <v>1</v>
      </c>
      <c r="I602" s="770">
        <f t="shared" si="32"/>
        <v>4.4000000000000004</v>
      </c>
      <c r="J602" s="758" t="s">
        <v>1513</v>
      </c>
      <c r="K602" s="760">
        <v>2</v>
      </c>
      <c r="L602" s="760">
        <v>25</v>
      </c>
      <c r="M602" s="771">
        <v>0.5</v>
      </c>
      <c r="N602" s="786">
        <f>L602*0.5/'Исп. коэффициенты'!E52*(C604+C605)</f>
        <v>1.7672506567668962E-3</v>
      </c>
      <c r="O602" s="759"/>
      <c r="P602" s="759"/>
      <c r="Q602" s="759"/>
      <c r="R602" s="759"/>
      <c r="S602" s="787"/>
      <c r="T602" s="762"/>
      <c r="U602" s="759"/>
      <c r="V602" s="759"/>
      <c r="W602" s="777"/>
      <c r="X602" s="759"/>
      <c r="Y602" s="759"/>
      <c r="Z602" s="759"/>
      <c r="AA602" s="755"/>
      <c r="AB602" s="755"/>
      <c r="AC602" s="773"/>
    </row>
    <row r="603" spans="1:29" s="750" customFormat="1" x14ac:dyDescent="0.25">
      <c r="A603" s="1115"/>
      <c r="B603" s="754" t="s">
        <v>1180</v>
      </c>
      <c r="C603" s="753"/>
      <c r="D603" s="1124"/>
      <c r="E603" s="767" t="s">
        <v>1442</v>
      </c>
      <c r="F603" s="768" t="s">
        <v>1443</v>
      </c>
      <c r="G603" s="769">
        <v>419.5</v>
      </c>
      <c r="H603" s="768">
        <v>1E-3</v>
      </c>
      <c r="I603" s="770">
        <f t="shared" si="32"/>
        <v>0.41949999999999998</v>
      </c>
      <c r="J603" s="758"/>
      <c r="K603" s="760"/>
      <c r="L603" s="760"/>
      <c r="M603" s="760"/>
      <c r="N603" s="786"/>
      <c r="O603" s="759"/>
      <c r="P603" s="759"/>
      <c r="Q603" s="759"/>
      <c r="R603" s="759"/>
      <c r="S603" s="787"/>
      <c r="T603" s="762"/>
      <c r="U603" s="759"/>
      <c r="V603" s="759"/>
      <c r="W603" s="777"/>
      <c r="X603" s="759"/>
      <c r="Y603" s="759"/>
      <c r="Z603" s="759"/>
      <c r="AA603" s="755"/>
      <c r="AB603" s="755"/>
      <c r="AC603" s="773"/>
    </row>
    <row r="604" spans="1:29" s="750" customFormat="1" x14ac:dyDescent="0.25">
      <c r="A604" s="1115"/>
      <c r="B604" s="774" t="s">
        <v>1178</v>
      </c>
      <c r="C604" s="753">
        <v>0.8</v>
      </c>
      <c r="D604" s="1124"/>
      <c r="E604" s="767" t="s">
        <v>1444</v>
      </c>
      <c r="F604" s="768" t="s">
        <v>1443</v>
      </c>
      <c r="G604" s="769">
        <v>872</v>
      </c>
      <c r="H604" s="768">
        <v>2E-3</v>
      </c>
      <c r="I604" s="770">
        <f t="shared" si="32"/>
        <v>1.744</v>
      </c>
      <c r="J604" s="758"/>
      <c r="K604" s="760"/>
      <c r="L604" s="760"/>
      <c r="M604" s="771"/>
      <c r="N604" s="786"/>
      <c r="O604" s="759"/>
      <c r="P604" s="759"/>
      <c r="Q604" s="759"/>
      <c r="R604" s="759"/>
      <c r="S604" s="787"/>
      <c r="T604" s="762"/>
      <c r="U604" s="759"/>
      <c r="V604" s="759"/>
      <c r="W604" s="777"/>
      <c r="X604" s="759"/>
      <c r="Y604" s="759"/>
      <c r="Z604" s="759"/>
      <c r="AA604" s="755"/>
      <c r="AB604" s="755"/>
      <c r="AC604" s="773"/>
    </row>
    <row r="605" spans="1:29" s="750" customFormat="1" x14ac:dyDescent="0.25">
      <c r="A605" s="1115"/>
      <c r="B605" s="754" t="s">
        <v>1179</v>
      </c>
      <c r="C605" s="753">
        <v>0.7</v>
      </c>
      <c r="D605" s="1124"/>
      <c r="E605" s="780" t="s">
        <v>1517</v>
      </c>
      <c r="F605" s="781" t="s">
        <v>1441</v>
      </c>
      <c r="G605" s="769">
        <v>1.31</v>
      </c>
      <c r="H605" s="768">
        <v>1</v>
      </c>
      <c r="I605" s="770">
        <f t="shared" si="32"/>
        <v>1.31</v>
      </c>
      <c r="J605" s="758"/>
      <c r="K605" s="760"/>
      <c r="L605" s="760"/>
      <c r="M605" s="771"/>
      <c r="N605" s="786"/>
      <c r="O605" s="759"/>
      <c r="P605" s="759"/>
      <c r="Q605" s="759"/>
      <c r="R605" s="759"/>
      <c r="S605" s="787"/>
      <c r="T605" s="762"/>
      <c r="U605" s="759"/>
      <c r="V605" s="759"/>
      <c r="W605" s="777"/>
      <c r="X605" s="759"/>
      <c r="Y605" s="759"/>
      <c r="Z605" s="759"/>
      <c r="AA605" s="755"/>
      <c r="AB605" s="755"/>
      <c r="AC605" s="773"/>
    </row>
    <row r="606" spans="1:29" s="750" customFormat="1" x14ac:dyDescent="0.25">
      <c r="A606" s="1115"/>
      <c r="B606" s="782" t="s">
        <v>1181</v>
      </c>
      <c r="C606" s="753">
        <f>C601*C604+C602*C605</f>
        <v>43.133850346929165</v>
      </c>
      <c r="D606" s="1125"/>
      <c r="E606" s="767"/>
      <c r="F606" s="768"/>
      <c r="G606" s="769"/>
      <c r="H606" s="768"/>
      <c r="I606" s="770"/>
      <c r="J606" s="758"/>
      <c r="K606" s="760"/>
      <c r="L606" s="760"/>
      <c r="M606" s="771"/>
      <c r="N606" s="786"/>
      <c r="O606" s="759"/>
      <c r="P606" s="759"/>
      <c r="Q606" s="759"/>
      <c r="R606" s="759"/>
      <c r="S606" s="787"/>
      <c r="T606" s="762"/>
      <c r="U606" s="759"/>
      <c r="V606" s="759"/>
      <c r="W606" s="777"/>
      <c r="X606" s="759"/>
      <c r="Y606" s="759"/>
      <c r="Z606" s="759"/>
      <c r="AA606" s="755"/>
      <c r="AB606" s="755"/>
      <c r="AC606" s="773"/>
    </row>
    <row r="607" spans="1:29" s="750" customFormat="1" x14ac:dyDescent="0.25">
      <c r="A607" s="1116"/>
      <c r="B607" s="783"/>
      <c r="C607" s="784"/>
      <c r="D607" s="778"/>
      <c r="E607" s="767"/>
      <c r="F607" s="768"/>
      <c r="G607" s="769"/>
      <c r="H607" s="768"/>
      <c r="I607" s="770"/>
      <c r="J607" s="758"/>
      <c r="K607" s="760"/>
      <c r="L607" s="760"/>
      <c r="M607" s="771"/>
      <c r="N607" s="786"/>
      <c r="O607" s="759"/>
      <c r="P607" s="759"/>
      <c r="Q607" s="759"/>
      <c r="R607" s="759"/>
      <c r="S607" s="787"/>
      <c r="T607" s="762"/>
      <c r="U607" s="759"/>
      <c r="V607" s="759"/>
      <c r="W607" s="777"/>
      <c r="X607" s="759"/>
      <c r="Y607" s="759"/>
      <c r="Z607" s="759"/>
      <c r="AA607" s="755"/>
      <c r="AB607" s="755"/>
      <c r="AC607" s="773"/>
    </row>
    <row r="608" spans="1:29" s="750" customFormat="1" x14ac:dyDescent="0.25">
      <c r="A608" s="1114" t="s">
        <v>1891</v>
      </c>
      <c r="B608" s="752" t="s">
        <v>1175</v>
      </c>
      <c r="C608" s="753">
        <f>C615</f>
        <v>43.133850346929165</v>
      </c>
      <c r="D608" s="1123">
        <f>C608*D5</f>
        <v>8.7130377700796924</v>
      </c>
      <c r="E608" s="754" t="s">
        <v>1176</v>
      </c>
      <c r="F608" s="755"/>
      <c r="G608" s="756"/>
      <c r="H608" s="756"/>
      <c r="I608" s="757">
        <f>SUM(I609:I616)</f>
        <v>226.62360000000001</v>
      </c>
      <c r="J608" s="758" t="s">
        <v>1176</v>
      </c>
      <c r="K608" s="759"/>
      <c r="L608" s="759"/>
      <c r="M608" s="759"/>
      <c r="N608" s="786">
        <f>SUM(N609:N616)</f>
        <v>0.24120314765219872</v>
      </c>
      <c r="O608" s="759"/>
      <c r="P608" s="759"/>
      <c r="Q608" s="759"/>
      <c r="R608" s="759"/>
      <c r="S608" s="787">
        <f>S609+S610</f>
        <v>0.31351096350123886</v>
      </c>
      <c r="T608" s="755" t="s">
        <v>1435</v>
      </c>
      <c r="U608" s="756"/>
      <c r="V608" s="761"/>
      <c r="W608" s="755"/>
      <c r="X608" s="760"/>
      <c r="Y608" s="760">
        <f>SUM(Y609:Y616)</f>
        <v>13.074054758512366</v>
      </c>
      <c r="Z608" s="762">
        <f>(C608+D608+I608+N608+Y608+S608)*$Z$5</f>
        <v>379.78385900857421</v>
      </c>
      <c r="AA608" s="763">
        <f>C608+D608+I608+N608+S608+Y608+Z608</f>
        <v>671.88311599524889</v>
      </c>
      <c r="AB608" s="764">
        <v>0.25</v>
      </c>
      <c r="AC608" s="765">
        <f>AA608*(1+AB608)</f>
        <v>839.85389499406108</v>
      </c>
    </row>
    <row r="609" spans="1:29" s="750" customFormat="1" x14ac:dyDescent="0.25">
      <c r="A609" s="1115"/>
      <c r="B609" s="766" t="s">
        <v>1177</v>
      </c>
      <c r="C609" s="753"/>
      <c r="D609" s="1124"/>
      <c r="E609" s="767" t="s">
        <v>1437</v>
      </c>
      <c r="F609" s="768" t="s">
        <v>1438</v>
      </c>
      <c r="G609" s="769">
        <v>0.74</v>
      </c>
      <c r="H609" s="768">
        <v>0.01</v>
      </c>
      <c r="I609" s="770">
        <f t="shared" ref="I609:I614" si="33">G609*H609</f>
        <v>7.4000000000000003E-3</v>
      </c>
      <c r="J609" s="758" t="s">
        <v>1291</v>
      </c>
      <c r="K609" s="771">
        <v>2</v>
      </c>
      <c r="L609" s="772">
        <v>750</v>
      </c>
      <c r="M609" s="771">
        <v>2</v>
      </c>
      <c r="N609" s="786">
        <f>L609*2/'Исп. коэффициенты'!E49*(C613+C614)</f>
        <v>0.21251378647770811</v>
      </c>
      <c r="O609" s="759" t="s">
        <v>1667</v>
      </c>
      <c r="P609" s="759">
        <v>4500</v>
      </c>
      <c r="Q609" s="759">
        <v>19.670000000000002</v>
      </c>
      <c r="R609" s="759">
        <f>P609*Q609%</f>
        <v>885.15000000000009</v>
      </c>
      <c r="S609" s="787">
        <f>R609/'Исп. коэффициенты'!E49*(C613+C614)</f>
        <v>0.12540438540049556</v>
      </c>
      <c r="T609" s="762"/>
      <c r="U609" s="756">
        <v>6785401.3499999996</v>
      </c>
      <c r="V609" s="785">
        <f>'Исп. коэффициенты'!E124</f>
        <v>2978.5</v>
      </c>
      <c r="W609" s="761">
        <f>'Исп. коэффициенты'!D124</f>
        <v>1.3599999999999999E-2</v>
      </c>
      <c r="X609" s="760">
        <f>U609*W609</f>
        <v>92281.45835999999</v>
      </c>
      <c r="Y609" s="759">
        <f>X609/'Исп. коэффициенты'!E49*(C613+C614)</f>
        <v>13.074054758512366</v>
      </c>
      <c r="Z609" s="759"/>
      <c r="AA609" s="755"/>
      <c r="AB609" s="755"/>
      <c r="AC609" s="773"/>
    </row>
    <row r="610" spans="1:29" s="750" customFormat="1" x14ac:dyDescent="0.25">
      <c r="A610" s="1115"/>
      <c r="B610" s="774" t="s">
        <v>1178</v>
      </c>
      <c r="C610" s="753">
        <f>C601</f>
        <v>33.667709452234185</v>
      </c>
      <c r="D610" s="1124"/>
      <c r="E610" s="767" t="s">
        <v>1439</v>
      </c>
      <c r="F610" s="768" t="s">
        <v>1438</v>
      </c>
      <c r="G610" s="769">
        <v>0.27</v>
      </c>
      <c r="H610" s="768">
        <v>0.01</v>
      </c>
      <c r="I610" s="775">
        <f t="shared" si="33"/>
        <v>2.7000000000000001E-3</v>
      </c>
      <c r="J610" s="758" t="s">
        <v>1445</v>
      </c>
      <c r="K610" s="760">
        <v>2</v>
      </c>
      <c r="L610" s="776">
        <v>95</v>
      </c>
      <c r="M610" s="771">
        <v>2</v>
      </c>
      <c r="N610" s="786">
        <f>L610*2/'Исп. коэффициенты'!E49*(C613+C614)</f>
        <v>2.6918412953843028E-2</v>
      </c>
      <c r="O610" s="759" t="s">
        <v>1668</v>
      </c>
      <c r="P610" s="759">
        <v>6750</v>
      </c>
      <c r="Q610" s="759">
        <v>19.670000000000002</v>
      </c>
      <c r="R610" s="759">
        <f>P610*Q610%</f>
        <v>1327.7250000000001</v>
      </c>
      <c r="S610" s="787">
        <f>R610/'Исп. коэффициенты'!E49*(C613+C614)</f>
        <v>0.18810657810074333</v>
      </c>
      <c r="T610" s="762"/>
      <c r="U610" s="759"/>
      <c r="V610" s="759"/>
      <c r="W610" s="777"/>
      <c r="X610" s="759"/>
      <c r="Y610" s="759"/>
      <c r="Z610" s="759"/>
      <c r="AA610" s="755"/>
      <c r="AB610" s="755"/>
      <c r="AC610" s="773"/>
    </row>
    <row r="611" spans="1:29" s="750" customFormat="1" x14ac:dyDescent="0.25">
      <c r="A611" s="1115"/>
      <c r="B611" s="754" t="s">
        <v>1179</v>
      </c>
      <c r="C611" s="778">
        <f>C602</f>
        <v>23.142403978774023</v>
      </c>
      <c r="D611" s="1124"/>
      <c r="E611" s="767" t="s">
        <v>1440</v>
      </c>
      <c r="F611" s="768" t="s">
        <v>1441</v>
      </c>
      <c r="G611" s="769">
        <v>4.4000000000000004</v>
      </c>
      <c r="H611" s="779">
        <v>1</v>
      </c>
      <c r="I611" s="770">
        <f t="shared" si="33"/>
        <v>4.4000000000000004</v>
      </c>
      <c r="J611" s="758" t="s">
        <v>1513</v>
      </c>
      <c r="K611" s="760">
        <v>2</v>
      </c>
      <c r="L611" s="760">
        <v>25</v>
      </c>
      <c r="M611" s="771">
        <v>0.5</v>
      </c>
      <c r="N611" s="786">
        <f>L611*0.5/'Исп. коэффициенты'!E49*(C613+C614)</f>
        <v>1.7709482206475675E-3</v>
      </c>
      <c r="O611" s="759"/>
      <c r="P611" s="759"/>
      <c r="Q611" s="759"/>
      <c r="R611" s="759"/>
      <c r="S611" s="759"/>
      <c r="T611" s="762"/>
      <c r="U611" s="759"/>
      <c r="V611" s="759"/>
      <c r="W611" s="777"/>
      <c r="X611" s="759"/>
      <c r="Y611" s="759"/>
      <c r="Z611" s="759"/>
      <c r="AA611" s="755"/>
      <c r="AB611" s="755"/>
      <c r="AC611" s="773"/>
    </row>
    <row r="612" spans="1:29" s="750" customFormat="1" x14ac:dyDescent="0.25">
      <c r="A612" s="1115"/>
      <c r="B612" s="754" t="s">
        <v>1180</v>
      </c>
      <c r="C612" s="753"/>
      <c r="D612" s="1124"/>
      <c r="E612" s="767" t="s">
        <v>1442</v>
      </c>
      <c r="F612" s="768" t="s">
        <v>1443</v>
      </c>
      <c r="G612" s="769">
        <v>419.5</v>
      </c>
      <c r="H612" s="768">
        <v>1E-3</v>
      </c>
      <c r="I612" s="770">
        <f t="shared" si="33"/>
        <v>0.41949999999999998</v>
      </c>
      <c r="J612" s="758"/>
      <c r="K612" s="760"/>
      <c r="L612" s="760"/>
      <c r="M612" s="760"/>
      <c r="N612" s="760"/>
      <c r="O612" s="759"/>
      <c r="P612" s="759"/>
      <c r="Q612" s="759"/>
      <c r="R612" s="759"/>
      <c r="S612" s="759"/>
      <c r="T612" s="762"/>
      <c r="U612" s="759"/>
      <c r="V612" s="759"/>
      <c r="W612" s="777"/>
      <c r="X612" s="759"/>
      <c r="Y612" s="759"/>
      <c r="Z612" s="759"/>
      <c r="AA612" s="755"/>
      <c r="AB612" s="755"/>
      <c r="AC612" s="773"/>
    </row>
    <row r="613" spans="1:29" s="750" customFormat="1" x14ac:dyDescent="0.25">
      <c r="A613" s="1115"/>
      <c r="B613" s="774" t="s">
        <v>1178</v>
      </c>
      <c r="C613" s="753">
        <v>0.8</v>
      </c>
      <c r="D613" s="1124"/>
      <c r="E613" s="767" t="s">
        <v>1444</v>
      </c>
      <c r="F613" s="768" t="s">
        <v>1443</v>
      </c>
      <c r="G613" s="769">
        <v>872</v>
      </c>
      <c r="H613" s="768">
        <v>2E-3</v>
      </c>
      <c r="I613" s="770">
        <f t="shared" si="33"/>
        <v>1.744</v>
      </c>
      <c r="J613" s="758"/>
      <c r="K613" s="760"/>
      <c r="L613" s="760"/>
      <c r="M613" s="771"/>
      <c r="N613" s="760"/>
      <c r="O613" s="759"/>
      <c r="P613" s="759"/>
      <c r="Q613" s="759"/>
      <c r="R613" s="759"/>
      <c r="S613" s="759"/>
      <c r="T613" s="762"/>
      <c r="U613" s="759"/>
      <c r="V613" s="759"/>
      <c r="W613" s="777"/>
      <c r="X613" s="759"/>
      <c r="Y613" s="759"/>
      <c r="Z613" s="759"/>
      <c r="AA613" s="755"/>
      <c r="AB613" s="755"/>
      <c r="AC613" s="773"/>
    </row>
    <row r="614" spans="1:29" s="750" customFormat="1" x14ac:dyDescent="0.25">
      <c r="A614" s="1115"/>
      <c r="B614" s="754" t="s">
        <v>1179</v>
      </c>
      <c r="C614" s="753">
        <v>0.7</v>
      </c>
      <c r="D614" s="1124"/>
      <c r="E614" s="780" t="s">
        <v>1517</v>
      </c>
      <c r="F614" s="781" t="s">
        <v>1441</v>
      </c>
      <c r="G614" s="769">
        <v>1.31</v>
      </c>
      <c r="H614" s="768">
        <v>1</v>
      </c>
      <c r="I614" s="770">
        <f t="shared" si="33"/>
        <v>1.31</v>
      </c>
      <c r="J614" s="758"/>
      <c r="K614" s="760"/>
      <c r="L614" s="760"/>
      <c r="M614" s="771"/>
      <c r="N614" s="760"/>
      <c r="O614" s="759"/>
      <c r="P614" s="759"/>
      <c r="Q614" s="759"/>
      <c r="R614" s="759"/>
      <c r="S614" s="759"/>
      <c r="T614" s="762"/>
      <c r="U614" s="759"/>
      <c r="V614" s="759"/>
      <c r="W614" s="777"/>
      <c r="X614" s="759"/>
      <c r="Y614" s="759"/>
      <c r="Z614" s="759"/>
      <c r="AA614" s="755"/>
      <c r="AB614" s="755"/>
      <c r="AC614" s="773"/>
    </row>
    <row r="615" spans="1:29" s="750" customFormat="1" x14ac:dyDescent="0.25">
      <c r="A615" s="1115"/>
      <c r="B615" s="782" t="s">
        <v>1181</v>
      </c>
      <c r="C615" s="753">
        <f>C610*C613+C611*C614</f>
        <v>43.133850346929165</v>
      </c>
      <c r="D615" s="1125"/>
      <c r="E615" s="767" t="s">
        <v>1892</v>
      </c>
      <c r="F615" s="768"/>
      <c r="G615" s="769"/>
      <c r="H615" s="768"/>
      <c r="I615" s="770">
        <v>218.74</v>
      </c>
      <c r="J615" s="758"/>
      <c r="K615" s="760"/>
      <c r="L615" s="760"/>
      <c r="M615" s="771"/>
      <c r="N615" s="760"/>
      <c r="O615" s="759"/>
      <c r="P615" s="759"/>
      <c r="Q615" s="759"/>
      <c r="R615" s="759"/>
      <c r="S615" s="759"/>
      <c r="T615" s="762"/>
      <c r="U615" s="759"/>
      <c r="V615" s="759"/>
      <c r="W615" s="777"/>
      <c r="X615" s="759"/>
      <c r="Y615" s="759"/>
      <c r="Z615" s="759"/>
      <c r="AA615" s="755"/>
      <c r="AB615" s="755"/>
      <c r="AC615" s="773"/>
    </row>
    <row r="616" spans="1:29" s="750" customFormat="1" x14ac:dyDescent="0.25">
      <c r="A616" s="1116"/>
      <c r="B616" s="783"/>
      <c r="C616" s="784"/>
      <c r="D616" s="778"/>
      <c r="E616" s="767"/>
      <c r="F616" s="768"/>
      <c r="G616" s="769"/>
      <c r="H616" s="768"/>
      <c r="I616" s="770"/>
      <c r="J616" s="758"/>
      <c r="K616" s="760"/>
      <c r="L616" s="760"/>
      <c r="M616" s="771"/>
      <c r="N616" s="760"/>
      <c r="O616" s="759"/>
      <c r="P616" s="759"/>
      <c r="Q616" s="759"/>
      <c r="R616" s="759"/>
      <c r="S616" s="759"/>
      <c r="T616" s="762"/>
      <c r="U616" s="759"/>
      <c r="V616" s="759"/>
      <c r="W616" s="777"/>
      <c r="X616" s="759"/>
      <c r="Y616" s="759"/>
      <c r="Z616" s="759"/>
      <c r="AA616" s="755"/>
      <c r="AB616" s="755"/>
      <c r="AC616" s="773"/>
    </row>
    <row r="617" spans="1:29" s="750" customFormat="1" ht="12.75" customHeight="1" x14ac:dyDescent="0.25">
      <c r="A617" s="1114" t="s">
        <v>2074</v>
      </c>
      <c r="B617" s="752" t="s">
        <v>1175</v>
      </c>
      <c r="C617" s="753">
        <f>C624</f>
        <v>43.133850346929165</v>
      </c>
      <c r="D617" s="1123">
        <f>C617*D14</f>
        <v>0</v>
      </c>
      <c r="E617" s="754" t="s">
        <v>1176</v>
      </c>
      <c r="F617" s="755"/>
      <c r="G617" s="756"/>
      <c r="H617" s="756"/>
      <c r="I617" s="757">
        <f>SUM(I618:I625)</f>
        <v>414.8836</v>
      </c>
      <c r="J617" s="758" t="s">
        <v>1176</v>
      </c>
      <c r="K617" s="759"/>
      <c r="L617" s="759"/>
      <c r="M617" s="759"/>
      <c r="N617" s="760">
        <f>SUM(N618:N625)</f>
        <v>0.24120314765219872</v>
      </c>
      <c r="O617" s="759"/>
      <c r="P617" s="759"/>
      <c r="Q617" s="759"/>
      <c r="R617" s="759"/>
      <c r="S617" s="759">
        <f>S618+S619</f>
        <v>0.31351096350123886</v>
      </c>
      <c r="T617" s="755" t="s">
        <v>1435</v>
      </c>
      <c r="U617" s="756"/>
      <c r="V617" s="761"/>
      <c r="W617" s="755"/>
      <c r="X617" s="760"/>
      <c r="Y617" s="760">
        <f>SUM(Y618:Y625)</f>
        <v>13.074054758512366</v>
      </c>
      <c r="Z617" s="762">
        <f>(C617+D617+I617+N617+Y617+S617)*$Z$5</f>
        <v>613.22860957860587</v>
      </c>
      <c r="AA617" s="763">
        <f>C617+D617+I617+N617+S617+Y617+Z617</f>
        <v>1084.8748287952008</v>
      </c>
      <c r="AB617" s="764">
        <v>0.25</v>
      </c>
      <c r="AC617" s="765">
        <f>AA617*(1+AB617)</f>
        <v>1356.0935359940008</v>
      </c>
    </row>
    <row r="618" spans="1:29" s="750" customFormat="1" x14ac:dyDescent="0.25">
      <c r="A618" s="1115"/>
      <c r="B618" s="766" t="s">
        <v>1177</v>
      </c>
      <c r="C618" s="753"/>
      <c r="D618" s="1124"/>
      <c r="E618" s="767" t="s">
        <v>1437</v>
      </c>
      <c r="F618" s="768" t="s">
        <v>1438</v>
      </c>
      <c r="G618" s="769">
        <v>0.74</v>
      </c>
      <c r="H618" s="768">
        <v>0.01</v>
      </c>
      <c r="I618" s="770">
        <f t="shared" ref="I618:I623" si="34">G618*H618</f>
        <v>7.4000000000000003E-3</v>
      </c>
      <c r="J618" s="758" t="s">
        <v>1291</v>
      </c>
      <c r="K618" s="771">
        <v>2</v>
      </c>
      <c r="L618" s="772">
        <v>750</v>
      </c>
      <c r="M618" s="771">
        <v>2</v>
      </c>
      <c r="N618" s="786">
        <f>L618*2/'Исп. коэффициенты'!E49*(C622+C623)</f>
        <v>0.21251378647770811</v>
      </c>
      <c r="O618" s="759" t="s">
        <v>1667</v>
      </c>
      <c r="P618" s="759">
        <v>4500</v>
      </c>
      <c r="Q618" s="759">
        <v>19.670000000000002</v>
      </c>
      <c r="R618" s="759">
        <f>P618*Q618%</f>
        <v>885.15000000000009</v>
      </c>
      <c r="S618" s="787">
        <f>R618/'Исп. коэффициенты'!E49*(C622+C623)</f>
        <v>0.12540438540049556</v>
      </c>
      <c r="T618" s="762"/>
      <c r="U618" s="756">
        <v>6785401.3499999996</v>
      </c>
      <c r="V618" s="785">
        <f>'Исп. коэффициенты'!E124</f>
        <v>2978.5</v>
      </c>
      <c r="W618" s="761">
        <f>'Исп. коэффициенты'!D124</f>
        <v>1.3599999999999999E-2</v>
      </c>
      <c r="X618" s="760">
        <f>U618*W618</f>
        <v>92281.45835999999</v>
      </c>
      <c r="Y618" s="759">
        <f>X618/'Исп. коэффициенты'!E49*(C622+C623)</f>
        <v>13.074054758512366</v>
      </c>
      <c r="Z618" s="759"/>
      <c r="AA618" s="755"/>
      <c r="AB618" s="755"/>
      <c r="AC618" s="773"/>
    </row>
    <row r="619" spans="1:29" s="750" customFormat="1" x14ac:dyDescent="0.25">
      <c r="A619" s="1115"/>
      <c r="B619" s="774" t="s">
        <v>1178</v>
      </c>
      <c r="C619" s="753">
        <f>C610</f>
        <v>33.667709452234185</v>
      </c>
      <c r="D619" s="1124"/>
      <c r="E619" s="767" t="s">
        <v>1439</v>
      </c>
      <c r="F619" s="768" t="s">
        <v>1438</v>
      </c>
      <c r="G619" s="769">
        <v>0.27</v>
      </c>
      <c r="H619" s="768">
        <v>0.01</v>
      </c>
      <c r="I619" s="775">
        <f t="shared" si="34"/>
        <v>2.7000000000000001E-3</v>
      </c>
      <c r="J619" s="758" t="s">
        <v>1445</v>
      </c>
      <c r="K619" s="760">
        <v>2</v>
      </c>
      <c r="L619" s="776">
        <v>95</v>
      </c>
      <c r="M619" s="771">
        <v>2</v>
      </c>
      <c r="N619" s="786">
        <f>L619*2/'Исп. коэффициенты'!E49*(C622+C623)</f>
        <v>2.6918412953843028E-2</v>
      </c>
      <c r="O619" s="759" t="s">
        <v>1668</v>
      </c>
      <c r="P619" s="759">
        <v>6750</v>
      </c>
      <c r="Q619" s="759">
        <v>19.670000000000002</v>
      </c>
      <c r="R619" s="759">
        <f>P619*Q619%</f>
        <v>1327.7250000000001</v>
      </c>
      <c r="S619" s="787">
        <f>R619/'Исп. коэффициенты'!E49*(C622+C623)</f>
        <v>0.18810657810074333</v>
      </c>
      <c r="T619" s="762"/>
      <c r="U619" s="759"/>
      <c r="V619" s="759"/>
      <c r="W619" s="777"/>
      <c r="X619" s="759"/>
      <c r="Y619" s="759"/>
      <c r="Z619" s="759"/>
      <c r="AA619" s="755"/>
      <c r="AB619" s="755"/>
      <c r="AC619" s="773"/>
    </row>
    <row r="620" spans="1:29" s="750" customFormat="1" x14ac:dyDescent="0.25">
      <c r="A620" s="1115"/>
      <c r="B620" s="754" t="s">
        <v>1179</v>
      </c>
      <c r="C620" s="778">
        <f>C611</f>
        <v>23.142403978774023</v>
      </c>
      <c r="D620" s="1124"/>
      <c r="E620" s="767" t="s">
        <v>1440</v>
      </c>
      <c r="F620" s="768" t="s">
        <v>1441</v>
      </c>
      <c r="G620" s="769">
        <v>4.4000000000000004</v>
      </c>
      <c r="H620" s="779">
        <v>1</v>
      </c>
      <c r="I620" s="770">
        <f t="shared" si="34"/>
        <v>4.4000000000000004</v>
      </c>
      <c r="J620" s="758" t="s">
        <v>1513</v>
      </c>
      <c r="K620" s="760">
        <v>2</v>
      </c>
      <c r="L620" s="760">
        <v>25</v>
      </c>
      <c r="M620" s="771">
        <v>0.5</v>
      </c>
      <c r="N620" s="786">
        <f>L620*0.5/'Исп. коэффициенты'!E49*(C622+C623)</f>
        <v>1.7709482206475675E-3</v>
      </c>
      <c r="O620" s="759"/>
      <c r="P620" s="759"/>
      <c r="Q620" s="759"/>
      <c r="R620" s="759"/>
      <c r="S620" s="759"/>
      <c r="T620" s="762"/>
      <c r="U620" s="759"/>
      <c r="V620" s="759"/>
      <c r="W620" s="777"/>
      <c r="X620" s="759"/>
      <c r="Y620" s="759"/>
      <c r="Z620" s="759"/>
      <c r="AA620" s="755"/>
      <c r="AB620" s="755"/>
      <c r="AC620" s="773"/>
    </row>
    <row r="621" spans="1:29" s="750" customFormat="1" x14ac:dyDescent="0.25">
      <c r="A621" s="1115"/>
      <c r="B621" s="754" t="s">
        <v>1180</v>
      </c>
      <c r="C621" s="753"/>
      <c r="D621" s="1124"/>
      <c r="E621" s="767" t="s">
        <v>1442</v>
      </c>
      <c r="F621" s="768" t="s">
        <v>1443</v>
      </c>
      <c r="G621" s="769">
        <v>419.5</v>
      </c>
      <c r="H621" s="768">
        <v>1E-3</v>
      </c>
      <c r="I621" s="770">
        <f t="shared" si="34"/>
        <v>0.41949999999999998</v>
      </c>
      <c r="J621" s="758"/>
      <c r="K621" s="760"/>
      <c r="L621" s="760"/>
      <c r="M621" s="760"/>
      <c r="N621" s="760"/>
      <c r="O621" s="759"/>
      <c r="P621" s="759"/>
      <c r="Q621" s="759"/>
      <c r="R621" s="759"/>
      <c r="S621" s="759"/>
      <c r="T621" s="762"/>
      <c r="U621" s="759"/>
      <c r="V621" s="759"/>
      <c r="W621" s="777"/>
      <c r="X621" s="759"/>
      <c r="Y621" s="759"/>
      <c r="Z621" s="759"/>
      <c r="AA621" s="755"/>
      <c r="AB621" s="755"/>
      <c r="AC621" s="773"/>
    </row>
    <row r="622" spans="1:29" s="750" customFormat="1" x14ac:dyDescent="0.25">
      <c r="A622" s="1115"/>
      <c r="B622" s="774" t="s">
        <v>1178</v>
      </c>
      <c r="C622" s="753">
        <v>0.8</v>
      </c>
      <c r="D622" s="1124"/>
      <c r="E622" s="767" t="s">
        <v>1444</v>
      </c>
      <c r="F622" s="768" t="s">
        <v>1443</v>
      </c>
      <c r="G622" s="769">
        <v>872</v>
      </c>
      <c r="H622" s="768">
        <v>2E-3</v>
      </c>
      <c r="I622" s="770">
        <f t="shared" si="34"/>
        <v>1.744</v>
      </c>
      <c r="J622" s="758"/>
      <c r="K622" s="760"/>
      <c r="L622" s="760"/>
      <c r="M622" s="771"/>
      <c r="N622" s="760"/>
      <c r="O622" s="759"/>
      <c r="P622" s="759"/>
      <c r="Q622" s="759"/>
      <c r="R622" s="759"/>
      <c r="S622" s="759"/>
      <c r="T622" s="762"/>
      <c r="U622" s="759"/>
      <c r="V622" s="759"/>
      <c r="W622" s="777"/>
      <c r="X622" s="759"/>
      <c r="Y622" s="759"/>
      <c r="Z622" s="759"/>
      <c r="AA622" s="755"/>
      <c r="AB622" s="755"/>
      <c r="AC622" s="773"/>
    </row>
    <row r="623" spans="1:29" s="750" customFormat="1" x14ac:dyDescent="0.25">
      <c r="A623" s="1115"/>
      <c r="B623" s="754" t="s">
        <v>1179</v>
      </c>
      <c r="C623" s="753">
        <v>0.7</v>
      </c>
      <c r="D623" s="1124"/>
      <c r="E623" s="780" t="s">
        <v>1517</v>
      </c>
      <c r="F623" s="781" t="s">
        <v>1441</v>
      </c>
      <c r="G623" s="769">
        <v>1.31</v>
      </c>
      <c r="H623" s="768">
        <v>1</v>
      </c>
      <c r="I623" s="770">
        <f t="shared" si="34"/>
        <v>1.31</v>
      </c>
      <c r="J623" s="758"/>
      <c r="K623" s="760"/>
      <c r="L623" s="760"/>
      <c r="M623" s="771"/>
      <c r="N623" s="760"/>
      <c r="O623" s="759"/>
      <c r="P623" s="759"/>
      <c r="Q623" s="759"/>
      <c r="R623" s="759"/>
      <c r="S623" s="759"/>
      <c r="T623" s="762"/>
      <c r="U623" s="759"/>
      <c r="V623" s="759"/>
      <c r="W623" s="777"/>
      <c r="X623" s="759"/>
      <c r="Y623" s="759"/>
      <c r="Z623" s="759"/>
      <c r="AA623" s="755"/>
      <c r="AB623" s="755"/>
      <c r="AC623" s="773"/>
    </row>
    <row r="624" spans="1:29" s="750" customFormat="1" x14ac:dyDescent="0.25">
      <c r="A624" s="1115"/>
      <c r="B624" s="782" t="s">
        <v>1181</v>
      </c>
      <c r="C624" s="753">
        <f>C619*C622+C620*C623</f>
        <v>43.133850346929165</v>
      </c>
      <c r="D624" s="1125"/>
      <c r="E624" s="767" t="s">
        <v>1892</v>
      </c>
      <c r="F624" s="768"/>
      <c r="G624" s="769"/>
      <c r="H624" s="768"/>
      <c r="I624" s="770">
        <v>407</v>
      </c>
      <c r="J624" s="758"/>
      <c r="K624" s="760"/>
      <c r="L624" s="760"/>
      <c r="M624" s="771"/>
      <c r="N624" s="760"/>
      <c r="O624" s="759"/>
      <c r="P624" s="759"/>
      <c r="Q624" s="759"/>
      <c r="R624" s="759"/>
      <c r="S624" s="759"/>
      <c r="T624" s="762"/>
      <c r="U624" s="759"/>
      <c r="V624" s="759"/>
      <c r="W624" s="777"/>
      <c r="X624" s="759"/>
      <c r="Y624" s="759"/>
      <c r="Z624" s="759"/>
      <c r="AA624" s="755"/>
      <c r="AB624" s="755"/>
      <c r="AC624" s="773"/>
    </row>
    <row r="625" spans="1:29" s="750" customFormat="1" x14ac:dyDescent="0.25">
      <c r="A625" s="1116"/>
      <c r="B625" s="783"/>
      <c r="C625" s="784"/>
      <c r="D625" s="778"/>
      <c r="E625" s="767"/>
      <c r="F625" s="768"/>
      <c r="G625" s="769"/>
      <c r="H625" s="768"/>
      <c r="I625" s="770"/>
      <c r="J625" s="758"/>
      <c r="K625" s="760"/>
      <c r="L625" s="760"/>
      <c r="M625" s="771"/>
      <c r="N625" s="760"/>
      <c r="O625" s="759"/>
      <c r="P625" s="759"/>
      <c r="Q625" s="759"/>
      <c r="R625" s="759"/>
      <c r="S625" s="759"/>
      <c r="T625" s="762"/>
      <c r="U625" s="759"/>
      <c r="V625" s="759"/>
      <c r="W625" s="777"/>
      <c r="X625" s="759"/>
      <c r="Y625" s="759"/>
      <c r="Z625" s="759"/>
      <c r="AA625" s="755"/>
      <c r="AB625" s="755"/>
      <c r="AC625" s="773"/>
    </row>
    <row r="626" spans="1:29" s="750" customFormat="1" ht="12.75" customHeight="1" x14ac:dyDescent="0.25">
      <c r="A626" s="1114" t="s">
        <v>2075</v>
      </c>
      <c r="B626" s="752" t="s">
        <v>1175</v>
      </c>
      <c r="C626" s="753">
        <f>C633</f>
        <v>43.133850346929165</v>
      </c>
      <c r="D626" s="1123">
        <f>C626*D23</f>
        <v>0</v>
      </c>
      <c r="E626" s="754" t="s">
        <v>1176</v>
      </c>
      <c r="F626" s="755"/>
      <c r="G626" s="756"/>
      <c r="H626" s="756"/>
      <c r="I626" s="757">
        <f>SUM(I627:I634)</f>
        <v>346.8236</v>
      </c>
      <c r="J626" s="758" t="s">
        <v>1176</v>
      </c>
      <c r="K626" s="759"/>
      <c r="L626" s="759"/>
      <c r="M626" s="759"/>
      <c r="N626" s="760">
        <f>SUM(N627:N634)</f>
        <v>0.24120314765219872</v>
      </c>
      <c r="O626" s="759"/>
      <c r="P626" s="759"/>
      <c r="Q626" s="759"/>
      <c r="R626" s="759"/>
      <c r="S626" s="759">
        <f>S627+S628</f>
        <v>0.31351096350123886</v>
      </c>
      <c r="T626" s="755" t="s">
        <v>1435</v>
      </c>
      <c r="U626" s="756"/>
      <c r="V626" s="761"/>
      <c r="W626" s="755"/>
      <c r="X626" s="760"/>
      <c r="Y626" s="760">
        <f>SUM(Y627:Y634)</f>
        <v>13.074054758512366</v>
      </c>
      <c r="Z626" s="762">
        <f>(C626+D626+I626+N626+Y626+S626)*$Z$5</f>
        <v>524.73783520699305</v>
      </c>
      <c r="AA626" s="763">
        <f>C626+D626+I626+N626+S626+Y626+Z626</f>
        <v>928.324054423588</v>
      </c>
      <c r="AB626" s="764">
        <v>0.25</v>
      </c>
      <c r="AC626" s="765">
        <f>AA626*(1+AB626)</f>
        <v>1160.4050680294849</v>
      </c>
    </row>
    <row r="627" spans="1:29" s="750" customFormat="1" x14ac:dyDescent="0.25">
      <c r="A627" s="1115"/>
      <c r="B627" s="766" t="s">
        <v>1177</v>
      </c>
      <c r="C627" s="753"/>
      <c r="D627" s="1124"/>
      <c r="E627" s="767" t="s">
        <v>1437</v>
      </c>
      <c r="F627" s="768" t="s">
        <v>1438</v>
      </c>
      <c r="G627" s="769">
        <v>0.74</v>
      </c>
      <c r="H627" s="768">
        <v>0.01</v>
      </c>
      <c r="I627" s="770">
        <f t="shared" ref="I627:I632" si="35">G627*H627</f>
        <v>7.4000000000000003E-3</v>
      </c>
      <c r="J627" s="758" t="s">
        <v>1291</v>
      </c>
      <c r="K627" s="771">
        <v>2</v>
      </c>
      <c r="L627" s="772">
        <v>750</v>
      </c>
      <c r="M627" s="771">
        <v>2</v>
      </c>
      <c r="N627" s="786">
        <f>L627*2/'Исп. коэффициенты'!E49*(C631+C632)</f>
        <v>0.21251378647770811</v>
      </c>
      <c r="O627" s="759" t="s">
        <v>1667</v>
      </c>
      <c r="P627" s="759">
        <v>4500</v>
      </c>
      <c r="Q627" s="759">
        <v>19.670000000000002</v>
      </c>
      <c r="R627" s="759">
        <f>P627*Q627%</f>
        <v>885.15000000000009</v>
      </c>
      <c r="S627" s="787">
        <f>R627/'Исп. коэффициенты'!E49*(C631+C632)</f>
        <v>0.12540438540049556</v>
      </c>
      <c r="T627" s="762"/>
      <c r="U627" s="756">
        <v>6785401.3499999996</v>
      </c>
      <c r="V627" s="785">
        <f>'Исп. коэффициенты'!E124</f>
        <v>2978.5</v>
      </c>
      <c r="W627" s="761">
        <f>'Исп. коэффициенты'!D124</f>
        <v>1.3599999999999999E-2</v>
      </c>
      <c r="X627" s="760">
        <f>U627*W627</f>
        <v>92281.45835999999</v>
      </c>
      <c r="Y627" s="759">
        <f>X627/'Исп. коэффициенты'!E49*(C631+C632)</f>
        <v>13.074054758512366</v>
      </c>
      <c r="Z627" s="759"/>
      <c r="AA627" s="755"/>
      <c r="AB627" s="755"/>
      <c r="AC627" s="773"/>
    </row>
    <row r="628" spans="1:29" s="750" customFormat="1" x14ac:dyDescent="0.25">
      <c r="A628" s="1115"/>
      <c r="B628" s="774" t="s">
        <v>1178</v>
      </c>
      <c r="C628" s="753">
        <f>C619</f>
        <v>33.667709452234185</v>
      </c>
      <c r="D628" s="1124"/>
      <c r="E628" s="767" t="s">
        <v>1439</v>
      </c>
      <c r="F628" s="768" t="s">
        <v>1438</v>
      </c>
      <c r="G628" s="769">
        <v>0.27</v>
      </c>
      <c r="H628" s="768">
        <v>0.01</v>
      </c>
      <c r="I628" s="775">
        <f t="shared" si="35"/>
        <v>2.7000000000000001E-3</v>
      </c>
      <c r="J628" s="758" t="s">
        <v>1445</v>
      </c>
      <c r="K628" s="760">
        <v>2</v>
      </c>
      <c r="L628" s="776">
        <v>95</v>
      </c>
      <c r="M628" s="771">
        <v>2</v>
      </c>
      <c r="N628" s="786">
        <f>L628*2/'Исп. коэффициенты'!E49*(C631+C632)</f>
        <v>2.6918412953843028E-2</v>
      </c>
      <c r="O628" s="759" t="s">
        <v>1668</v>
      </c>
      <c r="P628" s="759">
        <v>6750</v>
      </c>
      <c r="Q628" s="759">
        <v>19.670000000000002</v>
      </c>
      <c r="R628" s="759">
        <f>P628*Q628%</f>
        <v>1327.7250000000001</v>
      </c>
      <c r="S628" s="787">
        <f>R628/'Исп. коэффициенты'!E49*(C631+C632)</f>
        <v>0.18810657810074333</v>
      </c>
      <c r="T628" s="762"/>
      <c r="U628" s="759"/>
      <c r="V628" s="759"/>
      <c r="W628" s="777"/>
      <c r="X628" s="759"/>
      <c r="Y628" s="759"/>
      <c r="Z628" s="759"/>
      <c r="AA628" s="755"/>
      <c r="AB628" s="755"/>
      <c r="AC628" s="773"/>
    </row>
    <row r="629" spans="1:29" s="750" customFormat="1" x14ac:dyDescent="0.25">
      <c r="A629" s="1115"/>
      <c r="B629" s="754" t="s">
        <v>1179</v>
      </c>
      <c r="C629" s="778">
        <f>C620</f>
        <v>23.142403978774023</v>
      </c>
      <c r="D629" s="1124"/>
      <c r="E629" s="767" t="s">
        <v>1440</v>
      </c>
      <c r="F629" s="768" t="s">
        <v>1441</v>
      </c>
      <c r="G629" s="769">
        <v>4.4000000000000004</v>
      </c>
      <c r="H629" s="779">
        <v>1</v>
      </c>
      <c r="I629" s="770">
        <f t="shared" si="35"/>
        <v>4.4000000000000004</v>
      </c>
      <c r="J629" s="758" t="s">
        <v>1513</v>
      </c>
      <c r="K629" s="760">
        <v>2</v>
      </c>
      <c r="L629" s="760">
        <v>25</v>
      </c>
      <c r="M629" s="771">
        <v>0.5</v>
      </c>
      <c r="N629" s="786">
        <f>L629*0.5/'Исп. коэффициенты'!E49*(C631+C632)</f>
        <v>1.7709482206475675E-3</v>
      </c>
      <c r="O629" s="759"/>
      <c r="P629" s="759"/>
      <c r="Q629" s="759"/>
      <c r="R629" s="759"/>
      <c r="S629" s="759"/>
      <c r="T629" s="762"/>
      <c r="U629" s="759"/>
      <c r="V629" s="759"/>
      <c r="W629" s="777"/>
      <c r="X629" s="759"/>
      <c r="Y629" s="759"/>
      <c r="Z629" s="759"/>
      <c r="AA629" s="755"/>
      <c r="AB629" s="755"/>
      <c r="AC629" s="773"/>
    </row>
    <row r="630" spans="1:29" s="750" customFormat="1" x14ac:dyDescent="0.25">
      <c r="A630" s="1115"/>
      <c r="B630" s="754" t="s">
        <v>1180</v>
      </c>
      <c r="C630" s="753"/>
      <c r="D630" s="1124"/>
      <c r="E630" s="767" t="s">
        <v>1442</v>
      </c>
      <c r="F630" s="768" t="s">
        <v>1443</v>
      </c>
      <c r="G630" s="769">
        <v>419.5</v>
      </c>
      <c r="H630" s="768">
        <v>1E-3</v>
      </c>
      <c r="I630" s="770">
        <f t="shared" si="35"/>
        <v>0.41949999999999998</v>
      </c>
      <c r="J630" s="758"/>
      <c r="K630" s="760"/>
      <c r="L630" s="760"/>
      <c r="M630" s="760"/>
      <c r="N630" s="760"/>
      <c r="O630" s="759"/>
      <c r="P630" s="759"/>
      <c r="Q630" s="759"/>
      <c r="R630" s="759"/>
      <c r="S630" s="759"/>
      <c r="T630" s="762"/>
      <c r="U630" s="759"/>
      <c r="V630" s="759"/>
      <c r="W630" s="777"/>
      <c r="X630" s="759"/>
      <c r="Y630" s="759"/>
      <c r="Z630" s="759"/>
      <c r="AA630" s="755"/>
      <c r="AB630" s="755"/>
      <c r="AC630" s="773"/>
    </row>
    <row r="631" spans="1:29" s="750" customFormat="1" x14ac:dyDescent="0.25">
      <c r="A631" s="1115"/>
      <c r="B631" s="774" t="s">
        <v>1178</v>
      </c>
      <c r="C631" s="753">
        <v>0.8</v>
      </c>
      <c r="D631" s="1124"/>
      <c r="E631" s="767" t="s">
        <v>1444</v>
      </c>
      <c r="F631" s="768" t="s">
        <v>1443</v>
      </c>
      <c r="G631" s="769">
        <v>872</v>
      </c>
      <c r="H631" s="768">
        <v>2E-3</v>
      </c>
      <c r="I631" s="770">
        <f t="shared" si="35"/>
        <v>1.744</v>
      </c>
      <c r="J631" s="758"/>
      <c r="K631" s="760"/>
      <c r="L631" s="760"/>
      <c r="M631" s="771"/>
      <c r="N631" s="760"/>
      <c r="O631" s="759"/>
      <c r="P631" s="759"/>
      <c r="Q631" s="759"/>
      <c r="R631" s="759"/>
      <c r="S631" s="759"/>
      <c r="T631" s="762"/>
      <c r="U631" s="759"/>
      <c r="V631" s="759"/>
      <c r="W631" s="777"/>
      <c r="X631" s="759"/>
      <c r="Y631" s="759"/>
      <c r="Z631" s="759"/>
      <c r="AA631" s="755"/>
      <c r="AB631" s="755"/>
      <c r="AC631" s="773"/>
    </row>
    <row r="632" spans="1:29" s="750" customFormat="1" x14ac:dyDescent="0.25">
      <c r="A632" s="1115"/>
      <c r="B632" s="754" t="s">
        <v>1179</v>
      </c>
      <c r="C632" s="753">
        <v>0.7</v>
      </c>
      <c r="D632" s="1124"/>
      <c r="E632" s="780" t="s">
        <v>1517</v>
      </c>
      <c r="F632" s="781" t="s">
        <v>1441</v>
      </c>
      <c r="G632" s="769">
        <v>1.31</v>
      </c>
      <c r="H632" s="768">
        <v>1</v>
      </c>
      <c r="I632" s="770">
        <f t="shared" si="35"/>
        <v>1.31</v>
      </c>
      <c r="J632" s="758"/>
      <c r="K632" s="760"/>
      <c r="L632" s="760"/>
      <c r="M632" s="771"/>
      <c r="N632" s="760"/>
      <c r="O632" s="759"/>
      <c r="P632" s="759"/>
      <c r="Q632" s="759"/>
      <c r="R632" s="759"/>
      <c r="S632" s="759"/>
      <c r="T632" s="762"/>
      <c r="U632" s="759"/>
      <c r="V632" s="759"/>
      <c r="W632" s="777"/>
      <c r="X632" s="759"/>
      <c r="Y632" s="759"/>
      <c r="Z632" s="759"/>
      <c r="AA632" s="755"/>
      <c r="AB632" s="755"/>
      <c r="AC632" s="773"/>
    </row>
    <row r="633" spans="1:29" s="750" customFormat="1" x14ac:dyDescent="0.25">
      <c r="A633" s="1115"/>
      <c r="B633" s="782" t="s">
        <v>1181</v>
      </c>
      <c r="C633" s="753">
        <f>C628*C631+C629*C632</f>
        <v>43.133850346929165</v>
      </c>
      <c r="D633" s="1125"/>
      <c r="E633" s="767" t="s">
        <v>1892</v>
      </c>
      <c r="F633" s="768"/>
      <c r="G633" s="769"/>
      <c r="H633" s="768"/>
      <c r="I633" s="770">
        <v>338.94</v>
      </c>
      <c r="J633" s="758"/>
      <c r="K633" s="760"/>
      <c r="L633" s="760"/>
      <c r="M633" s="771"/>
      <c r="N633" s="760"/>
      <c r="O633" s="759"/>
      <c r="P633" s="759"/>
      <c r="Q633" s="759"/>
      <c r="R633" s="759"/>
      <c r="S633" s="759"/>
      <c r="T633" s="762"/>
      <c r="U633" s="759"/>
      <c r="V633" s="759"/>
      <c r="W633" s="777"/>
      <c r="X633" s="759"/>
      <c r="Y633" s="759"/>
      <c r="Z633" s="759"/>
      <c r="AA633" s="755"/>
      <c r="AB633" s="755"/>
      <c r="AC633" s="773"/>
    </row>
    <row r="634" spans="1:29" s="750" customFormat="1" x14ac:dyDescent="0.25">
      <c r="A634" s="1116"/>
      <c r="B634" s="783"/>
      <c r="C634" s="784"/>
      <c r="D634" s="778"/>
      <c r="E634" s="767"/>
      <c r="F634" s="768"/>
      <c r="G634" s="769"/>
      <c r="H634" s="768"/>
      <c r="I634" s="770"/>
      <c r="J634" s="758"/>
      <c r="K634" s="760"/>
      <c r="L634" s="760"/>
      <c r="M634" s="771"/>
      <c r="N634" s="760"/>
      <c r="O634" s="759"/>
      <c r="P634" s="759"/>
      <c r="Q634" s="759"/>
      <c r="R634" s="759"/>
      <c r="S634" s="759"/>
      <c r="T634" s="762"/>
      <c r="U634" s="759"/>
      <c r="V634" s="759"/>
      <c r="W634" s="777"/>
      <c r="X634" s="759"/>
      <c r="Y634" s="759"/>
      <c r="Z634" s="759"/>
      <c r="AA634" s="755"/>
      <c r="AB634" s="755"/>
      <c r="AC634" s="773"/>
    </row>
  </sheetData>
  <mergeCells count="85">
    <mergeCell ref="A626:A634"/>
    <mergeCell ref="D626:D633"/>
    <mergeCell ref="A77:A86"/>
    <mergeCell ref="A57:A66"/>
    <mergeCell ref="A67:A76"/>
    <mergeCell ref="A260:AC260"/>
    <mergeCell ref="A331:A340"/>
    <mergeCell ref="A281:A290"/>
    <mergeCell ref="A291:A300"/>
    <mergeCell ref="A301:A310"/>
    <mergeCell ref="A341:A350"/>
    <mergeCell ref="A311:A320"/>
    <mergeCell ref="A321:A330"/>
    <mergeCell ref="A271:A280"/>
    <mergeCell ref="A210:A219"/>
    <mergeCell ref="A261:A270"/>
    <mergeCell ref="AC4:AC5"/>
    <mergeCell ref="A230:A239"/>
    <mergeCell ref="A220:A229"/>
    <mergeCell ref="A6:AC6"/>
    <mergeCell ref="A7:A16"/>
    <mergeCell ref="O4:S5"/>
    <mergeCell ref="T4:Y5"/>
    <mergeCell ref="AA4:AA5"/>
    <mergeCell ref="AB4:AB5"/>
    <mergeCell ref="A148:A157"/>
    <mergeCell ref="A87:A96"/>
    <mergeCell ref="A98:A107"/>
    <mergeCell ref="A108:A117"/>
    <mergeCell ref="A118:A127"/>
    <mergeCell ref="A128:A137"/>
    <mergeCell ref="A209:AC209"/>
    <mergeCell ref="A351:A360"/>
    <mergeCell ref="A481:A490"/>
    <mergeCell ref="A511:A520"/>
    <mergeCell ref="A501:A510"/>
    <mergeCell ref="A1:M1"/>
    <mergeCell ref="B4:C4"/>
    <mergeCell ref="E4:I5"/>
    <mergeCell ref="J4:N5"/>
    <mergeCell ref="A47:A56"/>
    <mergeCell ref="A17:A26"/>
    <mergeCell ref="A27:A36"/>
    <mergeCell ref="A37:A46"/>
    <mergeCell ref="A451:A460"/>
    <mergeCell ref="A491:A500"/>
    <mergeCell ref="A250:A259"/>
    <mergeCell ref="A240:A249"/>
    <mergeCell ref="D608:D615"/>
    <mergeCell ref="D572:D580"/>
    <mergeCell ref="D563:D570"/>
    <mergeCell ref="A563:A571"/>
    <mergeCell ref="A531:A540"/>
    <mergeCell ref="A599:A607"/>
    <mergeCell ref="A553:A562"/>
    <mergeCell ref="A572:A580"/>
    <mergeCell ref="A552:AC552"/>
    <mergeCell ref="D553:D562"/>
    <mergeCell ref="D599:D606"/>
    <mergeCell ref="A581:A589"/>
    <mergeCell ref="D581:D588"/>
    <mergeCell ref="A590:A598"/>
    <mergeCell ref="D590:D597"/>
    <mergeCell ref="A617:A625"/>
    <mergeCell ref="D617:D624"/>
    <mergeCell ref="A361:A370"/>
    <mergeCell ref="A461:A470"/>
    <mergeCell ref="A411:A420"/>
    <mergeCell ref="A381:A390"/>
    <mergeCell ref="A441:A450"/>
    <mergeCell ref="A371:A380"/>
    <mergeCell ref="A421:A430"/>
    <mergeCell ref="A431:A440"/>
    <mergeCell ref="A391:A400"/>
    <mergeCell ref="A401:A410"/>
    <mergeCell ref="A541:A550"/>
    <mergeCell ref="A521:A530"/>
    <mergeCell ref="A471:A480"/>
    <mergeCell ref="A608:A616"/>
    <mergeCell ref="A198:A207"/>
    <mergeCell ref="A138:A147"/>
    <mergeCell ref="A158:A167"/>
    <mergeCell ref="A168:A177"/>
    <mergeCell ref="A178:A187"/>
    <mergeCell ref="A188:A197"/>
  </mergeCells>
  <phoneticPr fontId="2" type="noConversion"/>
  <pageMargins left="0.18" right="0.17" top="0.46" bottom="0.32" header="0.34" footer="0.18"/>
  <pageSetup paperSize="9" scale="55" orientation="landscape" r:id="rId1"/>
  <headerFooter alignWithMargins="0">
    <oddFooter>&amp;R&amp;P</oddFooter>
  </headerFooter>
  <rowBreaks count="4" manualBreakCount="4">
    <brk id="102" max="28" man="1"/>
    <brk id="259" max="16383" man="1"/>
    <brk id="320" max="16383" man="1"/>
    <brk id="551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BA955"/>
  <sheetViews>
    <sheetView topLeftCell="A626" workbookViewId="0">
      <selection activeCell="Y698" sqref="Y698"/>
    </sheetView>
  </sheetViews>
  <sheetFormatPr defaultColWidth="8.109375" defaultRowHeight="13.2" x14ac:dyDescent="0.25"/>
  <cols>
    <col min="1" max="1" width="24.33203125" style="445" customWidth="1"/>
    <col min="2" max="2" width="19.33203125" style="450" customWidth="1"/>
    <col min="3" max="3" width="16.88671875" style="477" customWidth="1"/>
    <col min="4" max="4" width="9" style="445" customWidth="1"/>
    <col min="5" max="5" width="32.5546875" style="450" customWidth="1"/>
    <col min="6" max="6" width="8.109375" style="478" customWidth="1"/>
    <col min="7" max="7" width="12.44140625" style="479" customWidth="1"/>
    <col min="8" max="8" width="8.109375" style="479" customWidth="1"/>
    <col min="9" max="9" width="8.109375" style="445" customWidth="1"/>
    <col min="10" max="10" width="8.109375" style="334" customWidth="1"/>
    <col min="11" max="11" width="8.109375" style="341" customWidth="1"/>
    <col min="12" max="26" width="8.109375" style="260" customWidth="1"/>
    <col min="27" max="29" width="8.109375" style="445" hidden="1" customWidth="1"/>
    <col min="30" max="31" width="8.109375" style="445" customWidth="1"/>
    <col min="32" max="32" width="8.109375" style="446" customWidth="1"/>
    <col min="33" max="37" width="8.109375" style="444" customWidth="1"/>
    <col min="38" max="38" width="8.109375" style="447" customWidth="1"/>
    <col min="39" max="40" width="8.109375" style="444" customWidth="1"/>
    <col min="41" max="41" width="8.109375" style="448" customWidth="1"/>
    <col min="42" max="43" width="8.109375" style="444" customWidth="1"/>
    <col min="44" max="45" width="8.109375" style="448" customWidth="1"/>
    <col min="46" max="47" width="8.109375" style="444" customWidth="1"/>
    <col min="48" max="48" width="8.109375" style="448" customWidth="1"/>
    <col min="49" max="53" width="8.109375" style="444" customWidth="1"/>
    <col min="54" max="16384" width="8.109375" style="445"/>
  </cols>
  <sheetData>
    <row r="1" spans="1:53" ht="22.5" customHeight="1" x14ac:dyDescent="0.25">
      <c r="A1" s="1025" t="s">
        <v>861</v>
      </c>
      <c r="B1" s="1025"/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AI1" s="338"/>
    </row>
    <row r="2" spans="1:53" ht="22.5" customHeight="1" x14ac:dyDescent="0.25">
      <c r="A2" s="39"/>
      <c r="B2" s="469" t="s">
        <v>1178</v>
      </c>
      <c r="C2" s="476">
        <f>'Заработная плата'!W80</f>
        <v>43.888814515309463</v>
      </c>
      <c r="D2" s="39"/>
      <c r="E2" s="39"/>
      <c r="F2" s="39"/>
      <c r="G2" s="39"/>
      <c r="H2" s="39"/>
      <c r="I2" s="39"/>
      <c r="J2" s="39"/>
      <c r="K2" s="39"/>
      <c r="L2" s="39"/>
      <c r="M2" s="39"/>
      <c r="AI2" s="338"/>
    </row>
    <row r="3" spans="1:53" ht="22.5" customHeight="1" x14ac:dyDescent="0.25">
      <c r="A3" s="39"/>
      <c r="B3" s="452" t="s">
        <v>1179</v>
      </c>
      <c r="C3" s="476">
        <f>'Заработная плата'!M97</f>
        <v>19.495759833054819</v>
      </c>
      <c r="D3" s="39"/>
      <c r="E3" s="39"/>
      <c r="F3" s="39"/>
      <c r="G3" s="39"/>
      <c r="H3" s="39"/>
      <c r="I3" s="39"/>
      <c r="J3" s="39"/>
      <c r="K3" s="39"/>
      <c r="L3" s="39"/>
      <c r="M3" s="39"/>
      <c r="AI3" s="338"/>
    </row>
    <row r="4" spans="1:53" ht="12.75" customHeight="1" x14ac:dyDescent="0.25">
      <c r="A4" s="39"/>
    </row>
    <row r="5" spans="1:53" ht="12.75" customHeight="1" x14ac:dyDescent="0.25">
      <c r="A5" s="445" t="s">
        <v>608</v>
      </c>
    </row>
    <row r="6" spans="1:53" s="477" customFormat="1" ht="59.25" customHeight="1" x14ac:dyDescent="0.25">
      <c r="A6" s="1143"/>
      <c r="B6" s="1026" t="s">
        <v>487</v>
      </c>
      <c r="C6" s="1026"/>
      <c r="D6" s="268" t="s">
        <v>491</v>
      </c>
      <c r="E6" s="1027" t="s">
        <v>1164</v>
      </c>
      <c r="F6" s="1028"/>
      <c r="G6" s="1028"/>
      <c r="H6" s="1028"/>
      <c r="I6" s="1023"/>
      <c r="J6" s="1017" t="s">
        <v>1165</v>
      </c>
      <c r="K6" s="1018"/>
      <c r="L6" s="1018"/>
      <c r="M6" s="1018"/>
      <c r="N6" s="1021"/>
      <c r="O6" s="1017" t="s">
        <v>492</v>
      </c>
      <c r="P6" s="1018"/>
      <c r="Q6" s="1018"/>
      <c r="R6" s="1018"/>
      <c r="S6" s="1018"/>
      <c r="T6" s="1017" t="s">
        <v>840</v>
      </c>
      <c r="U6" s="1018"/>
      <c r="V6" s="1018"/>
      <c r="W6" s="1018"/>
      <c r="X6" s="1018"/>
      <c r="Y6" s="1021"/>
      <c r="Z6" s="269" t="s">
        <v>1166</v>
      </c>
      <c r="AA6" s="1023" t="s">
        <v>827</v>
      </c>
      <c r="AB6" s="1015" t="s">
        <v>1167</v>
      </c>
      <c r="AC6" s="1015" t="s">
        <v>1168</v>
      </c>
      <c r="AD6" s="343"/>
      <c r="AF6" s="480"/>
      <c r="AG6" s="481"/>
      <c r="AH6" s="481"/>
      <c r="AI6" s="481"/>
      <c r="AJ6" s="446"/>
      <c r="AK6" s="481"/>
      <c r="AL6" s="482"/>
      <c r="AM6" s="481"/>
      <c r="AN6" s="481"/>
      <c r="AO6" s="132"/>
      <c r="AP6" s="132"/>
      <c r="AQ6" s="132"/>
      <c r="AR6" s="132"/>
      <c r="AS6" s="132"/>
      <c r="AT6" s="132"/>
      <c r="AU6" s="481"/>
      <c r="AV6" s="481"/>
      <c r="AW6" s="446"/>
      <c r="AX6" s="446"/>
      <c r="AY6" s="446"/>
      <c r="AZ6" s="446"/>
      <c r="BA6" s="446"/>
    </row>
    <row r="7" spans="1:53" s="477" customFormat="1" ht="13.5" customHeight="1" x14ac:dyDescent="0.25">
      <c r="A7" s="1144"/>
      <c r="B7" s="267" t="s">
        <v>488</v>
      </c>
      <c r="C7" s="267" t="s">
        <v>1169</v>
      </c>
      <c r="D7" s="347">
        <v>0.20200000000000001</v>
      </c>
      <c r="E7" s="1029"/>
      <c r="F7" s="1030"/>
      <c r="G7" s="1030"/>
      <c r="H7" s="1030"/>
      <c r="I7" s="1024"/>
      <c r="J7" s="1019"/>
      <c r="K7" s="1020"/>
      <c r="L7" s="1020"/>
      <c r="M7" s="1020"/>
      <c r="N7" s="1022"/>
      <c r="O7" s="1019"/>
      <c r="P7" s="1020"/>
      <c r="Q7" s="1020"/>
      <c r="R7" s="1020"/>
      <c r="S7" s="1020"/>
      <c r="T7" s="1019"/>
      <c r="U7" s="1020"/>
      <c r="V7" s="1020"/>
      <c r="W7" s="1020"/>
      <c r="X7" s="1020"/>
      <c r="Y7" s="1022"/>
      <c r="Z7" s="276">
        <f>'Исп. коэффициенты'!C91</f>
        <v>1.3001876927947804</v>
      </c>
      <c r="AA7" s="1024"/>
      <c r="AB7" s="1016"/>
      <c r="AC7" s="1016"/>
      <c r="AD7" s="343"/>
      <c r="AE7" s="483"/>
      <c r="AF7" s="480"/>
      <c r="AG7" s="446"/>
      <c r="AH7" s="484"/>
      <c r="AI7" s="485"/>
      <c r="AJ7" s="468"/>
      <c r="AK7" s="484"/>
      <c r="AL7" s="486"/>
      <c r="AM7" s="481"/>
      <c r="AN7" s="481"/>
      <c r="AO7" s="132"/>
      <c r="AP7" s="132"/>
      <c r="AQ7" s="138"/>
      <c r="AR7" s="138"/>
      <c r="AS7" s="138"/>
      <c r="AT7" s="132"/>
      <c r="AU7" s="481"/>
      <c r="AV7" s="446"/>
      <c r="AW7" s="446"/>
      <c r="AX7" s="446"/>
      <c r="AY7" s="446"/>
      <c r="AZ7" s="446"/>
      <c r="BA7" s="446"/>
    </row>
    <row r="8" spans="1:53" s="477" customFormat="1" ht="17.25" customHeight="1" x14ac:dyDescent="0.25">
      <c r="A8" s="1054"/>
      <c r="B8" s="1055"/>
      <c r="C8" s="1055"/>
      <c r="D8" s="1055"/>
      <c r="E8" s="1055"/>
      <c r="F8" s="1055"/>
      <c r="G8" s="1055"/>
      <c r="H8" s="1055"/>
      <c r="I8" s="1055"/>
      <c r="J8" s="1055"/>
      <c r="K8" s="1055"/>
      <c r="L8" s="1055"/>
      <c r="M8" s="1055"/>
      <c r="N8" s="1055"/>
      <c r="O8" s="1055"/>
      <c r="P8" s="1055"/>
      <c r="Q8" s="1055"/>
      <c r="R8" s="1055"/>
      <c r="S8" s="1055"/>
      <c r="T8" s="1030"/>
      <c r="U8" s="1030"/>
      <c r="V8" s="1030"/>
      <c r="W8" s="1030"/>
      <c r="X8" s="1030"/>
      <c r="Y8" s="1030"/>
      <c r="Z8" s="1030"/>
      <c r="AA8" s="1055"/>
      <c r="AB8" s="1055"/>
      <c r="AC8" s="1056"/>
      <c r="AD8" s="343"/>
      <c r="AE8" s="483"/>
      <c r="AF8" s="480"/>
      <c r="AG8" s="446"/>
      <c r="AH8" s="484"/>
      <c r="AI8" s="485"/>
      <c r="AJ8" s="468"/>
      <c r="AK8" s="484"/>
      <c r="AL8" s="486"/>
      <c r="AM8" s="481"/>
      <c r="AN8" s="481"/>
      <c r="AO8" s="132"/>
      <c r="AP8" s="132"/>
      <c r="AQ8" s="138"/>
      <c r="AR8" s="138"/>
      <c r="AS8" s="138"/>
      <c r="AT8" s="132"/>
      <c r="AU8" s="481"/>
      <c r="AV8" s="446"/>
      <c r="AW8" s="446"/>
      <c r="AX8" s="446"/>
      <c r="AY8" s="446"/>
      <c r="AZ8" s="446"/>
      <c r="BA8" s="446"/>
    </row>
    <row r="9" spans="1:53" s="477" customFormat="1" ht="22.5" customHeight="1" x14ac:dyDescent="0.25">
      <c r="A9" s="1054" t="s">
        <v>1561</v>
      </c>
      <c r="B9" s="1055"/>
      <c r="C9" s="1055"/>
      <c r="D9" s="1028"/>
      <c r="E9" s="1055"/>
      <c r="F9" s="1055"/>
      <c r="G9" s="1055"/>
      <c r="H9" s="1055"/>
      <c r="I9" s="1055"/>
      <c r="J9" s="1055"/>
      <c r="K9" s="1055"/>
      <c r="L9" s="1055"/>
      <c r="M9" s="1055"/>
      <c r="N9" s="1055"/>
      <c r="O9" s="1055"/>
      <c r="P9" s="1055"/>
      <c r="Q9" s="1055"/>
      <c r="R9" s="1055"/>
      <c r="S9" s="1055"/>
      <c r="T9" s="1055"/>
      <c r="U9" s="1055"/>
      <c r="V9" s="1055"/>
      <c r="W9" s="1055"/>
      <c r="X9" s="1055"/>
      <c r="Y9" s="1055"/>
      <c r="Z9" s="1055"/>
      <c r="AA9" s="1055"/>
      <c r="AB9" s="1055"/>
      <c r="AC9" s="1056"/>
      <c r="AD9" s="343"/>
      <c r="AE9" s="483"/>
      <c r="AF9" s="480"/>
      <c r="AG9" s="446"/>
      <c r="AH9" s="484"/>
      <c r="AI9" s="485"/>
      <c r="AJ9" s="468"/>
      <c r="AK9" s="484"/>
      <c r="AL9" s="486"/>
      <c r="AM9" s="481"/>
      <c r="AN9" s="481"/>
      <c r="AO9" s="132"/>
      <c r="AP9" s="132"/>
      <c r="AQ9" s="138"/>
      <c r="AR9" s="138"/>
      <c r="AS9" s="138"/>
      <c r="AT9" s="132"/>
      <c r="AU9" s="481"/>
      <c r="AV9" s="446"/>
      <c r="AW9" s="446"/>
      <c r="AX9" s="446"/>
      <c r="AY9" s="446"/>
      <c r="AZ9" s="446"/>
      <c r="BA9" s="446"/>
    </row>
    <row r="10" spans="1:53" s="690" customFormat="1" ht="56.25" customHeight="1" x14ac:dyDescent="0.25">
      <c r="A10" s="1114" t="s">
        <v>1806</v>
      </c>
      <c r="B10" s="871" t="s">
        <v>1802</v>
      </c>
      <c r="C10" s="871"/>
      <c r="D10" s="830"/>
      <c r="E10" s="872" t="s">
        <v>488</v>
      </c>
      <c r="F10" s="873" t="s">
        <v>837</v>
      </c>
      <c r="G10" s="871" t="s">
        <v>489</v>
      </c>
      <c r="H10" s="872" t="s">
        <v>1170</v>
      </c>
      <c r="I10" s="873" t="s">
        <v>838</v>
      </c>
      <c r="J10" s="874" t="s">
        <v>1171</v>
      </c>
      <c r="K10" s="874" t="s">
        <v>490</v>
      </c>
      <c r="L10" s="875" t="s">
        <v>489</v>
      </c>
      <c r="M10" s="874" t="s">
        <v>1172</v>
      </c>
      <c r="N10" s="873" t="s">
        <v>838</v>
      </c>
      <c r="O10" s="874" t="s">
        <v>1171</v>
      </c>
      <c r="P10" s="874" t="s">
        <v>826</v>
      </c>
      <c r="Q10" s="876" t="s">
        <v>1173</v>
      </c>
      <c r="R10" s="874" t="s">
        <v>1174</v>
      </c>
      <c r="S10" s="874" t="s">
        <v>839</v>
      </c>
      <c r="T10" s="874" t="s">
        <v>1171</v>
      </c>
      <c r="U10" s="874" t="s">
        <v>1392</v>
      </c>
      <c r="V10" s="876" t="s">
        <v>1173</v>
      </c>
      <c r="W10" s="874" t="s">
        <v>841</v>
      </c>
      <c r="X10" s="874" t="s">
        <v>1394</v>
      </c>
      <c r="Y10" s="874" t="s">
        <v>839</v>
      </c>
      <c r="Z10" s="877"/>
      <c r="AA10" s="830"/>
      <c r="AB10" s="830"/>
      <c r="AC10" s="830"/>
      <c r="AD10" s="878"/>
      <c r="AF10" s="879"/>
      <c r="AG10" s="878"/>
      <c r="AH10" s="878"/>
      <c r="AI10" s="878"/>
      <c r="AJ10" s="878"/>
      <c r="AK10" s="878"/>
      <c r="AL10" s="880"/>
      <c r="AM10" s="878"/>
      <c r="AN10" s="878"/>
      <c r="AO10" s="881"/>
      <c r="AP10" s="878"/>
      <c r="AQ10" s="882"/>
      <c r="AR10" s="882"/>
      <c r="AS10" s="882"/>
      <c r="AT10" s="878"/>
      <c r="AU10" s="878"/>
      <c r="AV10" s="881"/>
      <c r="AW10" s="878"/>
      <c r="AX10" s="878"/>
      <c r="AY10" s="878"/>
      <c r="AZ10" s="878"/>
      <c r="BA10" s="878"/>
    </row>
    <row r="11" spans="1:53" s="690" customFormat="1" ht="12" customHeight="1" x14ac:dyDescent="0.25">
      <c r="A11" s="1115"/>
      <c r="B11" s="883" t="s">
        <v>1175</v>
      </c>
      <c r="C11" s="871">
        <f>C18</f>
        <v>75.581101689491604</v>
      </c>
      <c r="D11" s="884">
        <f>C11*$D$7</f>
        <v>15.267382541277305</v>
      </c>
      <c r="E11" s="885" t="s">
        <v>1176</v>
      </c>
      <c r="F11" s="886"/>
      <c r="G11" s="887"/>
      <c r="H11" s="887"/>
      <c r="I11" s="749">
        <f>SUM(I12:I19)</f>
        <v>16.0517</v>
      </c>
      <c r="J11" s="888" t="s">
        <v>1176</v>
      </c>
      <c r="K11" s="889"/>
      <c r="L11" s="890"/>
      <c r="M11" s="890"/>
      <c r="N11" s="891">
        <f>SUM(N12:N19)</f>
        <v>9.7177053508634495E-2</v>
      </c>
      <c r="O11" s="890" t="s">
        <v>1176</v>
      </c>
      <c r="P11" s="890"/>
      <c r="Q11" s="892"/>
      <c r="R11" s="893"/>
      <c r="S11" s="891">
        <f>SUM(S12:S19)</f>
        <v>4.1503124387477399</v>
      </c>
      <c r="T11" s="890" t="s">
        <v>1176</v>
      </c>
      <c r="U11" s="887"/>
      <c r="V11" s="894"/>
      <c r="W11" s="830"/>
      <c r="X11" s="891"/>
      <c r="Y11" s="891">
        <f>SUM(Y12:Y19)</f>
        <v>10.307632433223615</v>
      </c>
      <c r="Z11" s="895">
        <f>(C11+D11+I11+N11+Y11+S11)*$Z$7</f>
        <v>157.91469428897693</v>
      </c>
      <c r="AA11" s="896">
        <f>C11+D11+I11+N11+S11+Y11+Z11</f>
        <v>279.3700004452258</v>
      </c>
      <c r="AB11" s="897">
        <v>0.3</v>
      </c>
      <c r="AC11" s="898">
        <f>AA11*(1+AB11)</f>
        <v>363.18100057879354</v>
      </c>
      <c r="AD11" s="881"/>
      <c r="AF11" s="879"/>
      <c r="AG11" s="878"/>
      <c r="AH11" s="878"/>
      <c r="AI11" s="882"/>
      <c r="AJ11" s="899"/>
      <c r="AK11" s="900"/>
      <c r="AL11" s="880"/>
      <c r="AM11" s="901"/>
      <c r="AN11" s="818"/>
      <c r="AO11" s="901"/>
      <c r="AP11" s="882"/>
      <c r="AQ11" s="882"/>
      <c r="AR11" s="882"/>
      <c r="AS11" s="882"/>
      <c r="AT11" s="882"/>
      <c r="AU11" s="901"/>
      <c r="AV11" s="901"/>
      <c r="AW11" s="902"/>
      <c r="AX11" s="878"/>
      <c r="AY11" s="878"/>
      <c r="AZ11" s="878"/>
      <c r="BA11" s="878"/>
    </row>
    <row r="12" spans="1:53" s="690" customFormat="1" ht="12.75" customHeight="1" x14ac:dyDescent="0.25">
      <c r="A12" s="1115"/>
      <c r="B12" s="903" t="s">
        <v>830</v>
      </c>
      <c r="C12" s="871"/>
      <c r="D12" s="884"/>
      <c r="E12" s="904" t="s">
        <v>1437</v>
      </c>
      <c r="F12" s="905" t="s">
        <v>1438</v>
      </c>
      <c r="G12" s="906">
        <v>0.74</v>
      </c>
      <c r="H12" s="905">
        <v>0.1</v>
      </c>
      <c r="I12" s="907">
        <f t="shared" ref="I12:I17" si="0">G12*H12</f>
        <v>7.3999999999999996E-2</v>
      </c>
      <c r="J12" s="888" t="s">
        <v>1291</v>
      </c>
      <c r="K12" s="908">
        <v>2</v>
      </c>
      <c r="L12" s="909">
        <v>750</v>
      </c>
      <c r="M12" s="908">
        <v>2</v>
      </c>
      <c r="N12" s="891">
        <f>L12/'Исп. коэффициенты'!E28</f>
        <v>8.377332199020214E-2</v>
      </c>
      <c r="O12" s="910" t="s">
        <v>1578</v>
      </c>
      <c r="P12" s="890">
        <v>188900</v>
      </c>
      <c r="Q12" s="892">
        <v>0.19670000000000001</v>
      </c>
      <c r="R12" s="890">
        <f>P12*Q12</f>
        <v>37156.630000000005</v>
      </c>
      <c r="S12" s="890">
        <f>R12/'Исп. коэффициенты'!E28</f>
        <v>4.1503124387477399</v>
      </c>
      <c r="T12" s="830" t="s">
        <v>1435</v>
      </c>
      <c r="U12" s="887">
        <v>6785401.3499999996</v>
      </c>
      <c r="V12" s="894">
        <v>1.3599999999999999E-2</v>
      </c>
      <c r="W12" s="830">
        <f>'Исп. коэффициенты'!E124</f>
        <v>2978.5</v>
      </c>
      <c r="X12" s="891">
        <f>U12*V12</f>
        <v>92281.45835999999</v>
      </c>
      <c r="Y12" s="890">
        <f>X12/'Исп. коэффициенты'!E28</f>
        <v>10.307632433223615</v>
      </c>
      <c r="Z12" s="890"/>
      <c r="AA12" s="830"/>
      <c r="AB12" s="830"/>
      <c r="AC12" s="751"/>
      <c r="AD12" s="878"/>
      <c r="AF12" s="911"/>
      <c r="AG12" s="878"/>
      <c r="AH12" s="878"/>
      <c r="AI12" s="878"/>
      <c r="AJ12" s="912"/>
      <c r="AK12" s="878"/>
      <c r="AL12" s="880"/>
      <c r="AM12" s="878"/>
      <c r="AN12" s="878"/>
      <c r="AO12" s="881"/>
      <c r="AP12" s="878"/>
      <c r="AQ12" s="878"/>
      <c r="AR12" s="881"/>
      <c r="AS12" s="881"/>
      <c r="AT12" s="882"/>
      <c r="AU12" s="878"/>
      <c r="AV12" s="881"/>
      <c r="AW12" s="878"/>
      <c r="AX12" s="878"/>
      <c r="AY12" s="878"/>
      <c r="AZ12" s="878"/>
      <c r="BA12" s="878"/>
    </row>
    <row r="13" spans="1:53" s="690" customFormat="1" x14ac:dyDescent="0.25">
      <c r="A13" s="1115"/>
      <c r="B13" s="913" t="s">
        <v>1178</v>
      </c>
      <c r="C13" s="914">
        <f>C2</f>
        <v>43.888814515309463</v>
      </c>
      <c r="D13" s="884"/>
      <c r="E13" s="904" t="s">
        <v>1439</v>
      </c>
      <c r="F13" s="905" t="s">
        <v>1438</v>
      </c>
      <c r="G13" s="906">
        <v>0.27</v>
      </c>
      <c r="H13" s="905">
        <v>0.01</v>
      </c>
      <c r="I13" s="907">
        <f t="shared" si="0"/>
        <v>2.7000000000000001E-3</v>
      </c>
      <c r="J13" s="888" t="s">
        <v>1445</v>
      </c>
      <c r="K13" s="891">
        <v>2</v>
      </c>
      <c r="L13" s="915">
        <v>95</v>
      </c>
      <c r="M13" s="908">
        <v>2</v>
      </c>
      <c r="N13" s="891">
        <f>L13/'Исп. коэффициенты'!E28</f>
        <v>1.0611287452092272E-2</v>
      </c>
      <c r="O13" s="890"/>
      <c r="P13" s="890"/>
      <c r="Q13" s="892"/>
      <c r="R13" s="890"/>
      <c r="S13" s="890"/>
      <c r="T13" s="890"/>
      <c r="U13" s="890"/>
      <c r="V13" s="890"/>
      <c r="W13" s="892"/>
      <c r="X13" s="890"/>
      <c r="Y13" s="890"/>
      <c r="Z13" s="890"/>
      <c r="AA13" s="830"/>
      <c r="AB13" s="830"/>
      <c r="AC13" s="751"/>
      <c r="AD13" s="878"/>
      <c r="AF13" s="911"/>
      <c r="AG13" s="878"/>
      <c r="AH13" s="878"/>
      <c r="AI13" s="878"/>
      <c r="AJ13" s="912"/>
      <c r="AK13" s="878"/>
      <c r="AL13" s="880"/>
      <c r="AM13" s="902"/>
      <c r="AN13" s="878"/>
      <c r="AO13" s="881"/>
      <c r="AP13" s="878"/>
      <c r="AQ13" s="878"/>
      <c r="AR13" s="881"/>
      <c r="AS13" s="881"/>
      <c r="AT13" s="878"/>
      <c r="AU13" s="878"/>
      <c r="AV13" s="881"/>
      <c r="AW13" s="878"/>
      <c r="AX13" s="878"/>
      <c r="AY13" s="878"/>
      <c r="AZ13" s="878"/>
      <c r="BA13" s="878"/>
    </row>
    <row r="14" spans="1:53" s="690" customFormat="1" ht="12.75" customHeight="1" x14ac:dyDescent="0.25">
      <c r="A14" s="1115"/>
      <c r="B14" s="885" t="s">
        <v>1179</v>
      </c>
      <c r="C14" s="871">
        <f>C3</f>
        <v>19.495759833054819</v>
      </c>
      <c r="D14" s="884"/>
      <c r="E14" s="904" t="s">
        <v>1440</v>
      </c>
      <c r="F14" s="905" t="s">
        <v>1441</v>
      </c>
      <c r="G14" s="906">
        <v>5.92</v>
      </c>
      <c r="H14" s="916">
        <v>1</v>
      </c>
      <c r="I14" s="907">
        <f t="shared" si="0"/>
        <v>5.92</v>
      </c>
      <c r="J14" s="888" t="s">
        <v>1513</v>
      </c>
      <c r="K14" s="891">
        <v>2</v>
      </c>
      <c r="L14" s="891">
        <v>25</v>
      </c>
      <c r="M14" s="908">
        <v>0.5</v>
      </c>
      <c r="N14" s="891">
        <f>L14/'Исп. коэффициенты'!E28</f>
        <v>2.7924440663400717E-3</v>
      </c>
      <c r="O14" s="890"/>
      <c r="P14" s="890"/>
      <c r="Q14" s="892"/>
      <c r="R14" s="890"/>
      <c r="S14" s="890"/>
      <c r="T14" s="890"/>
      <c r="U14" s="890"/>
      <c r="V14" s="890"/>
      <c r="W14" s="892"/>
      <c r="X14" s="890"/>
      <c r="Y14" s="890"/>
      <c r="Z14" s="890"/>
      <c r="AA14" s="830"/>
      <c r="AB14" s="830"/>
      <c r="AC14" s="751"/>
      <c r="AD14" s="878"/>
      <c r="AF14" s="911"/>
      <c r="AG14" s="878"/>
      <c r="AH14" s="878"/>
      <c r="AI14" s="878"/>
      <c r="AJ14" s="912"/>
      <c r="AK14" s="878"/>
      <c r="AL14" s="880"/>
      <c r="AM14" s="878"/>
      <c r="AN14" s="878"/>
      <c r="AO14" s="881"/>
      <c r="AP14" s="878"/>
      <c r="AQ14" s="878"/>
      <c r="AR14" s="881"/>
      <c r="AS14" s="881"/>
      <c r="AT14" s="878"/>
      <c r="AU14" s="878"/>
      <c r="AV14" s="881"/>
      <c r="AW14" s="878"/>
      <c r="AX14" s="878"/>
      <c r="AY14" s="878"/>
      <c r="AZ14" s="878"/>
      <c r="BA14" s="878"/>
    </row>
    <row r="15" spans="1:53" s="690" customFormat="1" ht="12.75" customHeight="1" x14ac:dyDescent="0.25">
      <c r="A15" s="1115"/>
      <c r="B15" s="885" t="s">
        <v>831</v>
      </c>
      <c r="C15" s="917"/>
      <c r="D15" s="884"/>
      <c r="E15" s="904" t="s">
        <v>1442</v>
      </c>
      <c r="F15" s="905" t="s">
        <v>1443</v>
      </c>
      <c r="G15" s="906">
        <v>419.5</v>
      </c>
      <c r="H15" s="905">
        <v>0.01</v>
      </c>
      <c r="I15" s="907">
        <f t="shared" si="0"/>
        <v>4.1950000000000003</v>
      </c>
      <c r="J15" s="888"/>
      <c r="K15" s="918"/>
      <c r="L15" s="891"/>
      <c r="M15" s="891"/>
      <c r="N15" s="891"/>
      <c r="O15" s="890"/>
      <c r="P15" s="890"/>
      <c r="Q15" s="892"/>
      <c r="R15" s="890"/>
      <c r="S15" s="890"/>
      <c r="T15" s="890"/>
      <c r="U15" s="890"/>
      <c r="V15" s="890"/>
      <c r="W15" s="892"/>
      <c r="X15" s="890"/>
      <c r="Y15" s="890"/>
      <c r="Z15" s="890"/>
      <c r="AA15" s="830"/>
      <c r="AB15" s="830"/>
      <c r="AC15" s="751"/>
      <c r="AD15" s="878"/>
      <c r="AF15" s="911"/>
      <c r="AG15" s="878"/>
      <c r="AH15" s="878"/>
      <c r="AI15" s="878"/>
      <c r="AJ15" s="912"/>
      <c r="AK15" s="878"/>
      <c r="AL15" s="880"/>
      <c r="AM15" s="878"/>
      <c r="AN15" s="878"/>
      <c r="AO15" s="881"/>
      <c r="AP15" s="878"/>
      <c r="AQ15" s="878"/>
      <c r="AR15" s="881"/>
      <c r="AS15" s="881"/>
      <c r="AT15" s="878"/>
      <c r="AU15" s="878"/>
      <c r="AV15" s="881"/>
      <c r="AW15" s="878"/>
      <c r="AX15" s="878"/>
      <c r="AY15" s="878"/>
      <c r="AZ15" s="878"/>
      <c r="BA15" s="878"/>
    </row>
    <row r="16" spans="1:53" s="690" customFormat="1" ht="12.75" customHeight="1" x14ac:dyDescent="0.25">
      <c r="A16" s="1115"/>
      <c r="B16" s="913" t="s">
        <v>1178</v>
      </c>
      <c r="C16" s="919">
        <v>1.5</v>
      </c>
      <c r="D16" s="884"/>
      <c r="E16" s="904" t="s">
        <v>1444</v>
      </c>
      <c r="F16" s="905" t="s">
        <v>1443</v>
      </c>
      <c r="G16" s="906">
        <v>872</v>
      </c>
      <c r="H16" s="905">
        <v>5.0000000000000001E-3</v>
      </c>
      <c r="I16" s="907">
        <f t="shared" si="0"/>
        <v>4.3600000000000003</v>
      </c>
      <c r="J16" s="888"/>
      <c r="K16" s="918"/>
      <c r="L16" s="891"/>
      <c r="M16" s="891"/>
      <c r="N16" s="891"/>
      <c r="O16" s="890"/>
      <c r="P16" s="890"/>
      <c r="Q16" s="892"/>
      <c r="R16" s="890"/>
      <c r="S16" s="890"/>
      <c r="T16" s="890"/>
      <c r="U16" s="890"/>
      <c r="V16" s="890"/>
      <c r="W16" s="892"/>
      <c r="X16" s="890"/>
      <c r="Y16" s="890"/>
      <c r="Z16" s="890"/>
      <c r="AA16" s="830"/>
      <c r="AB16" s="830"/>
      <c r="AC16" s="751"/>
      <c r="AD16" s="878"/>
      <c r="AF16" s="911"/>
      <c r="AG16" s="878"/>
      <c r="AH16" s="878"/>
      <c r="AI16" s="878"/>
      <c r="AJ16" s="920"/>
      <c r="AK16" s="878"/>
      <c r="AL16" s="880"/>
      <c r="AM16" s="878"/>
      <c r="AN16" s="878"/>
      <c r="AO16" s="881"/>
      <c r="AP16" s="878"/>
      <c r="AQ16" s="878"/>
      <c r="AR16" s="881"/>
      <c r="AS16" s="881"/>
      <c r="AT16" s="878"/>
      <c r="AU16" s="878"/>
      <c r="AV16" s="881"/>
      <c r="AW16" s="878"/>
      <c r="AX16" s="878"/>
      <c r="AY16" s="878"/>
      <c r="AZ16" s="878"/>
      <c r="BA16" s="878"/>
    </row>
    <row r="17" spans="1:53" s="690" customFormat="1" ht="12.75" customHeight="1" x14ac:dyDescent="0.25">
      <c r="A17" s="1115"/>
      <c r="B17" s="885" t="s">
        <v>1179</v>
      </c>
      <c r="C17" s="919">
        <v>0.5</v>
      </c>
      <c r="D17" s="884"/>
      <c r="E17" s="904" t="s">
        <v>13</v>
      </c>
      <c r="F17" s="921" t="s">
        <v>1441</v>
      </c>
      <c r="G17" s="906">
        <v>1.5</v>
      </c>
      <c r="H17" s="905">
        <v>1</v>
      </c>
      <c r="I17" s="907">
        <f t="shared" si="0"/>
        <v>1.5</v>
      </c>
      <c r="J17" s="888"/>
      <c r="K17" s="918"/>
      <c r="L17" s="891"/>
      <c r="M17" s="891"/>
      <c r="N17" s="891"/>
      <c r="O17" s="890"/>
      <c r="P17" s="890"/>
      <c r="Q17" s="892"/>
      <c r="R17" s="890"/>
      <c r="S17" s="890"/>
      <c r="T17" s="890"/>
      <c r="U17" s="890"/>
      <c r="V17" s="890"/>
      <c r="W17" s="892"/>
      <c r="X17" s="890"/>
      <c r="Y17" s="890"/>
      <c r="Z17" s="890"/>
      <c r="AA17" s="830"/>
      <c r="AB17" s="830"/>
      <c r="AC17" s="751"/>
      <c r="AD17" s="878"/>
      <c r="AF17" s="911"/>
      <c r="AG17" s="878"/>
      <c r="AH17" s="878"/>
      <c r="AI17" s="878"/>
      <c r="AJ17" s="920"/>
      <c r="AK17" s="878"/>
      <c r="AL17" s="880"/>
      <c r="AM17" s="878"/>
      <c r="AN17" s="878"/>
      <c r="AO17" s="881"/>
      <c r="AP17" s="878"/>
      <c r="AQ17" s="878"/>
      <c r="AR17" s="881"/>
      <c r="AS17" s="881"/>
      <c r="AT17" s="878"/>
      <c r="AU17" s="878"/>
      <c r="AV17" s="881"/>
      <c r="AW17" s="878"/>
      <c r="AX17" s="878"/>
      <c r="AY17" s="878"/>
      <c r="AZ17" s="878"/>
      <c r="BA17" s="878"/>
    </row>
    <row r="18" spans="1:53" s="690" customFormat="1" ht="12.75" customHeight="1" x14ac:dyDescent="0.25">
      <c r="A18" s="1115"/>
      <c r="B18" s="922" t="s">
        <v>1181</v>
      </c>
      <c r="C18" s="871">
        <f>C13*C16+C14*C17</f>
        <v>75.581101689491604</v>
      </c>
      <c r="D18" s="884"/>
      <c r="E18" s="904"/>
      <c r="F18" s="921"/>
      <c r="G18" s="906"/>
      <c r="H18" s="905"/>
      <c r="I18" s="907"/>
      <c r="J18" s="888"/>
      <c r="K18" s="918"/>
      <c r="L18" s="891"/>
      <c r="M18" s="891"/>
      <c r="N18" s="891"/>
      <c r="O18" s="890"/>
      <c r="P18" s="890"/>
      <c r="Q18" s="892"/>
      <c r="R18" s="890"/>
      <c r="S18" s="890"/>
      <c r="T18" s="890"/>
      <c r="U18" s="890"/>
      <c r="V18" s="890"/>
      <c r="W18" s="892"/>
      <c r="X18" s="890"/>
      <c r="Y18" s="890"/>
      <c r="Z18" s="890"/>
      <c r="AA18" s="830"/>
      <c r="AB18" s="830"/>
      <c r="AC18" s="751"/>
      <c r="AD18" s="878"/>
      <c r="AF18" s="911"/>
      <c r="AG18" s="878"/>
      <c r="AH18" s="878"/>
      <c r="AI18" s="878"/>
      <c r="AJ18" s="912"/>
      <c r="AK18" s="878"/>
      <c r="AL18" s="880"/>
      <c r="AM18" s="878"/>
      <c r="AN18" s="878"/>
      <c r="AO18" s="881"/>
      <c r="AP18" s="878"/>
      <c r="AQ18" s="878"/>
      <c r="AR18" s="881"/>
      <c r="AS18" s="881"/>
      <c r="AT18" s="878"/>
      <c r="AU18" s="878"/>
      <c r="AV18" s="881"/>
      <c r="AW18" s="878"/>
      <c r="AX18" s="878"/>
      <c r="AY18" s="878"/>
      <c r="AZ18" s="878"/>
      <c r="BA18" s="878"/>
    </row>
    <row r="19" spans="1:53" s="690" customFormat="1" ht="12.75" customHeight="1" x14ac:dyDescent="0.25">
      <c r="A19" s="1116"/>
      <c r="B19" s="922"/>
      <c r="C19" s="919"/>
      <c r="D19" s="923"/>
      <c r="E19" s="904"/>
      <c r="F19" s="921"/>
      <c r="G19" s="906"/>
      <c r="H19" s="905"/>
      <c r="I19" s="907"/>
      <c r="J19" s="888"/>
      <c r="K19" s="918"/>
      <c r="L19" s="891"/>
      <c r="M19" s="891"/>
      <c r="N19" s="891"/>
      <c r="O19" s="890"/>
      <c r="P19" s="890"/>
      <c r="Q19" s="892"/>
      <c r="R19" s="890"/>
      <c r="S19" s="890"/>
      <c r="T19" s="890"/>
      <c r="U19" s="890"/>
      <c r="V19" s="890"/>
      <c r="W19" s="892"/>
      <c r="X19" s="890"/>
      <c r="Y19" s="890"/>
      <c r="Z19" s="890"/>
      <c r="AA19" s="830"/>
      <c r="AB19" s="830"/>
      <c r="AC19" s="751"/>
      <c r="AD19" s="878"/>
      <c r="AF19" s="911"/>
      <c r="AG19" s="878"/>
      <c r="AH19" s="878"/>
      <c r="AI19" s="878"/>
      <c r="AJ19" s="920"/>
      <c r="AK19" s="878"/>
      <c r="AL19" s="880"/>
      <c r="AM19" s="878"/>
      <c r="AN19" s="878"/>
      <c r="AO19" s="881"/>
      <c r="AP19" s="878"/>
      <c r="AQ19" s="878"/>
      <c r="AR19" s="881"/>
      <c r="AS19" s="881"/>
      <c r="AT19" s="878"/>
      <c r="AU19" s="878"/>
      <c r="AV19" s="881"/>
      <c r="AW19" s="878"/>
      <c r="AX19" s="878"/>
      <c r="AY19" s="878"/>
      <c r="AZ19" s="878"/>
      <c r="BA19" s="878"/>
    </row>
    <row r="20" spans="1:53" s="690" customFormat="1" ht="56.25" customHeight="1" x14ac:dyDescent="0.25">
      <c r="A20" s="1114" t="s">
        <v>993</v>
      </c>
      <c r="B20" s="871" t="s">
        <v>1803</v>
      </c>
      <c r="C20" s="871"/>
      <c r="D20" s="830"/>
      <c r="E20" s="872" t="s">
        <v>488</v>
      </c>
      <c r="F20" s="873" t="s">
        <v>837</v>
      </c>
      <c r="G20" s="871" t="s">
        <v>489</v>
      </c>
      <c r="H20" s="872" t="s">
        <v>1170</v>
      </c>
      <c r="I20" s="873" t="s">
        <v>838</v>
      </c>
      <c r="J20" s="874" t="s">
        <v>1171</v>
      </c>
      <c r="K20" s="874" t="s">
        <v>490</v>
      </c>
      <c r="L20" s="875" t="s">
        <v>489</v>
      </c>
      <c r="M20" s="874" t="s">
        <v>1172</v>
      </c>
      <c r="N20" s="873" t="s">
        <v>838</v>
      </c>
      <c r="O20" s="874" t="s">
        <v>1171</v>
      </c>
      <c r="P20" s="874" t="s">
        <v>826</v>
      </c>
      <c r="Q20" s="876" t="s">
        <v>1173</v>
      </c>
      <c r="R20" s="874" t="s">
        <v>1174</v>
      </c>
      <c r="S20" s="874" t="s">
        <v>839</v>
      </c>
      <c r="T20" s="874" t="s">
        <v>1171</v>
      </c>
      <c r="U20" s="874" t="s">
        <v>1392</v>
      </c>
      <c r="V20" s="876" t="s">
        <v>1173</v>
      </c>
      <c r="W20" s="874" t="s">
        <v>841</v>
      </c>
      <c r="X20" s="874" t="s">
        <v>1394</v>
      </c>
      <c r="Y20" s="874" t="s">
        <v>839</v>
      </c>
      <c r="Z20" s="877"/>
      <c r="AA20" s="830"/>
      <c r="AB20" s="830"/>
      <c r="AC20" s="751"/>
      <c r="AD20" s="878"/>
      <c r="AF20" s="879"/>
      <c r="AG20" s="878"/>
      <c r="AH20" s="878"/>
      <c r="AI20" s="878"/>
      <c r="AJ20" s="878"/>
      <c r="AK20" s="878"/>
      <c r="AL20" s="880"/>
      <c r="AM20" s="878"/>
      <c r="AN20" s="878"/>
      <c r="AO20" s="881"/>
      <c r="AP20" s="878"/>
      <c r="AQ20" s="882"/>
      <c r="AR20" s="882"/>
      <c r="AS20" s="882"/>
      <c r="AT20" s="878"/>
      <c r="AU20" s="878"/>
      <c r="AV20" s="881"/>
      <c r="AW20" s="878"/>
      <c r="AX20" s="878"/>
      <c r="AY20" s="878"/>
      <c r="AZ20" s="878"/>
      <c r="BA20" s="878"/>
    </row>
    <row r="21" spans="1:53" s="690" customFormat="1" ht="12" customHeight="1" x14ac:dyDescent="0.25">
      <c r="A21" s="1115"/>
      <c r="B21" s="883" t="s">
        <v>1175</v>
      </c>
      <c r="C21" s="871">
        <f>C28</f>
        <v>42.909355545469502</v>
      </c>
      <c r="D21" s="884">
        <f>C21*$D$7</f>
        <v>8.6676898201848402</v>
      </c>
      <c r="E21" s="885" t="s">
        <v>1176</v>
      </c>
      <c r="F21" s="886"/>
      <c r="G21" s="887"/>
      <c r="H21" s="887"/>
      <c r="I21" s="749">
        <f>SUM(I22:I29)</f>
        <v>16.0517</v>
      </c>
      <c r="J21" s="888" t="s">
        <v>1176</v>
      </c>
      <c r="K21" s="889"/>
      <c r="L21" s="890"/>
      <c r="M21" s="890"/>
      <c r="N21" s="891">
        <f>SUM(N22:N29)</f>
        <v>9.7177053508634495E-2</v>
      </c>
      <c r="O21" s="890" t="s">
        <v>1176</v>
      </c>
      <c r="P21" s="890"/>
      <c r="Q21" s="892"/>
      <c r="R21" s="893"/>
      <c r="S21" s="891">
        <f>SUM(S22:S29)</f>
        <v>4.1503124387477399</v>
      </c>
      <c r="T21" s="890" t="s">
        <v>1176</v>
      </c>
      <c r="U21" s="887"/>
      <c r="V21" s="894"/>
      <c r="W21" s="830"/>
      <c r="X21" s="891"/>
      <c r="Y21" s="891">
        <f>SUM(Y22:Y29)</f>
        <v>10.307632433223615</v>
      </c>
      <c r="Z21" s="895">
        <f>(C21+D21+I21+N21+Y21+S21)*$Z$7</f>
        <v>106.85445279821236</v>
      </c>
      <c r="AA21" s="896">
        <f>C21+D21+I21+N21+S21+Y21+Z21</f>
        <v>189.03832008934668</v>
      </c>
      <c r="AB21" s="897">
        <v>0.3</v>
      </c>
      <c r="AC21" s="898">
        <f>AA21*(1+AB21)</f>
        <v>245.7498161161507</v>
      </c>
      <c r="AD21" s="881"/>
      <c r="AF21" s="879"/>
      <c r="AG21" s="878"/>
      <c r="AH21" s="878"/>
      <c r="AI21" s="882"/>
      <c r="AJ21" s="899"/>
      <c r="AK21" s="900"/>
      <c r="AL21" s="880"/>
      <c r="AM21" s="901"/>
      <c r="AN21" s="818"/>
      <c r="AO21" s="901"/>
      <c r="AP21" s="882"/>
      <c r="AQ21" s="882"/>
      <c r="AR21" s="882"/>
      <c r="AS21" s="882"/>
      <c r="AT21" s="882"/>
      <c r="AU21" s="901"/>
      <c r="AV21" s="901"/>
      <c r="AW21" s="902"/>
      <c r="AX21" s="878"/>
      <c r="AY21" s="878"/>
      <c r="AZ21" s="878"/>
      <c r="BA21" s="878"/>
    </row>
    <row r="22" spans="1:53" s="690" customFormat="1" ht="12.75" customHeight="1" x14ac:dyDescent="0.25">
      <c r="A22" s="1115"/>
      <c r="B22" s="903" t="s">
        <v>830</v>
      </c>
      <c r="C22" s="871"/>
      <c r="D22" s="884"/>
      <c r="E22" s="904" t="s">
        <v>1437</v>
      </c>
      <c r="F22" s="905" t="s">
        <v>1438</v>
      </c>
      <c r="G22" s="906">
        <v>0.74</v>
      </c>
      <c r="H22" s="905">
        <v>0.1</v>
      </c>
      <c r="I22" s="907">
        <f t="shared" ref="I22:I27" si="1">G22*H22</f>
        <v>7.3999999999999996E-2</v>
      </c>
      <c r="J22" s="888" t="s">
        <v>1291</v>
      </c>
      <c r="K22" s="908">
        <v>2</v>
      </c>
      <c r="L22" s="909">
        <v>750</v>
      </c>
      <c r="M22" s="908">
        <v>2</v>
      </c>
      <c r="N22" s="891">
        <f>L22/'Исп. коэффициенты'!E28</f>
        <v>8.377332199020214E-2</v>
      </c>
      <c r="O22" s="910" t="s">
        <v>1578</v>
      </c>
      <c r="P22" s="890">
        <v>188900</v>
      </c>
      <c r="Q22" s="892">
        <v>0.19670000000000001</v>
      </c>
      <c r="R22" s="890">
        <f>P22*Q22</f>
        <v>37156.630000000005</v>
      </c>
      <c r="S22" s="890">
        <f>R22/'Исп. коэффициенты'!E28</f>
        <v>4.1503124387477399</v>
      </c>
      <c r="T22" s="830" t="s">
        <v>1435</v>
      </c>
      <c r="U22" s="887">
        <v>6785401.3499999996</v>
      </c>
      <c r="V22" s="894">
        <v>1.3599999999999999E-2</v>
      </c>
      <c r="W22" s="830">
        <f>'Исп. коэффициенты'!E124</f>
        <v>2978.5</v>
      </c>
      <c r="X22" s="891">
        <f>U22*V22</f>
        <v>92281.45835999999</v>
      </c>
      <c r="Y22" s="890">
        <f>X22/'Исп. коэффициенты'!E28</f>
        <v>10.307632433223615</v>
      </c>
      <c r="Z22" s="890"/>
      <c r="AA22" s="830"/>
      <c r="AB22" s="830"/>
      <c r="AC22" s="751"/>
      <c r="AD22" s="878"/>
      <c r="AF22" s="911"/>
      <c r="AG22" s="878"/>
      <c r="AH22" s="878"/>
      <c r="AI22" s="878"/>
      <c r="AJ22" s="912"/>
      <c r="AK22" s="878"/>
      <c r="AL22" s="880"/>
      <c r="AM22" s="878"/>
      <c r="AN22" s="878"/>
      <c r="AO22" s="881"/>
      <c r="AP22" s="878"/>
      <c r="AQ22" s="878"/>
      <c r="AR22" s="881"/>
      <c r="AS22" s="881"/>
      <c r="AT22" s="882"/>
      <c r="AU22" s="878"/>
      <c r="AV22" s="881"/>
      <c r="AW22" s="878"/>
      <c r="AX22" s="878"/>
      <c r="AY22" s="878"/>
      <c r="AZ22" s="878"/>
      <c r="BA22" s="878"/>
    </row>
    <row r="23" spans="1:53" s="690" customFormat="1" x14ac:dyDescent="0.25">
      <c r="A23" s="1115"/>
      <c r="B23" s="913" t="s">
        <v>1178</v>
      </c>
      <c r="C23" s="914">
        <f>C13</f>
        <v>43.888814515309463</v>
      </c>
      <c r="D23" s="884"/>
      <c r="E23" s="904" t="s">
        <v>1439</v>
      </c>
      <c r="F23" s="905" t="s">
        <v>1438</v>
      </c>
      <c r="G23" s="906">
        <v>0.27</v>
      </c>
      <c r="H23" s="905">
        <v>0.01</v>
      </c>
      <c r="I23" s="907">
        <f t="shared" si="1"/>
        <v>2.7000000000000001E-3</v>
      </c>
      <c r="J23" s="888" t="s">
        <v>1445</v>
      </c>
      <c r="K23" s="891">
        <v>2</v>
      </c>
      <c r="L23" s="915">
        <v>95</v>
      </c>
      <c r="M23" s="908">
        <v>2</v>
      </c>
      <c r="N23" s="891">
        <f>L23/'Исп. коэффициенты'!E28</f>
        <v>1.0611287452092272E-2</v>
      </c>
      <c r="O23" s="890"/>
      <c r="P23" s="890"/>
      <c r="Q23" s="892"/>
      <c r="R23" s="890"/>
      <c r="S23" s="890"/>
      <c r="T23" s="890"/>
      <c r="U23" s="890"/>
      <c r="V23" s="890"/>
      <c r="W23" s="892"/>
      <c r="X23" s="890"/>
      <c r="Y23" s="890"/>
      <c r="Z23" s="890"/>
      <c r="AA23" s="830"/>
      <c r="AB23" s="830"/>
      <c r="AC23" s="751"/>
      <c r="AD23" s="878"/>
      <c r="AF23" s="911"/>
      <c r="AG23" s="878"/>
      <c r="AH23" s="878"/>
      <c r="AI23" s="878"/>
      <c r="AJ23" s="912"/>
      <c r="AK23" s="878"/>
      <c r="AL23" s="880"/>
      <c r="AM23" s="902"/>
      <c r="AN23" s="878"/>
      <c r="AO23" s="881"/>
      <c r="AP23" s="878"/>
      <c r="AQ23" s="878"/>
      <c r="AR23" s="881"/>
      <c r="AS23" s="881"/>
      <c r="AT23" s="878"/>
      <c r="AU23" s="878"/>
      <c r="AV23" s="881"/>
      <c r="AW23" s="878"/>
      <c r="AX23" s="878"/>
      <c r="AY23" s="878"/>
      <c r="AZ23" s="878"/>
      <c r="BA23" s="878"/>
    </row>
    <row r="24" spans="1:53" s="690" customFormat="1" ht="12.75" customHeight="1" x14ac:dyDescent="0.25">
      <c r="A24" s="1115"/>
      <c r="B24" s="885" t="s">
        <v>1179</v>
      </c>
      <c r="C24" s="871">
        <f>C14</f>
        <v>19.495759833054819</v>
      </c>
      <c r="D24" s="884"/>
      <c r="E24" s="904" t="s">
        <v>1440</v>
      </c>
      <c r="F24" s="905" t="s">
        <v>1441</v>
      </c>
      <c r="G24" s="906">
        <v>5.92</v>
      </c>
      <c r="H24" s="916">
        <v>1</v>
      </c>
      <c r="I24" s="907">
        <f t="shared" si="1"/>
        <v>5.92</v>
      </c>
      <c r="J24" s="888" t="s">
        <v>1513</v>
      </c>
      <c r="K24" s="891">
        <v>2</v>
      </c>
      <c r="L24" s="891">
        <v>25</v>
      </c>
      <c r="M24" s="908">
        <v>0.5</v>
      </c>
      <c r="N24" s="891">
        <f>L24/'Исп. коэффициенты'!E28</f>
        <v>2.7924440663400717E-3</v>
      </c>
      <c r="O24" s="890"/>
      <c r="P24" s="890"/>
      <c r="Q24" s="892"/>
      <c r="R24" s="890"/>
      <c r="S24" s="890"/>
      <c r="T24" s="890"/>
      <c r="U24" s="890"/>
      <c r="V24" s="890"/>
      <c r="W24" s="892"/>
      <c r="X24" s="890"/>
      <c r="Y24" s="890"/>
      <c r="Z24" s="890"/>
      <c r="AA24" s="830"/>
      <c r="AB24" s="830"/>
      <c r="AC24" s="751"/>
      <c r="AD24" s="878"/>
      <c r="AF24" s="911"/>
      <c r="AG24" s="878"/>
      <c r="AH24" s="878"/>
      <c r="AI24" s="878"/>
      <c r="AJ24" s="912"/>
      <c r="AK24" s="878"/>
      <c r="AL24" s="880"/>
      <c r="AM24" s="878"/>
      <c r="AN24" s="878"/>
      <c r="AO24" s="881"/>
      <c r="AP24" s="878"/>
      <c r="AQ24" s="878"/>
      <c r="AR24" s="881"/>
      <c r="AS24" s="881"/>
      <c r="AT24" s="878"/>
      <c r="AU24" s="878"/>
      <c r="AV24" s="881"/>
      <c r="AW24" s="878"/>
      <c r="AX24" s="878"/>
      <c r="AY24" s="878"/>
      <c r="AZ24" s="878"/>
      <c r="BA24" s="878"/>
    </row>
    <row r="25" spans="1:53" s="690" customFormat="1" ht="12.75" customHeight="1" x14ac:dyDescent="0.25">
      <c r="A25" s="1115"/>
      <c r="B25" s="885" t="s">
        <v>831</v>
      </c>
      <c r="C25" s="917"/>
      <c r="D25" s="884"/>
      <c r="E25" s="904" t="s">
        <v>1442</v>
      </c>
      <c r="F25" s="905" t="s">
        <v>1443</v>
      </c>
      <c r="G25" s="906">
        <v>419.5</v>
      </c>
      <c r="H25" s="905">
        <v>0.01</v>
      </c>
      <c r="I25" s="907">
        <f t="shared" si="1"/>
        <v>4.1950000000000003</v>
      </c>
      <c r="J25" s="888"/>
      <c r="K25" s="918"/>
      <c r="L25" s="891"/>
      <c r="M25" s="891"/>
      <c r="N25" s="891"/>
      <c r="O25" s="890"/>
      <c r="P25" s="890"/>
      <c r="Q25" s="892"/>
      <c r="R25" s="890"/>
      <c r="S25" s="890"/>
      <c r="T25" s="890"/>
      <c r="U25" s="890"/>
      <c r="V25" s="890"/>
      <c r="W25" s="892"/>
      <c r="X25" s="890"/>
      <c r="Y25" s="890"/>
      <c r="Z25" s="890"/>
      <c r="AA25" s="830"/>
      <c r="AB25" s="830"/>
      <c r="AC25" s="751"/>
      <c r="AD25" s="878"/>
      <c r="AF25" s="911"/>
      <c r="AG25" s="878"/>
      <c r="AH25" s="878"/>
      <c r="AI25" s="878"/>
      <c r="AJ25" s="912"/>
      <c r="AK25" s="878"/>
      <c r="AL25" s="880"/>
      <c r="AM25" s="878"/>
      <c r="AN25" s="878"/>
      <c r="AO25" s="881"/>
      <c r="AP25" s="878"/>
      <c r="AQ25" s="878"/>
      <c r="AR25" s="881"/>
      <c r="AS25" s="881"/>
      <c r="AT25" s="878"/>
      <c r="AU25" s="878"/>
      <c r="AV25" s="881"/>
      <c r="AW25" s="878"/>
      <c r="AX25" s="878"/>
      <c r="AY25" s="878"/>
      <c r="AZ25" s="878"/>
      <c r="BA25" s="878"/>
    </row>
    <row r="26" spans="1:53" s="690" customFormat="1" ht="12.75" customHeight="1" x14ac:dyDescent="0.25">
      <c r="A26" s="1115"/>
      <c r="B26" s="913" t="s">
        <v>1178</v>
      </c>
      <c r="C26" s="919">
        <v>0.8</v>
      </c>
      <c r="D26" s="884"/>
      <c r="E26" s="904" t="s">
        <v>1444</v>
      </c>
      <c r="F26" s="905" t="s">
        <v>1443</v>
      </c>
      <c r="G26" s="906">
        <v>872</v>
      </c>
      <c r="H26" s="905">
        <v>5.0000000000000001E-3</v>
      </c>
      <c r="I26" s="907">
        <f t="shared" si="1"/>
        <v>4.3600000000000003</v>
      </c>
      <c r="J26" s="888"/>
      <c r="K26" s="918"/>
      <c r="L26" s="891"/>
      <c r="M26" s="891"/>
      <c r="N26" s="891"/>
      <c r="O26" s="890"/>
      <c r="P26" s="890"/>
      <c r="Q26" s="892"/>
      <c r="R26" s="890"/>
      <c r="S26" s="890"/>
      <c r="T26" s="890"/>
      <c r="U26" s="890"/>
      <c r="V26" s="890"/>
      <c r="W26" s="892"/>
      <c r="X26" s="890"/>
      <c r="Y26" s="890"/>
      <c r="Z26" s="890"/>
      <c r="AA26" s="830"/>
      <c r="AB26" s="830"/>
      <c r="AC26" s="751"/>
      <c r="AD26" s="878"/>
      <c r="AF26" s="911"/>
      <c r="AG26" s="878"/>
      <c r="AH26" s="878"/>
      <c r="AI26" s="878"/>
      <c r="AJ26" s="920"/>
      <c r="AK26" s="878"/>
      <c r="AL26" s="880"/>
      <c r="AM26" s="878"/>
      <c r="AN26" s="878"/>
      <c r="AO26" s="881"/>
      <c r="AP26" s="878"/>
      <c r="AQ26" s="878"/>
      <c r="AR26" s="881"/>
      <c r="AS26" s="881"/>
      <c r="AT26" s="878"/>
      <c r="AU26" s="878"/>
      <c r="AV26" s="881"/>
      <c r="AW26" s="878"/>
      <c r="AX26" s="878"/>
      <c r="AY26" s="878"/>
      <c r="AZ26" s="878"/>
      <c r="BA26" s="878"/>
    </row>
    <row r="27" spans="1:53" s="690" customFormat="1" ht="12.75" customHeight="1" x14ac:dyDescent="0.25">
      <c r="A27" s="1115"/>
      <c r="B27" s="885" t="s">
        <v>1179</v>
      </c>
      <c r="C27" s="919">
        <v>0.4</v>
      </c>
      <c r="D27" s="884"/>
      <c r="E27" s="904" t="s">
        <v>13</v>
      </c>
      <c r="F27" s="921" t="s">
        <v>1441</v>
      </c>
      <c r="G27" s="906">
        <v>1.5</v>
      </c>
      <c r="H27" s="905">
        <v>1</v>
      </c>
      <c r="I27" s="907">
        <f t="shared" si="1"/>
        <v>1.5</v>
      </c>
      <c r="J27" s="888"/>
      <c r="K27" s="918"/>
      <c r="L27" s="891"/>
      <c r="M27" s="891"/>
      <c r="N27" s="891"/>
      <c r="O27" s="890"/>
      <c r="P27" s="890"/>
      <c r="Q27" s="892"/>
      <c r="R27" s="890"/>
      <c r="S27" s="890"/>
      <c r="T27" s="890"/>
      <c r="U27" s="890"/>
      <c r="V27" s="890"/>
      <c r="W27" s="892"/>
      <c r="X27" s="890"/>
      <c r="Y27" s="890"/>
      <c r="Z27" s="890"/>
      <c r="AA27" s="830"/>
      <c r="AB27" s="830"/>
      <c r="AC27" s="751"/>
      <c r="AD27" s="878"/>
      <c r="AF27" s="911"/>
      <c r="AG27" s="878">
        <v>25</v>
      </c>
      <c r="AH27" s="878"/>
      <c r="AI27" s="878"/>
      <c r="AJ27" s="920"/>
      <c r="AK27" s="878"/>
      <c r="AL27" s="880"/>
      <c r="AM27" s="878"/>
      <c r="AN27" s="878"/>
      <c r="AO27" s="881"/>
      <c r="AP27" s="878"/>
      <c r="AQ27" s="878"/>
      <c r="AR27" s="881"/>
      <c r="AS27" s="881"/>
      <c r="AT27" s="878"/>
      <c r="AU27" s="878"/>
      <c r="AV27" s="881"/>
      <c r="AW27" s="878"/>
      <c r="AX27" s="878"/>
      <c r="AY27" s="878"/>
      <c r="AZ27" s="878"/>
      <c r="BA27" s="878"/>
    </row>
    <row r="28" spans="1:53" s="690" customFormat="1" ht="12.75" customHeight="1" x14ac:dyDescent="0.25">
      <c r="A28" s="1115"/>
      <c r="B28" s="922" t="s">
        <v>1181</v>
      </c>
      <c r="C28" s="871">
        <f>C23*C26+C24*C27</f>
        <v>42.909355545469502</v>
      </c>
      <c r="D28" s="884"/>
      <c r="E28" s="904"/>
      <c r="F28" s="921"/>
      <c r="G28" s="906"/>
      <c r="H28" s="905"/>
      <c r="I28" s="907"/>
      <c r="J28" s="888"/>
      <c r="K28" s="918"/>
      <c r="L28" s="891"/>
      <c r="M28" s="891"/>
      <c r="N28" s="891"/>
      <c r="O28" s="890"/>
      <c r="P28" s="890"/>
      <c r="Q28" s="892"/>
      <c r="R28" s="890"/>
      <c r="S28" s="890"/>
      <c r="T28" s="890"/>
      <c r="U28" s="890"/>
      <c r="V28" s="890"/>
      <c r="W28" s="892"/>
      <c r="X28" s="890"/>
      <c r="Y28" s="890"/>
      <c r="Z28" s="890"/>
      <c r="AA28" s="830"/>
      <c r="AB28" s="830"/>
      <c r="AC28" s="751"/>
      <c r="AD28" s="878"/>
      <c r="AF28" s="911"/>
      <c r="AG28" s="878"/>
      <c r="AH28" s="878"/>
      <c r="AI28" s="878"/>
      <c r="AJ28" s="912"/>
      <c r="AK28" s="878"/>
      <c r="AL28" s="880"/>
      <c r="AM28" s="878"/>
      <c r="AN28" s="878"/>
      <c r="AO28" s="881"/>
      <c r="AP28" s="878"/>
      <c r="AQ28" s="878"/>
      <c r="AR28" s="881"/>
      <c r="AS28" s="881"/>
      <c r="AT28" s="878"/>
      <c r="AU28" s="878"/>
      <c r="AV28" s="881"/>
      <c r="AW28" s="878"/>
      <c r="AX28" s="878"/>
      <c r="AY28" s="878"/>
      <c r="AZ28" s="878"/>
      <c r="BA28" s="878"/>
    </row>
    <row r="29" spans="1:53" s="690" customFormat="1" ht="12.75" customHeight="1" x14ac:dyDescent="0.25">
      <c r="A29" s="1116"/>
      <c r="B29" s="922"/>
      <c r="C29" s="919"/>
      <c r="D29" s="923"/>
      <c r="E29" s="904"/>
      <c r="F29" s="921"/>
      <c r="G29" s="906"/>
      <c r="H29" s="905"/>
      <c r="I29" s="907"/>
      <c r="J29" s="888"/>
      <c r="K29" s="918"/>
      <c r="L29" s="891"/>
      <c r="M29" s="891"/>
      <c r="N29" s="891"/>
      <c r="O29" s="890"/>
      <c r="P29" s="890"/>
      <c r="Q29" s="892"/>
      <c r="R29" s="890"/>
      <c r="S29" s="890"/>
      <c r="T29" s="890"/>
      <c r="U29" s="890"/>
      <c r="V29" s="890"/>
      <c r="W29" s="892"/>
      <c r="X29" s="890"/>
      <c r="Y29" s="890"/>
      <c r="Z29" s="890"/>
      <c r="AA29" s="830"/>
      <c r="AB29" s="830"/>
      <c r="AC29" s="751"/>
      <c r="AD29" s="878"/>
      <c r="AF29" s="911"/>
      <c r="AG29" s="878"/>
      <c r="AH29" s="878"/>
      <c r="AI29" s="878"/>
      <c r="AJ29" s="920"/>
      <c r="AK29" s="878"/>
      <c r="AL29" s="880"/>
      <c r="AM29" s="878"/>
      <c r="AN29" s="878"/>
      <c r="AO29" s="881"/>
      <c r="AP29" s="878"/>
      <c r="AQ29" s="878"/>
      <c r="AR29" s="881"/>
      <c r="AS29" s="881"/>
      <c r="AT29" s="878"/>
      <c r="AU29" s="878"/>
      <c r="AV29" s="881"/>
      <c r="AW29" s="878"/>
      <c r="AX29" s="878"/>
      <c r="AY29" s="878"/>
      <c r="AZ29" s="878"/>
      <c r="BA29" s="878"/>
    </row>
    <row r="30" spans="1:53" s="690" customFormat="1" ht="56.25" customHeight="1" x14ac:dyDescent="0.25">
      <c r="A30" s="1114" t="s">
        <v>1008</v>
      </c>
      <c r="B30" s="937" t="s">
        <v>1811</v>
      </c>
      <c r="C30" s="938"/>
      <c r="D30" s="830"/>
      <c r="E30" s="925" t="s">
        <v>488</v>
      </c>
      <c r="F30" s="873" t="s">
        <v>837</v>
      </c>
      <c r="G30" s="871" t="s">
        <v>489</v>
      </c>
      <c r="H30" s="872" t="s">
        <v>1170</v>
      </c>
      <c r="I30" s="873" t="s">
        <v>838</v>
      </c>
      <c r="J30" s="874" t="s">
        <v>1171</v>
      </c>
      <c r="K30" s="874" t="s">
        <v>490</v>
      </c>
      <c r="L30" s="875" t="s">
        <v>489</v>
      </c>
      <c r="M30" s="874" t="s">
        <v>1172</v>
      </c>
      <c r="N30" s="873" t="s">
        <v>838</v>
      </c>
      <c r="O30" s="874" t="s">
        <v>1171</v>
      </c>
      <c r="P30" s="874" t="s">
        <v>826</v>
      </c>
      <c r="Q30" s="874" t="s">
        <v>1173</v>
      </c>
      <c r="R30" s="874" t="s">
        <v>1174</v>
      </c>
      <c r="S30" s="874" t="s">
        <v>839</v>
      </c>
      <c r="T30" s="874" t="s">
        <v>1171</v>
      </c>
      <c r="U30" s="874" t="s">
        <v>1392</v>
      </c>
      <c r="V30" s="876" t="s">
        <v>1173</v>
      </c>
      <c r="W30" s="874" t="s">
        <v>841</v>
      </c>
      <c r="X30" s="874" t="s">
        <v>1394</v>
      </c>
      <c r="Y30" s="874" t="s">
        <v>839</v>
      </c>
      <c r="Z30" s="877"/>
      <c r="AA30" s="830"/>
      <c r="AB30" s="830"/>
      <c r="AC30" s="751"/>
      <c r="AD30" s="878"/>
      <c r="AF30" s="879"/>
      <c r="AG30" s="878"/>
      <c r="AH30" s="878"/>
      <c r="AI30" s="878"/>
      <c r="AJ30" s="878"/>
      <c r="AK30" s="878"/>
      <c r="AL30" s="880"/>
      <c r="AM30" s="878"/>
      <c r="AN30" s="878"/>
      <c r="AO30" s="881"/>
      <c r="AP30" s="878"/>
      <c r="AQ30" s="882"/>
      <c r="AR30" s="882"/>
      <c r="AS30" s="882"/>
      <c r="AT30" s="878"/>
      <c r="AU30" s="878"/>
      <c r="AV30" s="881"/>
      <c r="AW30" s="878"/>
      <c r="AX30" s="878"/>
      <c r="AY30" s="878"/>
      <c r="AZ30" s="878"/>
      <c r="BA30" s="878"/>
    </row>
    <row r="31" spans="1:53" s="690" customFormat="1" ht="12" customHeight="1" x14ac:dyDescent="0.25">
      <c r="A31" s="1115"/>
      <c r="B31" s="883" t="s">
        <v>1175</v>
      </c>
      <c r="C31" s="924">
        <f>C38</f>
        <v>42.664490803009507</v>
      </c>
      <c r="D31" s="926">
        <f>C31*$D$7</f>
        <v>8.6182271422079211</v>
      </c>
      <c r="E31" s="927" t="s">
        <v>1176</v>
      </c>
      <c r="F31" s="886"/>
      <c r="G31" s="887"/>
      <c r="H31" s="887"/>
      <c r="I31" s="749">
        <f>SUM(I32:I39)</f>
        <v>8.0936000000000003</v>
      </c>
      <c r="J31" s="888" t="s">
        <v>1176</v>
      </c>
      <c r="K31" s="889"/>
      <c r="L31" s="890"/>
      <c r="M31" s="890"/>
      <c r="N31" s="891">
        <f>SUM(N32:N39)</f>
        <v>9.7177053508634495E-2</v>
      </c>
      <c r="O31" s="890" t="s">
        <v>1176</v>
      </c>
      <c r="P31" s="890"/>
      <c r="Q31" s="928"/>
      <c r="R31" s="893"/>
      <c r="S31" s="891">
        <f>SUM(S32:S39)</f>
        <v>4.1503124387477399</v>
      </c>
      <c r="T31" s="891"/>
      <c r="U31" s="891"/>
      <c r="V31" s="891"/>
      <c r="W31" s="891"/>
      <c r="X31" s="891"/>
      <c r="Y31" s="891">
        <f>SUM(Y32:Y39)</f>
        <v>10.307632433223615</v>
      </c>
      <c r="Z31" s="895">
        <f>(C31+D31+I31+N31+S31+Y31)*$Z$7</f>
        <v>96.124748230478119</v>
      </c>
      <c r="AA31" s="896">
        <f>C31+D31+I31+N31+S31+Y31+Z31</f>
        <v>170.05618810117554</v>
      </c>
      <c r="AB31" s="897">
        <v>0.3</v>
      </c>
      <c r="AC31" s="898">
        <f>AA31*(1+AB31)</f>
        <v>221.07304453152821</v>
      </c>
      <c r="AD31" s="881"/>
      <c r="AF31" s="879"/>
      <c r="AG31" s="878"/>
      <c r="AH31" s="878"/>
      <c r="AI31" s="882"/>
      <c r="AJ31" s="899"/>
      <c r="AK31" s="900"/>
      <c r="AL31" s="880"/>
      <c r="AM31" s="901"/>
      <c r="AN31" s="818"/>
      <c r="AO31" s="901"/>
      <c r="AP31" s="882"/>
      <c r="AQ31" s="882"/>
      <c r="AR31" s="882"/>
      <c r="AS31" s="882"/>
      <c r="AT31" s="882"/>
      <c r="AU31" s="901"/>
      <c r="AV31" s="901"/>
      <c r="AW31" s="902"/>
      <c r="AX31" s="878"/>
      <c r="AY31" s="878"/>
      <c r="AZ31" s="878"/>
      <c r="BA31" s="878"/>
    </row>
    <row r="32" spans="1:53" s="690" customFormat="1" ht="12.75" customHeight="1" x14ac:dyDescent="0.25">
      <c r="A32" s="1115"/>
      <c r="B32" s="903" t="s">
        <v>830</v>
      </c>
      <c r="C32" s="924"/>
      <c r="D32" s="884"/>
      <c r="E32" s="904" t="s">
        <v>1437</v>
      </c>
      <c r="F32" s="905" t="s">
        <v>1438</v>
      </c>
      <c r="G32" s="906">
        <v>0.74</v>
      </c>
      <c r="H32" s="905">
        <v>0.01</v>
      </c>
      <c r="I32" s="907">
        <f>G32*H32</f>
        <v>7.4000000000000003E-3</v>
      </c>
      <c r="J32" s="888" t="s">
        <v>1291</v>
      </c>
      <c r="K32" s="908">
        <v>2</v>
      </c>
      <c r="L32" s="909">
        <v>750</v>
      </c>
      <c r="M32" s="908">
        <v>2</v>
      </c>
      <c r="N32" s="891">
        <f>L32/'Исп. коэффициенты'!E28</f>
        <v>8.377332199020214E-2</v>
      </c>
      <c r="O32" s="910" t="s">
        <v>1578</v>
      </c>
      <c r="P32" s="890">
        <v>188900</v>
      </c>
      <c r="Q32" s="892">
        <v>0.19670000000000001</v>
      </c>
      <c r="R32" s="890">
        <f>P32*Q32</f>
        <v>37156.630000000005</v>
      </c>
      <c r="S32" s="890">
        <f>R32/'Исп. коэффициенты'!E28</f>
        <v>4.1503124387477399</v>
      </c>
      <c r="T32" s="830" t="s">
        <v>1435</v>
      </c>
      <c r="U32" s="887">
        <v>6785401.3499999996</v>
      </c>
      <c r="V32" s="894">
        <v>1.3599999999999999E-2</v>
      </c>
      <c r="W32" s="830">
        <f>'Исп. коэффициенты'!E124</f>
        <v>2978.5</v>
      </c>
      <c r="X32" s="891">
        <f>U32*V32</f>
        <v>92281.45835999999</v>
      </c>
      <c r="Y32" s="890">
        <f>X32/'Исп. коэффициенты'!E28</f>
        <v>10.307632433223615</v>
      </c>
      <c r="Z32" s="890"/>
      <c r="AA32" s="830"/>
      <c r="AB32" s="830"/>
      <c r="AC32" s="751"/>
      <c r="AD32" s="878"/>
      <c r="AF32" s="911"/>
      <c r="AG32" s="878"/>
      <c r="AH32" s="878"/>
      <c r="AI32" s="878"/>
      <c r="AJ32" s="912"/>
      <c r="AK32" s="878"/>
      <c r="AL32" s="880"/>
      <c r="AM32" s="878"/>
      <c r="AN32" s="878"/>
      <c r="AO32" s="881"/>
      <c r="AP32" s="878"/>
      <c r="AQ32" s="878"/>
      <c r="AR32" s="881"/>
      <c r="AS32" s="881"/>
      <c r="AT32" s="878"/>
      <c r="AU32" s="878"/>
      <c r="AV32" s="881"/>
      <c r="AW32" s="878"/>
      <c r="AX32" s="878"/>
      <c r="AY32" s="878"/>
      <c r="AZ32" s="878"/>
      <c r="BA32" s="878"/>
    </row>
    <row r="33" spans="1:53" s="690" customFormat="1" x14ac:dyDescent="0.25">
      <c r="A33" s="1115"/>
      <c r="B33" s="913" t="s">
        <v>1178</v>
      </c>
      <c r="C33" s="929">
        <f>C23</f>
        <v>43.888814515309463</v>
      </c>
      <c r="D33" s="884"/>
      <c r="E33" s="904" t="s">
        <v>1439</v>
      </c>
      <c r="F33" s="905" t="s">
        <v>1438</v>
      </c>
      <c r="G33" s="906">
        <v>0.27</v>
      </c>
      <c r="H33" s="905">
        <v>0.01</v>
      </c>
      <c r="I33" s="907">
        <f>G33*H33</f>
        <v>2.7000000000000001E-3</v>
      </c>
      <c r="J33" s="888" t="s">
        <v>1445</v>
      </c>
      <c r="K33" s="891">
        <v>2</v>
      </c>
      <c r="L33" s="915">
        <v>95</v>
      </c>
      <c r="M33" s="908">
        <v>2</v>
      </c>
      <c r="N33" s="891">
        <f>L33/'Исп. коэффициенты'!E28</f>
        <v>1.0611287452092272E-2</v>
      </c>
      <c r="O33" s="890"/>
      <c r="P33" s="890"/>
      <c r="Q33" s="892"/>
      <c r="R33" s="890"/>
      <c r="S33" s="890"/>
      <c r="T33" s="890"/>
      <c r="U33" s="890"/>
      <c r="V33" s="890"/>
      <c r="W33" s="892"/>
      <c r="X33" s="890"/>
      <c r="Y33" s="890"/>
      <c r="Z33" s="890"/>
      <c r="AA33" s="830"/>
      <c r="AB33" s="830"/>
      <c r="AC33" s="751"/>
      <c r="AD33" s="878"/>
      <c r="AF33" s="911"/>
      <c r="AG33" s="878"/>
      <c r="AH33" s="878"/>
      <c r="AI33" s="878"/>
      <c r="AJ33" s="912"/>
      <c r="AK33" s="878"/>
      <c r="AL33" s="880"/>
      <c r="AM33" s="902"/>
      <c r="AN33" s="878"/>
      <c r="AO33" s="881"/>
      <c r="AP33" s="878"/>
      <c r="AQ33" s="878"/>
      <c r="AR33" s="881"/>
      <c r="AS33" s="881"/>
      <c r="AT33" s="878"/>
      <c r="AU33" s="878"/>
      <c r="AV33" s="881"/>
      <c r="AW33" s="878"/>
      <c r="AX33" s="878"/>
      <c r="AY33" s="878"/>
      <c r="AZ33" s="878"/>
      <c r="BA33" s="878"/>
    </row>
    <row r="34" spans="1:53" s="690" customFormat="1" ht="12.75" customHeight="1" x14ac:dyDescent="0.25">
      <c r="A34" s="1115"/>
      <c r="B34" s="885" t="s">
        <v>1179</v>
      </c>
      <c r="C34" s="924">
        <f>C24</f>
        <v>19.495759833054819</v>
      </c>
      <c r="D34" s="884"/>
      <c r="E34" s="904" t="s">
        <v>1440</v>
      </c>
      <c r="F34" s="905" t="s">
        <v>1441</v>
      </c>
      <c r="G34" s="906">
        <v>5.92</v>
      </c>
      <c r="H34" s="916">
        <v>1</v>
      </c>
      <c r="I34" s="907">
        <f>G34*H34</f>
        <v>5.92</v>
      </c>
      <c r="J34" s="888" t="s">
        <v>1513</v>
      </c>
      <c r="K34" s="891">
        <v>2</v>
      </c>
      <c r="L34" s="891">
        <v>25</v>
      </c>
      <c r="M34" s="908">
        <v>0.5</v>
      </c>
      <c r="N34" s="891">
        <f>L34/'Исп. коэффициенты'!E28</f>
        <v>2.7924440663400717E-3</v>
      </c>
      <c r="O34" s="890"/>
      <c r="P34" s="890"/>
      <c r="Q34" s="892"/>
      <c r="R34" s="890"/>
      <c r="S34" s="890"/>
      <c r="T34" s="890"/>
      <c r="U34" s="890"/>
      <c r="V34" s="890"/>
      <c r="W34" s="892"/>
      <c r="X34" s="890"/>
      <c r="Y34" s="890"/>
      <c r="Z34" s="890"/>
      <c r="AA34" s="830"/>
      <c r="AB34" s="830"/>
      <c r="AC34" s="751"/>
      <c r="AD34" s="878"/>
      <c r="AF34" s="911"/>
      <c r="AG34" s="878"/>
      <c r="AH34" s="878"/>
      <c r="AI34" s="878"/>
      <c r="AJ34" s="912"/>
      <c r="AK34" s="878"/>
      <c r="AL34" s="880"/>
      <c r="AM34" s="878"/>
      <c r="AN34" s="878"/>
      <c r="AO34" s="881"/>
      <c r="AP34" s="878"/>
      <c r="AQ34" s="878"/>
      <c r="AR34" s="881"/>
      <c r="AS34" s="881"/>
      <c r="AT34" s="878"/>
      <c r="AU34" s="878"/>
      <c r="AV34" s="881"/>
      <c r="AW34" s="878"/>
      <c r="AX34" s="878"/>
      <c r="AY34" s="878"/>
      <c r="AZ34" s="878"/>
      <c r="BA34" s="878"/>
    </row>
    <row r="35" spans="1:53" s="690" customFormat="1" ht="12.75" customHeight="1" x14ac:dyDescent="0.25">
      <c r="A35" s="1115"/>
      <c r="B35" s="885" t="s">
        <v>831</v>
      </c>
      <c r="C35" s="930"/>
      <c r="D35" s="884"/>
      <c r="E35" s="904" t="s">
        <v>1442</v>
      </c>
      <c r="F35" s="905" t="s">
        <v>1443</v>
      </c>
      <c r="G35" s="906">
        <v>419.5</v>
      </c>
      <c r="H35" s="905">
        <v>1E-3</v>
      </c>
      <c r="I35" s="907">
        <f>G35*H35</f>
        <v>0.41949999999999998</v>
      </c>
      <c r="J35" s="888"/>
      <c r="K35" s="918"/>
      <c r="L35" s="891"/>
      <c r="M35" s="891"/>
      <c r="N35" s="891"/>
      <c r="O35" s="890"/>
      <c r="P35" s="890"/>
      <c r="Q35" s="892"/>
      <c r="R35" s="890"/>
      <c r="S35" s="890"/>
      <c r="T35" s="890"/>
      <c r="U35" s="890"/>
      <c r="V35" s="890"/>
      <c r="W35" s="892"/>
      <c r="X35" s="890"/>
      <c r="Y35" s="890"/>
      <c r="Z35" s="890"/>
      <c r="AA35" s="830"/>
      <c r="AB35" s="830"/>
      <c r="AC35" s="751"/>
      <c r="AD35" s="878"/>
      <c r="AF35" s="911"/>
      <c r="AG35" s="878"/>
      <c r="AH35" s="878"/>
      <c r="AI35" s="878"/>
      <c r="AJ35" s="912"/>
      <c r="AK35" s="878"/>
      <c r="AL35" s="880"/>
      <c r="AM35" s="878"/>
      <c r="AN35" s="878"/>
      <c r="AO35" s="881"/>
      <c r="AP35" s="878"/>
      <c r="AQ35" s="878"/>
      <c r="AR35" s="881"/>
      <c r="AS35" s="881"/>
      <c r="AT35" s="878"/>
      <c r="AU35" s="878"/>
      <c r="AV35" s="881"/>
      <c r="AW35" s="878"/>
      <c r="AX35" s="878"/>
      <c r="AY35" s="878"/>
      <c r="AZ35" s="878"/>
      <c r="BA35" s="878"/>
    </row>
    <row r="36" spans="1:53" s="690" customFormat="1" ht="12.75" customHeight="1" x14ac:dyDescent="0.25">
      <c r="A36" s="1115"/>
      <c r="B36" s="913" t="s">
        <v>1178</v>
      </c>
      <c r="C36" s="929">
        <v>0.75</v>
      </c>
      <c r="D36" s="884"/>
      <c r="E36" s="904" t="s">
        <v>1444</v>
      </c>
      <c r="F36" s="905" t="s">
        <v>1443</v>
      </c>
      <c r="G36" s="906">
        <v>872</v>
      </c>
      <c r="H36" s="905">
        <v>2E-3</v>
      </c>
      <c r="I36" s="907">
        <f>G36*H36</f>
        <v>1.744</v>
      </c>
      <c r="J36" s="888"/>
      <c r="K36" s="918"/>
      <c r="L36" s="891"/>
      <c r="M36" s="891"/>
      <c r="N36" s="891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890"/>
      <c r="AA36" s="830"/>
      <c r="AB36" s="830"/>
      <c r="AC36" s="751"/>
      <c r="AD36" s="878"/>
      <c r="AF36" s="911"/>
      <c r="AG36" s="878"/>
      <c r="AH36" s="878"/>
      <c r="AI36" s="878"/>
      <c r="AJ36" s="920"/>
      <c r="AK36" s="878"/>
      <c r="AL36" s="880"/>
      <c r="AM36" s="878"/>
      <c r="AN36" s="878"/>
      <c r="AO36" s="881"/>
      <c r="AP36" s="878"/>
      <c r="AQ36" s="878"/>
      <c r="AR36" s="881"/>
      <c r="AS36" s="881"/>
      <c r="AT36" s="878"/>
      <c r="AU36" s="878"/>
      <c r="AV36" s="881"/>
      <c r="AW36" s="878"/>
      <c r="AX36" s="878"/>
      <c r="AY36" s="878"/>
      <c r="AZ36" s="878"/>
      <c r="BA36" s="878"/>
    </row>
    <row r="37" spans="1:53" s="690" customFormat="1" ht="12.75" customHeight="1" x14ac:dyDescent="0.25">
      <c r="A37" s="1115"/>
      <c r="B37" s="885" t="s">
        <v>1179</v>
      </c>
      <c r="C37" s="931">
        <v>0.5</v>
      </c>
      <c r="D37" s="884"/>
      <c r="E37" s="904"/>
      <c r="F37" s="921"/>
      <c r="G37" s="906"/>
      <c r="H37" s="905"/>
      <c r="I37" s="907"/>
      <c r="J37" s="888"/>
      <c r="K37" s="918"/>
      <c r="L37" s="909"/>
      <c r="M37" s="908"/>
      <c r="N37" s="891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890"/>
      <c r="AA37" s="830"/>
      <c r="AB37" s="830"/>
      <c r="AC37" s="751"/>
      <c r="AD37" s="878"/>
      <c r="AF37" s="911"/>
      <c r="AG37" s="878"/>
      <c r="AH37" s="878"/>
      <c r="AI37" s="878"/>
      <c r="AJ37" s="920"/>
      <c r="AK37" s="878"/>
      <c r="AL37" s="880"/>
      <c r="AM37" s="878"/>
      <c r="AN37" s="878"/>
      <c r="AO37" s="881"/>
      <c r="AP37" s="878"/>
      <c r="AQ37" s="878"/>
      <c r="AR37" s="881"/>
      <c r="AS37" s="881"/>
      <c r="AT37" s="878"/>
      <c r="AU37" s="878"/>
      <c r="AV37" s="881"/>
      <c r="AW37" s="878"/>
      <c r="AX37" s="878"/>
      <c r="AY37" s="878"/>
      <c r="AZ37" s="878"/>
      <c r="BA37" s="878"/>
    </row>
    <row r="38" spans="1:53" s="690" customFormat="1" ht="12.75" customHeight="1" x14ac:dyDescent="0.25">
      <c r="A38" s="1115"/>
      <c r="B38" s="922" t="s">
        <v>1181</v>
      </c>
      <c r="C38" s="924">
        <f>C33*C36+C34*C37</f>
        <v>42.664490803009507</v>
      </c>
      <c r="D38" s="884"/>
      <c r="E38" s="932"/>
      <c r="F38" s="921"/>
      <c r="G38" s="906"/>
      <c r="H38" s="905"/>
      <c r="I38" s="907"/>
      <c r="J38" s="888"/>
      <c r="K38" s="918"/>
      <c r="L38" s="915"/>
      <c r="M38" s="908"/>
      <c r="N38" s="891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890"/>
      <c r="AA38" s="830"/>
      <c r="AB38" s="830"/>
      <c r="AC38" s="751"/>
      <c r="AD38" s="878"/>
      <c r="AF38" s="911"/>
      <c r="AG38" s="878"/>
      <c r="AH38" s="878"/>
      <c r="AI38" s="878"/>
      <c r="AJ38" s="912"/>
      <c r="AK38" s="878"/>
      <c r="AL38" s="880"/>
      <c r="AM38" s="878"/>
      <c r="AN38" s="878"/>
      <c r="AO38" s="881"/>
      <c r="AP38" s="878"/>
      <c r="AQ38" s="878"/>
      <c r="AR38" s="881"/>
      <c r="AS38" s="881"/>
      <c r="AT38" s="878"/>
      <c r="AU38" s="878"/>
      <c r="AV38" s="881"/>
      <c r="AW38" s="878"/>
      <c r="AX38" s="878"/>
      <c r="AY38" s="878"/>
      <c r="AZ38" s="878"/>
      <c r="BA38" s="878"/>
    </row>
    <row r="39" spans="1:53" s="690" customFormat="1" ht="13.5" customHeight="1" x14ac:dyDescent="0.25">
      <c r="A39" s="1116"/>
      <c r="B39" s="933"/>
      <c r="C39" s="931"/>
      <c r="D39" s="923"/>
      <c r="E39" s="932"/>
      <c r="F39" s="921"/>
      <c r="G39" s="906"/>
      <c r="H39" s="905"/>
      <c r="I39" s="907"/>
      <c r="J39" s="888"/>
      <c r="K39" s="918"/>
      <c r="L39" s="891"/>
      <c r="M39" s="908"/>
      <c r="N39" s="891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30"/>
      <c r="AB39" s="830"/>
      <c r="AC39" s="751"/>
      <c r="AD39" s="878"/>
      <c r="AF39" s="911"/>
      <c r="AG39" s="878"/>
      <c r="AH39" s="878"/>
      <c r="AI39" s="878"/>
      <c r="AJ39" s="920"/>
      <c r="AK39" s="878"/>
      <c r="AL39" s="880"/>
      <c r="AM39" s="878"/>
      <c r="AN39" s="878"/>
      <c r="AO39" s="881"/>
      <c r="AP39" s="878"/>
      <c r="AQ39" s="878"/>
      <c r="AR39" s="881"/>
      <c r="AS39" s="881"/>
      <c r="AT39" s="878"/>
      <c r="AU39" s="878"/>
      <c r="AV39" s="881"/>
      <c r="AW39" s="878"/>
      <c r="AX39" s="878"/>
      <c r="AY39" s="878"/>
      <c r="AZ39" s="878"/>
      <c r="BA39" s="878"/>
    </row>
    <row r="40" spans="1:53" ht="56.25" customHeight="1" x14ac:dyDescent="0.25">
      <c r="A40" s="1012" t="s">
        <v>1562</v>
      </c>
      <c r="B40" s="439" t="s">
        <v>609</v>
      </c>
      <c r="C40" s="487"/>
      <c r="D40" s="440"/>
      <c r="E40" s="488" t="s">
        <v>488</v>
      </c>
      <c r="F40" s="442" t="s">
        <v>837</v>
      </c>
      <c r="G40" s="439" t="s">
        <v>489</v>
      </c>
      <c r="H40" s="441" t="s">
        <v>1170</v>
      </c>
      <c r="I40" s="442" t="s">
        <v>838</v>
      </c>
      <c r="J40" s="280" t="s">
        <v>1171</v>
      </c>
      <c r="K40" s="280" t="s">
        <v>490</v>
      </c>
      <c r="L40" s="281" t="s">
        <v>489</v>
      </c>
      <c r="M40" s="280" t="s">
        <v>1172</v>
      </c>
      <c r="N40" s="442" t="s">
        <v>838</v>
      </c>
      <c r="O40" s="280" t="s">
        <v>1171</v>
      </c>
      <c r="P40" s="280" t="s">
        <v>826</v>
      </c>
      <c r="Q40" s="280" t="s">
        <v>1173</v>
      </c>
      <c r="R40" s="280" t="s">
        <v>1174</v>
      </c>
      <c r="S40" s="280" t="s">
        <v>839</v>
      </c>
      <c r="T40" s="280" t="s">
        <v>1171</v>
      </c>
      <c r="U40" s="280" t="s">
        <v>1392</v>
      </c>
      <c r="V40" s="282" t="s">
        <v>1173</v>
      </c>
      <c r="W40" s="280" t="s">
        <v>841</v>
      </c>
      <c r="X40" s="280" t="s">
        <v>1394</v>
      </c>
      <c r="Y40" s="280" t="s">
        <v>839</v>
      </c>
      <c r="Z40" s="283"/>
      <c r="AA40" s="440"/>
      <c r="AB40" s="440"/>
      <c r="AC40" s="443"/>
      <c r="AD40" s="444"/>
      <c r="AQ40" s="449"/>
      <c r="AR40" s="449"/>
      <c r="AS40" s="449"/>
    </row>
    <row r="41" spans="1:53" ht="12" customHeight="1" x14ac:dyDescent="0.25">
      <c r="A41" s="1013"/>
      <c r="B41" s="450" t="s">
        <v>1175</v>
      </c>
      <c r="C41" s="487">
        <f>C48</f>
        <v>42.664490803009507</v>
      </c>
      <c r="D41" s="489">
        <f>C41*$D$7</f>
        <v>8.6182271422079211</v>
      </c>
      <c r="E41" s="490" t="s">
        <v>1176</v>
      </c>
      <c r="F41" s="453"/>
      <c r="G41" s="454"/>
      <c r="H41" s="454"/>
      <c r="I41" s="455">
        <f>SUM(I42:I49)</f>
        <v>20.151700000000002</v>
      </c>
      <c r="J41" s="290" t="s">
        <v>1176</v>
      </c>
      <c r="K41" s="357"/>
      <c r="L41" s="291"/>
      <c r="M41" s="291"/>
      <c r="N41" s="292">
        <f>SUM(N42:N49)</f>
        <v>4.4213899999999997</v>
      </c>
      <c r="O41" s="291" t="s">
        <v>1176</v>
      </c>
      <c r="P41" s="291"/>
      <c r="Q41" s="293"/>
      <c r="R41" s="294"/>
      <c r="S41" s="292">
        <f>SUM(S42:S49)</f>
        <v>8.1902000000000008</v>
      </c>
      <c r="T41" s="292"/>
      <c r="U41" s="292"/>
      <c r="V41" s="292"/>
      <c r="W41" s="292"/>
      <c r="X41" s="292"/>
      <c r="Y41" s="292">
        <f>SUM(Y42:Y49)</f>
        <v>9.1999999999999998E-3</v>
      </c>
      <c r="Z41" s="296">
        <f>(C41+D41+I41+N41+S41+Y41)*$Z$7</f>
        <v>109.28754688567777</v>
      </c>
      <c r="AA41" s="459">
        <f>C41+D41+I41+N41+S41+Y41+Z41</f>
        <v>193.34275483089522</v>
      </c>
      <c r="AB41" s="460">
        <v>0.3</v>
      </c>
      <c r="AC41" s="461">
        <f>AA41*(1+AB41)</f>
        <v>251.3455812801638</v>
      </c>
      <c r="AD41" s="448"/>
      <c r="AI41" s="449"/>
      <c r="AJ41" s="462"/>
      <c r="AK41" s="463"/>
      <c r="AM41" s="464"/>
      <c r="AN41" s="143"/>
      <c r="AO41" s="464"/>
      <c r="AP41" s="449"/>
      <c r="AQ41" s="449"/>
      <c r="AR41" s="449"/>
      <c r="AS41" s="449"/>
      <c r="AT41" s="449"/>
      <c r="AU41" s="464"/>
      <c r="AV41" s="464"/>
      <c r="AW41" s="465"/>
    </row>
    <row r="42" spans="1:53" ht="12.75" customHeight="1" x14ac:dyDescent="0.25">
      <c r="A42" s="1013"/>
      <c r="B42" s="466" t="s">
        <v>830</v>
      </c>
      <c r="C42" s="487"/>
      <c r="D42" s="451"/>
      <c r="E42" s="300" t="s">
        <v>1437</v>
      </c>
      <c r="F42" s="301" t="s">
        <v>1438</v>
      </c>
      <c r="G42" s="302">
        <v>0.74</v>
      </c>
      <c r="H42" s="301">
        <v>0.1</v>
      </c>
      <c r="I42" s="303">
        <f>G42*H42</f>
        <v>7.3999999999999996E-2</v>
      </c>
      <c r="J42" s="290" t="s">
        <v>1291</v>
      </c>
      <c r="K42" s="304">
        <v>2</v>
      </c>
      <c r="L42" s="305">
        <v>750</v>
      </c>
      <c r="M42" s="304">
        <v>2</v>
      </c>
      <c r="N42" s="292">
        <v>1.1745000000000001</v>
      </c>
      <c r="O42" s="467" t="s">
        <v>1578</v>
      </c>
      <c r="P42" s="291">
        <v>188900</v>
      </c>
      <c r="Q42" s="372">
        <v>0.19670000000000001</v>
      </c>
      <c r="R42" s="291">
        <f>P42*Q42</f>
        <v>37156.630000000005</v>
      </c>
      <c r="S42" s="291">
        <v>8.1902000000000008</v>
      </c>
      <c r="T42" s="458" t="s">
        <v>1435</v>
      </c>
      <c r="U42" s="456">
        <v>6785401.3499999996</v>
      </c>
      <c r="V42" s="457">
        <v>1.32E-2</v>
      </c>
      <c r="W42" s="458">
        <v>1508.3</v>
      </c>
      <c r="X42" s="292">
        <v>59.38</v>
      </c>
      <c r="Y42" s="291">
        <v>9.1999999999999998E-3</v>
      </c>
      <c r="Z42" s="291"/>
      <c r="AA42" s="440"/>
      <c r="AB42" s="460"/>
      <c r="AC42" s="443"/>
      <c r="AD42" s="444"/>
      <c r="AF42" s="365"/>
      <c r="AJ42" s="468"/>
    </row>
    <row r="43" spans="1:53" x14ac:dyDescent="0.25">
      <c r="A43" s="1013"/>
      <c r="B43" s="469" t="s">
        <v>1178</v>
      </c>
      <c r="C43" s="491">
        <f>C33</f>
        <v>43.888814515309463</v>
      </c>
      <c r="D43" s="451"/>
      <c r="E43" s="300" t="s">
        <v>1439</v>
      </c>
      <c r="F43" s="301" t="s">
        <v>1438</v>
      </c>
      <c r="G43" s="302">
        <v>0.27</v>
      </c>
      <c r="H43" s="301">
        <v>0.01</v>
      </c>
      <c r="I43" s="303">
        <f t="shared" ref="I43:I49" si="2">G43*H43</f>
        <v>2.7000000000000001E-3</v>
      </c>
      <c r="J43" s="290" t="s">
        <v>1445</v>
      </c>
      <c r="K43" s="292">
        <v>2</v>
      </c>
      <c r="L43" s="311">
        <v>95</v>
      </c>
      <c r="M43" s="304">
        <v>2</v>
      </c>
      <c r="N43" s="292">
        <v>3.1146400000000001</v>
      </c>
      <c r="O43" s="291"/>
      <c r="P43" s="291"/>
      <c r="Q43" s="372"/>
      <c r="R43" s="291"/>
      <c r="S43" s="291"/>
      <c r="T43" s="291"/>
      <c r="U43" s="291"/>
      <c r="V43" s="291"/>
      <c r="W43" s="372"/>
      <c r="X43" s="291"/>
      <c r="Y43" s="291"/>
      <c r="Z43" s="291"/>
      <c r="AA43" s="440"/>
      <c r="AB43" s="460"/>
      <c r="AC43" s="443"/>
      <c r="AD43" s="444"/>
      <c r="AF43" s="365"/>
      <c r="AJ43" s="468"/>
      <c r="AM43" s="465"/>
    </row>
    <row r="44" spans="1:53" ht="12.75" customHeight="1" x14ac:dyDescent="0.25">
      <c r="A44" s="1013"/>
      <c r="B44" s="452" t="s">
        <v>1179</v>
      </c>
      <c r="C44" s="487">
        <f>C34</f>
        <v>19.495759833054819</v>
      </c>
      <c r="D44" s="451"/>
      <c r="E44" s="300" t="s">
        <v>1440</v>
      </c>
      <c r="F44" s="301" t="s">
        <v>1441</v>
      </c>
      <c r="G44" s="302">
        <v>5.92</v>
      </c>
      <c r="H44" s="471">
        <v>1</v>
      </c>
      <c r="I44" s="303">
        <f t="shared" si="2"/>
        <v>5.92</v>
      </c>
      <c r="J44" s="290" t="s">
        <v>1513</v>
      </c>
      <c r="K44" s="292">
        <v>2</v>
      </c>
      <c r="L44" s="292">
        <v>25</v>
      </c>
      <c r="M44" s="304">
        <v>0.5</v>
      </c>
      <c r="N44" s="292">
        <v>0.13225000000000001</v>
      </c>
      <c r="O44" s="291"/>
      <c r="P44" s="291"/>
      <c r="Q44" s="372"/>
      <c r="R44" s="291"/>
      <c r="S44" s="291"/>
      <c r="T44" s="291"/>
      <c r="U44" s="291"/>
      <c r="V44" s="291"/>
      <c r="W44" s="372"/>
      <c r="X44" s="291"/>
      <c r="Y44" s="291"/>
      <c r="Z44" s="291"/>
      <c r="AA44" s="440"/>
      <c r="AB44" s="460"/>
      <c r="AC44" s="443"/>
      <c r="AD44" s="444"/>
      <c r="AF44" s="365"/>
      <c r="AJ44" s="468"/>
    </row>
    <row r="45" spans="1:53" ht="12.75" customHeight="1" x14ac:dyDescent="0.25">
      <c r="A45" s="1013"/>
      <c r="B45" s="452" t="s">
        <v>831</v>
      </c>
      <c r="C45" s="492"/>
      <c r="D45" s="451"/>
      <c r="E45" s="300" t="s">
        <v>1442</v>
      </c>
      <c r="F45" s="301" t="s">
        <v>1443</v>
      </c>
      <c r="G45" s="302">
        <v>419.5</v>
      </c>
      <c r="H45" s="301">
        <v>0.01</v>
      </c>
      <c r="I45" s="303">
        <f t="shared" si="2"/>
        <v>4.1950000000000003</v>
      </c>
      <c r="J45" s="290"/>
      <c r="K45" s="374"/>
      <c r="L45" s="292"/>
      <c r="M45" s="292"/>
      <c r="N45" s="292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440"/>
      <c r="AB45" s="460"/>
      <c r="AC45" s="443"/>
      <c r="AD45" s="444"/>
      <c r="AF45" s="365"/>
      <c r="AJ45" s="468"/>
    </row>
    <row r="46" spans="1:53" ht="12.75" customHeight="1" x14ac:dyDescent="0.25">
      <c r="A46" s="1013"/>
      <c r="B46" s="469" t="s">
        <v>1178</v>
      </c>
      <c r="C46" s="491">
        <v>0.75</v>
      </c>
      <c r="D46" s="451"/>
      <c r="E46" s="300" t="s">
        <v>1444</v>
      </c>
      <c r="F46" s="301" t="s">
        <v>1443</v>
      </c>
      <c r="G46" s="302">
        <v>872</v>
      </c>
      <c r="H46" s="301">
        <v>5.0000000000000001E-3</v>
      </c>
      <c r="I46" s="303">
        <f t="shared" si="2"/>
        <v>4.3600000000000003</v>
      </c>
      <c r="J46" s="290"/>
      <c r="K46" s="374"/>
      <c r="L46" s="292"/>
      <c r="M46" s="292"/>
      <c r="N46" s="292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1"/>
      <c r="AA46" s="440"/>
      <c r="AB46" s="460"/>
      <c r="AC46" s="443"/>
      <c r="AD46" s="444"/>
      <c r="AF46" s="365"/>
      <c r="AJ46" s="472"/>
    </row>
    <row r="47" spans="1:53" ht="12.75" customHeight="1" x14ac:dyDescent="0.25">
      <c r="A47" s="1013"/>
      <c r="B47" s="452" t="s">
        <v>1179</v>
      </c>
      <c r="C47" s="493">
        <v>0.5</v>
      </c>
      <c r="D47" s="451"/>
      <c r="E47" s="494" t="s">
        <v>1517</v>
      </c>
      <c r="F47" s="376" t="s">
        <v>1441</v>
      </c>
      <c r="G47" s="302">
        <v>1.31</v>
      </c>
      <c r="H47" s="301">
        <v>1</v>
      </c>
      <c r="I47" s="303">
        <f t="shared" si="2"/>
        <v>1.31</v>
      </c>
      <c r="J47" s="290"/>
      <c r="K47" s="374"/>
      <c r="L47" s="305"/>
      <c r="M47" s="304"/>
      <c r="N47" s="292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1"/>
      <c r="AA47" s="440"/>
      <c r="AB47" s="460"/>
      <c r="AC47" s="443"/>
      <c r="AD47" s="444"/>
      <c r="AF47" s="365"/>
      <c r="AJ47" s="472"/>
    </row>
    <row r="48" spans="1:53" ht="12.75" customHeight="1" x14ac:dyDescent="0.25">
      <c r="A48" s="1013"/>
      <c r="B48" s="474" t="s">
        <v>1181</v>
      </c>
      <c r="C48" s="487">
        <f>C43*C46+C44*C47</f>
        <v>42.664490803009507</v>
      </c>
      <c r="D48" s="451"/>
      <c r="E48" s="494" t="s">
        <v>12</v>
      </c>
      <c r="F48" s="376" t="s">
        <v>1558</v>
      </c>
      <c r="G48" s="302">
        <v>2.79</v>
      </c>
      <c r="H48" s="301">
        <v>1</v>
      </c>
      <c r="I48" s="303">
        <f t="shared" si="2"/>
        <v>2.79</v>
      </c>
      <c r="J48" s="290"/>
      <c r="K48" s="374"/>
      <c r="L48" s="311"/>
      <c r="M48" s="304"/>
      <c r="N48" s="292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440"/>
      <c r="AB48" s="460"/>
      <c r="AC48" s="443"/>
      <c r="AD48" s="444"/>
      <c r="AF48" s="365"/>
      <c r="AJ48" s="468"/>
    </row>
    <row r="49" spans="1:53" ht="13.5" customHeight="1" x14ac:dyDescent="0.25">
      <c r="A49" s="1014"/>
      <c r="B49" s="318"/>
      <c r="C49" s="493"/>
      <c r="D49" s="475"/>
      <c r="E49" s="494" t="s">
        <v>13</v>
      </c>
      <c r="F49" s="376" t="s">
        <v>1441</v>
      </c>
      <c r="G49" s="302">
        <v>1.5</v>
      </c>
      <c r="H49" s="301">
        <v>1</v>
      </c>
      <c r="I49" s="303">
        <f t="shared" si="2"/>
        <v>1.5</v>
      </c>
      <c r="J49" s="290"/>
      <c r="K49" s="374"/>
      <c r="L49" s="292"/>
      <c r="M49" s="304"/>
      <c r="N49" s="292"/>
      <c r="O49" s="291"/>
      <c r="P49" s="291"/>
      <c r="Q49" s="291"/>
      <c r="R49" s="291"/>
      <c r="S49" s="291"/>
      <c r="T49" s="291"/>
      <c r="U49" s="291"/>
      <c r="V49" s="291"/>
      <c r="W49" s="291"/>
      <c r="X49" s="291"/>
      <c r="Y49" s="291"/>
      <c r="Z49" s="291"/>
      <c r="AA49" s="440"/>
      <c r="AB49" s="460"/>
      <c r="AC49" s="443"/>
      <c r="AD49" s="444"/>
      <c r="AF49" s="365"/>
      <c r="AJ49" s="472"/>
    </row>
    <row r="50" spans="1:53" s="690" customFormat="1" ht="56.25" customHeight="1" x14ac:dyDescent="0.25">
      <c r="A50" s="1114" t="s">
        <v>1563</v>
      </c>
      <c r="B50" s="871" t="s">
        <v>610</v>
      </c>
      <c r="C50" s="924"/>
      <c r="D50" s="830"/>
      <c r="E50" s="925" t="s">
        <v>488</v>
      </c>
      <c r="F50" s="873" t="s">
        <v>837</v>
      </c>
      <c r="G50" s="871" t="s">
        <v>489</v>
      </c>
      <c r="H50" s="872" t="s">
        <v>1170</v>
      </c>
      <c r="I50" s="873" t="s">
        <v>838</v>
      </c>
      <c r="J50" s="874" t="s">
        <v>1171</v>
      </c>
      <c r="K50" s="874" t="s">
        <v>490</v>
      </c>
      <c r="L50" s="875" t="s">
        <v>489</v>
      </c>
      <c r="M50" s="874" t="s">
        <v>1172</v>
      </c>
      <c r="N50" s="873" t="s">
        <v>838</v>
      </c>
      <c r="O50" s="874" t="s">
        <v>1171</v>
      </c>
      <c r="P50" s="874" t="s">
        <v>826</v>
      </c>
      <c r="Q50" s="874" t="s">
        <v>1173</v>
      </c>
      <c r="R50" s="874" t="s">
        <v>1174</v>
      </c>
      <c r="S50" s="874" t="s">
        <v>839</v>
      </c>
      <c r="T50" s="874" t="s">
        <v>1171</v>
      </c>
      <c r="U50" s="874" t="s">
        <v>1392</v>
      </c>
      <c r="V50" s="876" t="s">
        <v>1173</v>
      </c>
      <c r="W50" s="874" t="s">
        <v>841</v>
      </c>
      <c r="X50" s="874" t="s">
        <v>1394</v>
      </c>
      <c r="Y50" s="874" t="s">
        <v>839</v>
      </c>
      <c r="Z50" s="877"/>
      <c r="AA50" s="830"/>
      <c r="AB50" s="897"/>
      <c r="AC50" s="751"/>
      <c r="AD50" s="878"/>
      <c r="AF50" s="879"/>
      <c r="AG50" s="878"/>
      <c r="AH50" s="878"/>
      <c r="AI50" s="878"/>
      <c r="AJ50" s="878"/>
      <c r="AK50" s="878"/>
      <c r="AL50" s="880"/>
      <c r="AM50" s="878"/>
      <c r="AN50" s="878"/>
      <c r="AO50" s="881"/>
      <c r="AP50" s="878"/>
      <c r="AQ50" s="882"/>
      <c r="AR50" s="882"/>
      <c r="AS50" s="882"/>
      <c r="AT50" s="878"/>
      <c r="AU50" s="878"/>
      <c r="AV50" s="881"/>
      <c r="AW50" s="878"/>
      <c r="AX50" s="878"/>
      <c r="AY50" s="878"/>
      <c r="AZ50" s="878"/>
      <c r="BA50" s="878"/>
    </row>
    <row r="51" spans="1:53" s="690" customFormat="1" ht="12" customHeight="1" x14ac:dyDescent="0.25">
      <c r="A51" s="1115"/>
      <c r="B51" s="883" t="s">
        <v>1175</v>
      </c>
      <c r="C51" s="924">
        <f>C58</f>
        <v>32.570063464488328</v>
      </c>
      <c r="D51" s="926">
        <f>C51*$D$7</f>
        <v>6.5791528198266427</v>
      </c>
      <c r="E51" s="927" t="s">
        <v>1176</v>
      </c>
      <c r="F51" s="886"/>
      <c r="G51" s="887"/>
      <c r="H51" s="887"/>
      <c r="I51" s="749">
        <f>SUM(I52:I59)</f>
        <v>16.0517</v>
      </c>
      <c r="J51" s="888" t="s">
        <v>1176</v>
      </c>
      <c r="K51" s="889"/>
      <c r="L51" s="890"/>
      <c r="M51" s="890"/>
      <c r="N51" s="891">
        <f>SUM(N52:N59)</f>
        <v>9.7177053508634495E-2</v>
      </c>
      <c r="O51" s="890" t="s">
        <v>1176</v>
      </c>
      <c r="P51" s="890"/>
      <c r="Q51" s="928"/>
      <c r="R51" s="893"/>
      <c r="S51" s="891">
        <f>SUM(S52:S59)</f>
        <v>4.1503124387477399</v>
      </c>
      <c r="T51" s="891"/>
      <c r="U51" s="891"/>
      <c r="V51" s="891"/>
      <c r="W51" s="891"/>
      <c r="X51" s="891"/>
      <c r="Y51" s="891">
        <f>SUM(Y52:Y59)</f>
        <v>10.307632433223615</v>
      </c>
      <c r="Z51" s="895">
        <f>(C51+D51+I51+N51+S51+Y51)*$Z$7</f>
        <v>90.695942378497861</v>
      </c>
      <c r="AA51" s="896">
        <f>C51+D51+I51+N51+S51+Y51+Z51</f>
        <v>160.45198058829283</v>
      </c>
      <c r="AB51" s="897">
        <v>0.3</v>
      </c>
      <c r="AC51" s="898">
        <f>AA51*(1+AB51)</f>
        <v>208.58757476478067</v>
      </c>
      <c r="AD51" s="881"/>
      <c r="AF51" s="879"/>
      <c r="AG51" s="878"/>
      <c r="AH51" s="878"/>
      <c r="AI51" s="882"/>
      <c r="AJ51" s="899"/>
      <c r="AK51" s="900"/>
      <c r="AL51" s="880"/>
      <c r="AM51" s="901"/>
      <c r="AN51" s="818"/>
      <c r="AO51" s="901"/>
      <c r="AP51" s="882"/>
      <c r="AQ51" s="882"/>
      <c r="AR51" s="882"/>
      <c r="AS51" s="882"/>
      <c r="AT51" s="882"/>
      <c r="AU51" s="901"/>
      <c r="AV51" s="901"/>
      <c r="AW51" s="902"/>
      <c r="AX51" s="878"/>
      <c r="AY51" s="878"/>
      <c r="AZ51" s="878"/>
      <c r="BA51" s="878"/>
    </row>
    <row r="52" spans="1:53" s="690" customFormat="1" ht="12.75" customHeight="1" x14ac:dyDescent="0.25">
      <c r="A52" s="1115"/>
      <c r="B52" s="903" t="s">
        <v>830</v>
      </c>
      <c r="C52" s="924"/>
      <c r="D52" s="884"/>
      <c r="E52" s="904" t="s">
        <v>1437</v>
      </c>
      <c r="F52" s="905" t="s">
        <v>1438</v>
      </c>
      <c r="G52" s="906">
        <v>0.74</v>
      </c>
      <c r="H52" s="905">
        <v>0.1</v>
      </c>
      <c r="I52" s="907">
        <f t="shared" ref="I52:I57" si="3">G52*H52</f>
        <v>7.3999999999999996E-2</v>
      </c>
      <c r="J52" s="888" t="s">
        <v>1291</v>
      </c>
      <c r="K52" s="908">
        <v>2</v>
      </c>
      <c r="L52" s="909">
        <v>750</v>
      </c>
      <c r="M52" s="908">
        <v>2</v>
      </c>
      <c r="N52" s="891">
        <f>L52/'Исп. коэффициенты'!E28</f>
        <v>8.377332199020214E-2</v>
      </c>
      <c r="O52" s="910" t="s">
        <v>1578</v>
      </c>
      <c r="P52" s="890">
        <v>188900</v>
      </c>
      <c r="Q52" s="892">
        <v>0.19670000000000001</v>
      </c>
      <c r="R52" s="890">
        <f>P52*Q52</f>
        <v>37156.630000000005</v>
      </c>
      <c r="S52" s="890">
        <f>R52/'Исп. коэффициенты'!E28</f>
        <v>4.1503124387477399</v>
      </c>
      <c r="T52" s="830" t="s">
        <v>1435</v>
      </c>
      <c r="U52" s="887">
        <v>6785401.3499999996</v>
      </c>
      <c r="V52" s="894">
        <v>1.3599999999999999E-2</v>
      </c>
      <c r="W52" s="830">
        <f>'Исп. коэффициенты'!E124</f>
        <v>2978.5</v>
      </c>
      <c r="X52" s="891">
        <f>U52*V52</f>
        <v>92281.45835999999</v>
      </c>
      <c r="Y52" s="890">
        <f>X52/'Исп. коэффициенты'!E28</f>
        <v>10.307632433223615</v>
      </c>
      <c r="Z52" s="890"/>
      <c r="AA52" s="830"/>
      <c r="AB52" s="897"/>
      <c r="AC52" s="751"/>
      <c r="AD52" s="878"/>
      <c r="AF52" s="911"/>
      <c r="AG52" s="878"/>
      <c r="AH52" s="878"/>
      <c r="AI52" s="878"/>
      <c r="AJ52" s="912"/>
      <c r="AK52" s="878"/>
      <c r="AL52" s="880"/>
      <c r="AM52" s="878"/>
      <c r="AN52" s="878"/>
      <c r="AO52" s="881"/>
      <c r="AP52" s="878"/>
      <c r="AQ52" s="878"/>
      <c r="AR52" s="881"/>
      <c r="AS52" s="881"/>
      <c r="AT52" s="878"/>
      <c r="AU52" s="878"/>
      <c r="AV52" s="881"/>
      <c r="AW52" s="878"/>
      <c r="AX52" s="878"/>
      <c r="AY52" s="878"/>
      <c r="AZ52" s="878"/>
      <c r="BA52" s="878"/>
    </row>
    <row r="53" spans="1:53" s="690" customFormat="1" x14ac:dyDescent="0.25">
      <c r="A53" s="1115"/>
      <c r="B53" s="913" t="s">
        <v>1178</v>
      </c>
      <c r="C53" s="929">
        <f>C43</f>
        <v>43.888814515309463</v>
      </c>
      <c r="D53" s="884"/>
      <c r="E53" s="904" t="s">
        <v>1439</v>
      </c>
      <c r="F53" s="905" t="s">
        <v>1438</v>
      </c>
      <c r="G53" s="906">
        <v>0.27</v>
      </c>
      <c r="H53" s="905">
        <v>0.01</v>
      </c>
      <c r="I53" s="907">
        <f t="shared" si="3"/>
        <v>2.7000000000000001E-3</v>
      </c>
      <c r="J53" s="888" t="s">
        <v>1445</v>
      </c>
      <c r="K53" s="891">
        <v>2</v>
      </c>
      <c r="L53" s="915">
        <v>95</v>
      </c>
      <c r="M53" s="908">
        <v>2</v>
      </c>
      <c r="N53" s="891">
        <f>L53/'Исп. коэффициенты'!E28</f>
        <v>1.0611287452092272E-2</v>
      </c>
      <c r="O53" s="890"/>
      <c r="P53" s="890"/>
      <c r="Q53" s="892"/>
      <c r="R53" s="890"/>
      <c r="S53" s="890"/>
      <c r="T53" s="890"/>
      <c r="U53" s="890"/>
      <c r="V53" s="890"/>
      <c r="W53" s="892"/>
      <c r="X53" s="890"/>
      <c r="Y53" s="890"/>
      <c r="Z53" s="890"/>
      <c r="AA53" s="830"/>
      <c r="AB53" s="897"/>
      <c r="AC53" s="751"/>
      <c r="AD53" s="878"/>
      <c r="AF53" s="911"/>
      <c r="AG53" s="878"/>
      <c r="AH53" s="878"/>
      <c r="AI53" s="878"/>
      <c r="AJ53" s="912"/>
      <c r="AK53" s="878"/>
      <c r="AL53" s="880"/>
      <c r="AM53" s="902"/>
      <c r="AN53" s="878"/>
      <c r="AO53" s="881"/>
      <c r="AP53" s="878"/>
      <c r="AQ53" s="878"/>
      <c r="AR53" s="881"/>
      <c r="AS53" s="881"/>
      <c r="AT53" s="878"/>
      <c r="AU53" s="878"/>
      <c r="AV53" s="881"/>
      <c r="AW53" s="878"/>
      <c r="AX53" s="878"/>
      <c r="AY53" s="878"/>
      <c r="AZ53" s="878"/>
      <c r="BA53" s="878"/>
    </row>
    <row r="54" spans="1:53" s="690" customFormat="1" ht="12.75" customHeight="1" x14ac:dyDescent="0.25">
      <c r="A54" s="1115"/>
      <c r="B54" s="885" t="s">
        <v>1179</v>
      </c>
      <c r="C54" s="924">
        <f>C44</f>
        <v>19.495759833054819</v>
      </c>
      <c r="D54" s="884"/>
      <c r="E54" s="904" t="s">
        <v>1440</v>
      </c>
      <c r="F54" s="905" t="s">
        <v>1441</v>
      </c>
      <c r="G54" s="906">
        <v>5.92</v>
      </c>
      <c r="H54" s="916">
        <v>1</v>
      </c>
      <c r="I54" s="907">
        <f t="shared" si="3"/>
        <v>5.92</v>
      </c>
      <c r="J54" s="888" t="s">
        <v>1513</v>
      </c>
      <c r="K54" s="891">
        <v>2</v>
      </c>
      <c r="L54" s="891">
        <v>25</v>
      </c>
      <c r="M54" s="908">
        <v>0.5</v>
      </c>
      <c r="N54" s="891">
        <f>L54/'Исп. коэффициенты'!E28</f>
        <v>2.7924440663400717E-3</v>
      </c>
      <c r="O54" s="890"/>
      <c r="P54" s="890"/>
      <c r="Q54" s="892"/>
      <c r="R54" s="890"/>
      <c r="S54" s="890"/>
      <c r="T54" s="890"/>
      <c r="U54" s="890"/>
      <c r="V54" s="890"/>
      <c r="W54" s="892"/>
      <c r="X54" s="890"/>
      <c r="Y54" s="890"/>
      <c r="Z54" s="890"/>
      <c r="AA54" s="830"/>
      <c r="AB54" s="897"/>
      <c r="AC54" s="751"/>
      <c r="AD54" s="878"/>
      <c r="AF54" s="911"/>
      <c r="AG54" s="878"/>
      <c r="AH54" s="878"/>
      <c r="AI54" s="878"/>
      <c r="AJ54" s="912"/>
      <c r="AK54" s="878"/>
      <c r="AL54" s="880"/>
      <c r="AM54" s="878"/>
      <c r="AN54" s="878"/>
      <c r="AO54" s="881"/>
      <c r="AP54" s="878"/>
      <c r="AQ54" s="878"/>
      <c r="AR54" s="881"/>
      <c r="AS54" s="881"/>
      <c r="AT54" s="878"/>
      <c r="AU54" s="878"/>
      <c r="AV54" s="881"/>
      <c r="AW54" s="878"/>
      <c r="AX54" s="878"/>
      <c r="AY54" s="878"/>
      <c r="AZ54" s="878"/>
      <c r="BA54" s="878"/>
    </row>
    <row r="55" spans="1:53" s="690" customFormat="1" ht="12.75" customHeight="1" x14ac:dyDescent="0.25">
      <c r="A55" s="1115"/>
      <c r="B55" s="885" t="s">
        <v>831</v>
      </c>
      <c r="C55" s="930"/>
      <c r="D55" s="884"/>
      <c r="E55" s="904" t="s">
        <v>1442</v>
      </c>
      <c r="F55" s="905" t="s">
        <v>1443</v>
      </c>
      <c r="G55" s="906">
        <v>419.5</v>
      </c>
      <c r="H55" s="905">
        <v>0.01</v>
      </c>
      <c r="I55" s="907">
        <f t="shared" si="3"/>
        <v>4.1950000000000003</v>
      </c>
      <c r="J55" s="888"/>
      <c r="K55" s="918"/>
      <c r="L55" s="891"/>
      <c r="M55" s="891"/>
      <c r="N55" s="891"/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830"/>
      <c r="AB55" s="897"/>
      <c r="AC55" s="751"/>
      <c r="AD55" s="878"/>
      <c r="AF55" s="911"/>
      <c r="AG55" s="878"/>
      <c r="AH55" s="878"/>
      <c r="AI55" s="878"/>
      <c r="AJ55" s="912"/>
      <c r="AK55" s="878"/>
      <c r="AL55" s="880"/>
      <c r="AM55" s="878"/>
      <c r="AN55" s="878"/>
      <c r="AO55" s="881"/>
      <c r="AP55" s="878"/>
      <c r="AQ55" s="878"/>
      <c r="AR55" s="881"/>
      <c r="AS55" s="881"/>
      <c r="AT55" s="878"/>
      <c r="AU55" s="878"/>
      <c r="AV55" s="881"/>
      <c r="AW55" s="878"/>
      <c r="AX55" s="878"/>
      <c r="AY55" s="878"/>
      <c r="AZ55" s="878"/>
      <c r="BA55" s="878"/>
    </row>
    <row r="56" spans="1:53" s="690" customFormat="1" ht="12.75" customHeight="1" x14ac:dyDescent="0.25">
      <c r="A56" s="1115"/>
      <c r="B56" s="913" t="s">
        <v>1178</v>
      </c>
      <c r="C56" s="931">
        <v>0.52</v>
      </c>
      <c r="D56" s="884"/>
      <c r="E56" s="904" t="s">
        <v>1444</v>
      </c>
      <c r="F56" s="905" t="s">
        <v>1443</v>
      </c>
      <c r="G56" s="906">
        <v>872</v>
      </c>
      <c r="H56" s="905">
        <v>5.0000000000000001E-3</v>
      </c>
      <c r="I56" s="907">
        <f t="shared" si="3"/>
        <v>4.3600000000000003</v>
      </c>
      <c r="J56" s="888"/>
      <c r="K56" s="918"/>
      <c r="L56" s="891"/>
      <c r="M56" s="891"/>
      <c r="N56" s="891"/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830"/>
      <c r="AB56" s="897"/>
      <c r="AC56" s="751"/>
      <c r="AD56" s="878"/>
      <c r="AF56" s="911"/>
      <c r="AG56" s="878"/>
      <c r="AH56" s="878"/>
      <c r="AI56" s="878"/>
      <c r="AJ56" s="920"/>
      <c r="AK56" s="878"/>
      <c r="AL56" s="880"/>
      <c r="AM56" s="878"/>
      <c r="AN56" s="878"/>
      <c r="AO56" s="881"/>
      <c r="AP56" s="878"/>
      <c r="AQ56" s="878"/>
      <c r="AR56" s="881"/>
      <c r="AS56" s="881"/>
      <c r="AT56" s="878"/>
      <c r="AU56" s="878"/>
      <c r="AV56" s="881"/>
      <c r="AW56" s="878"/>
      <c r="AX56" s="878"/>
      <c r="AY56" s="878"/>
      <c r="AZ56" s="878"/>
      <c r="BA56" s="878"/>
    </row>
    <row r="57" spans="1:53" s="690" customFormat="1" ht="12.75" customHeight="1" x14ac:dyDescent="0.25">
      <c r="A57" s="1115"/>
      <c r="B57" s="885" t="s">
        <v>1179</v>
      </c>
      <c r="C57" s="931">
        <v>0.5</v>
      </c>
      <c r="D57" s="884"/>
      <c r="E57" s="932" t="s">
        <v>13</v>
      </c>
      <c r="F57" s="921" t="s">
        <v>1441</v>
      </c>
      <c r="G57" s="906">
        <v>1.5</v>
      </c>
      <c r="H57" s="905">
        <v>1</v>
      </c>
      <c r="I57" s="907">
        <f t="shared" si="3"/>
        <v>1.5</v>
      </c>
      <c r="J57" s="888"/>
      <c r="K57" s="918"/>
      <c r="L57" s="909"/>
      <c r="M57" s="908"/>
      <c r="N57" s="891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830"/>
      <c r="AB57" s="897"/>
      <c r="AC57" s="751"/>
      <c r="AD57" s="878"/>
      <c r="AF57" s="911"/>
      <c r="AG57" s="878"/>
      <c r="AH57" s="878"/>
      <c r="AI57" s="878"/>
      <c r="AJ57" s="920"/>
      <c r="AK57" s="878"/>
      <c r="AL57" s="880"/>
      <c r="AM57" s="878"/>
      <c r="AN57" s="878"/>
      <c r="AO57" s="881"/>
      <c r="AP57" s="878"/>
      <c r="AQ57" s="878"/>
      <c r="AR57" s="881"/>
      <c r="AS57" s="881"/>
      <c r="AT57" s="878"/>
      <c r="AU57" s="878"/>
      <c r="AV57" s="881"/>
      <c r="AW57" s="878"/>
      <c r="AX57" s="878"/>
      <c r="AY57" s="878"/>
      <c r="AZ57" s="878"/>
      <c r="BA57" s="878"/>
    </row>
    <row r="58" spans="1:53" s="690" customFormat="1" ht="12.75" customHeight="1" x14ac:dyDescent="0.25">
      <c r="A58" s="1115"/>
      <c r="B58" s="922" t="s">
        <v>1181</v>
      </c>
      <c r="C58" s="924">
        <f>C53*C56+C54*C57</f>
        <v>32.570063464488328</v>
      </c>
      <c r="D58" s="884"/>
      <c r="E58" s="932"/>
      <c r="F58" s="921"/>
      <c r="G58" s="906"/>
      <c r="H58" s="905"/>
      <c r="I58" s="907"/>
      <c r="J58" s="888"/>
      <c r="K58" s="918"/>
      <c r="L58" s="915"/>
      <c r="M58" s="908"/>
      <c r="N58" s="891"/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830"/>
      <c r="AB58" s="897"/>
      <c r="AC58" s="751"/>
      <c r="AD58" s="878"/>
      <c r="AF58" s="911"/>
      <c r="AG58" s="878"/>
      <c r="AH58" s="878"/>
      <c r="AI58" s="878"/>
      <c r="AJ58" s="912"/>
      <c r="AK58" s="878"/>
      <c r="AL58" s="880"/>
      <c r="AM58" s="878"/>
      <c r="AN58" s="878"/>
      <c r="AO58" s="881"/>
      <c r="AP58" s="878"/>
      <c r="AQ58" s="878"/>
      <c r="AR58" s="881"/>
      <c r="AS58" s="881"/>
      <c r="AT58" s="878"/>
      <c r="AU58" s="878"/>
      <c r="AV58" s="881"/>
      <c r="AW58" s="878"/>
      <c r="AX58" s="878"/>
      <c r="AY58" s="878"/>
      <c r="AZ58" s="878"/>
      <c r="BA58" s="878"/>
    </row>
    <row r="59" spans="1:53" s="690" customFormat="1" ht="13.5" customHeight="1" x14ac:dyDescent="0.25">
      <c r="A59" s="1116"/>
      <c r="B59" s="933"/>
      <c r="C59" s="931"/>
      <c r="D59" s="923"/>
      <c r="E59" s="932"/>
      <c r="F59" s="921"/>
      <c r="G59" s="906"/>
      <c r="H59" s="905"/>
      <c r="I59" s="907"/>
      <c r="J59" s="888"/>
      <c r="K59" s="918"/>
      <c r="L59" s="891"/>
      <c r="M59" s="908"/>
      <c r="N59" s="891"/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830"/>
      <c r="AB59" s="897"/>
      <c r="AC59" s="751"/>
      <c r="AD59" s="878"/>
      <c r="AF59" s="911"/>
      <c r="AG59" s="878"/>
      <c r="AH59" s="878"/>
      <c r="AI59" s="878"/>
      <c r="AJ59" s="920"/>
      <c r="AK59" s="878"/>
      <c r="AL59" s="880"/>
      <c r="AM59" s="878"/>
      <c r="AN59" s="878"/>
      <c r="AO59" s="881"/>
      <c r="AP59" s="878"/>
      <c r="AQ59" s="878"/>
      <c r="AR59" s="881"/>
      <c r="AS59" s="881"/>
      <c r="AT59" s="878"/>
      <c r="AU59" s="878"/>
      <c r="AV59" s="881"/>
      <c r="AW59" s="878"/>
      <c r="AX59" s="878"/>
      <c r="AY59" s="878"/>
      <c r="AZ59" s="878"/>
      <c r="BA59" s="878"/>
    </row>
    <row r="60" spans="1:53" ht="56.25" customHeight="1" x14ac:dyDescent="0.25">
      <c r="A60" s="1137" t="s">
        <v>1564</v>
      </c>
      <c r="B60" s="439" t="s">
        <v>611</v>
      </c>
      <c r="C60" s="487"/>
      <c r="D60" s="440"/>
      <c r="E60" s="488" t="s">
        <v>488</v>
      </c>
      <c r="F60" s="442" t="s">
        <v>837</v>
      </c>
      <c r="G60" s="439" t="s">
        <v>489</v>
      </c>
      <c r="H60" s="441" t="s">
        <v>1170</v>
      </c>
      <c r="I60" s="442" t="s">
        <v>838</v>
      </c>
      <c r="J60" s="280" t="s">
        <v>1171</v>
      </c>
      <c r="K60" s="280" t="s">
        <v>490</v>
      </c>
      <c r="L60" s="281" t="s">
        <v>489</v>
      </c>
      <c r="M60" s="280" t="s">
        <v>1172</v>
      </c>
      <c r="N60" s="442" t="s">
        <v>838</v>
      </c>
      <c r="O60" s="280" t="s">
        <v>1171</v>
      </c>
      <c r="P60" s="280" t="s">
        <v>826</v>
      </c>
      <c r="Q60" s="280" t="s">
        <v>1173</v>
      </c>
      <c r="R60" s="280" t="s">
        <v>1174</v>
      </c>
      <c r="S60" s="280" t="s">
        <v>839</v>
      </c>
      <c r="T60" s="280" t="s">
        <v>1171</v>
      </c>
      <c r="U60" s="280" t="s">
        <v>1392</v>
      </c>
      <c r="V60" s="282" t="s">
        <v>1173</v>
      </c>
      <c r="W60" s="280" t="s">
        <v>841</v>
      </c>
      <c r="X60" s="280" t="s">
        <v>1394</v>
      </c>
      <c r="Y60" s="280" t="s">
        <v>839</v>
      </c>
      <c r="Z60" s="283"/>
      <c r="AA60" s="440"/>
      <c r="AB60" s="460"/>
      <c r="AC60" s="443"/>
      <c r="AD60" s="444"/>
      <c r="AQ60" s="449"/>
      <c r="AR60" s="449"/>
      <c r="AS60" s="449"/>
    </row>
    <row r="61" spans="1:53" ht="12" customHeight="1" x14ac:dyDescent="0.25">
      <c r="A61" s="1138"/>
      <c r="B61" s="450" t="s">
        <v>1175</v>
      </c>
      <c r="C61" s="487">
        <f>C68</f>
        <v>42.664490803009507</v>
      </c>
      <c r="D61" s="489">
        <f>C61*$D$7</f>
        <v>8.6182271422079211</v>
      </c>
      <c r="E61" s="490" t="s">
        <v>1176</v>
      </c>
      <c r="F61" s="453"/>
      <c r="G61" s="454"/>
      <c r="H61" s="454"/>
      <c r="I61" s="455">
        <f>SUM(I62:I69)</f>
        <v>16.0517</v>
      </c>
      <c r="J61" s="290" t="s">
        <v>1176</v>
      </c>
      <c r="K61" s="357"/>
      <c r="L61" s="291"/>
      <c r="M61" s="291"/>
      <c r="N61" s="292">
        <f>SUM(N62:N69)</f>
        <v>4.4213899999999997</v>
      </c>
      <c r="O61" s="291" t="s">
        <v>1176</v>
      </c>
      <c r="P61" s="291"/>
      <c r="Q61" s="293"/>
      <c r="R61" s="294"/>
      <c r="S61" s="292">
        <f>SUM(S62:S69)</f>
        <v>8.1902000000000008</v>
      </c>
      <c r="T61" s="292"/>
      <c r="U61" s="292"/>
      <c r="V61" s="292"/>
      <c r="W61" s="292"/>
      <c r="X61" s="292"/>
      <c r="Y61" s="292">
        <f>SUM(Y62:Y69)</f>
        <v>9.1999999999999998E-3</v>
      </c>
      <c r="Z61" s="296">
        <f>(C61+D61+I61+N61+S61+Y61)*$Z$7</f>
        <v>103.95677734521915</v>
      </c>
      <c r="AA61" s="459">
        <f>C61+D61+I61+N61+S61+Y61+Z61</f>
        <v>183.91198529043658</v>
      </c>
      <c r="AB61" s="460">
        <v>0.3</v>
      </c>
      <c r="AC61" s="461">
        <f>AA61*(1+AB61)</f>
        <v>239.08558087756757</v>
      </c>
      <c r="AD61" s="448"/>
      <c r="AI61" s="449"/>
      <c r="AJ61" s="462"/>
      <c r="AK61" s="463"/>
      <c r="AM61" s="464"/>
      <c r="AN61" s="143"/>
      <c r="AO61" s="464"/>
      <c r="AP61" s="449"/>
      <c r="AQ61" s="449"/>
      <c r="AR61" s="449"/>
      <c r="AS61" s="449"/>
      <c r="AT61" s="449"/>
      <c r="AU61" s="464"/>
      <c r="AV61" s="464"/>
      <c r="AW61" s="465"/>
    </row>
    <row r="62" spans="1:53" ht="12.75" customHeight="1" x14ac:dyDescent="0.25">
      <c r="A62" s="1138"/>
      <c r="B62" s="466" t="s">
        <v>830</v>
      </c>
      <c r="C62" s="487"/>
      <c r="D62" s="451"/>
      <c r="E62" s="300" t="s">
        <v>1437</v>
      </c>
      <c r="F62" s="301" t="s">
        <v>1438</v>
      </c>
      <c r="G62" s="302">
        <v>0.74</v>
      </c>
      <c r="H62" s="301">
        <v>0.1</v>
      </c>
      <c r="I62" s="303">
        <f t="shared" ref="I62:I67" si="4">G62*H62</f>
        <v>7.3999999999999996E-2</v>
      </c>
      <c r="J62" s="290" t="s">
        <v>1291</v>
      </c>
      <c r="K62" s="304">
        <v>2</v>
      </c>
      <c r="L62" s="305">
        <v>750</v>
      </c>
      <c r="M62" s="304">
        <v>2</v>
      </c>
      <c r="N62" s="292">
        <v>1.1745000000000001</v>
      </c>
      <c r="O62" s="467" t="s">
        <v>1578</v>
      </c>
      <c r="P62" s="291">
        <v>188900</v>
      </c>
      <c r="Q62" s="372">
        <v>0.19670000000000001</v>
      </c>
      <c r="R62" s="291">
        <f>P62*Q62</f>
        <v>37156.630000000005</v>
      </c>
      <c r="S62" s="291">
        <v>8.1902000000000008</v>
      </c>
      <c r="T62" s="458" t="s">
        <v>1435</v>
      </c>
      <c r="U62" s="456">
        <v>6785401.3499999996</v>
      </c>
      <c r="V62" s="457">
        <v>1.32E-2</v>
      </c>
      <c r="W62" s="458">
        <v>1508.3</v>
      </c>
      <c r="X62" s="292">
        <v>59.38</v>
      </c>
      <c r="Y62" s="291">
        <v>9.1999999999999998E-3</v>
      </c>
      <c r="Z62" s="291"/>
      <c r="AA62" s="440"/>
      <c r="AB62" s="460"/>
      <c r="AC62" s="443"/>
      <c r="AD62" s="444"/>
      <c r="AF62" s="365"/>
      <c r="AJ62" s="468"/>
    </row>
    <row r="63" spans="1:53" x14ac:dyDescent="0.25">
      <c r="A63" s="1138"/>
      <c r="B63" s="469" t="s">
        <v>1178</v>
      </c>
      <c r="C63" s="491">
        <f>C53</f>
        <v>43.888814515309463</v>
      </c>
      <c r="D63" s="451"/>
      <c r="E63" s="300" t="s">
        <v>1439</v>
      </c>
      <c r="F63" s="301" t="s">
        <v>1438</v>
      </c>
      <c r="G63" s="302">
        <v>0.27</v>
      </c>
      <c r="H63" s="301">
        <v>0.01</v>
      </c>
      <c r="I63" s="303">
        <f t="shared" si="4"/>
        <v>2.7000000000000001E-3</v>
      </c>
      <c r="J63" s="290" t="s">
        <v>1445</v>
      </c>
      <c r="K63" s="292">
        <v>2</v>
      </c>
      <c r="L63" s="311">
        <v>95</v>
      </c>
      <c r="M63" s="304">
        <v>2</v>
      </c>
      <c r="N63" s="292">
        <v>3.1146400000000001</v>
      </c>
      <c r="O63" s="291"/>
      <c r="P63" s="291"/>
      <c r="Q63" s="372"/>
      <c r="R63" s="291"/>
      <c r="S63" s="291"/>
      <c r="T63" s="291"/>
      <c r="U63" s="291"/>
      <c r="V63" s="291"/>
      <c r="W63" s="372"/>
      <c r="X63" s="291"/>
      <c r="Y63" s="291"/>
      <c r="Z63" s="291"/>
      <c r="AA63" s="440"/>
      <c r="AB63" s="460"/>
      <c r="AC63" s="443"/>
      <c r="AD63" s="444"/>
      <c r="AF63" s="365"/>
      <c r="AJ63" s="468"/>
      <c r="AM63" s="465"/>
    </row>
    <row r="64" spans="1:53" ht="12.75" customHeight="1" x14ac:dyDescent="0.25">
      <c r="A64" s="1138"/>
      <c r="B64" s="452" t="s">
        <v>1179</v>
      </c>
      <c r="C64" s="487">
        <f>C54</f>
        <v>19.495759833054819</v>
      </c>
      <c r="D64" s="451"/>
      <c r="E64" s="300" t="s">
        <v>1440</v>
      </c>
      <c r="F64" s="301" t="s">
        <v>1441</v>
      </c>
      <c r="G64" s="302">
        <v>5.92</v>
      </c>
      <c r="H64" s="471">
        <v>1</v>
      </c>
      <c r="I64" s="303">
        <f t="shared" si="4"/>
        <v>5.92</v>
      </c>
      <c r="J64" s="290" t="s">
        <v>1513</v>
      </c>
      <c r="K64" s="292">
        <v>2</v>
      </c>
      <c r="L64" s="292">
        <v>25</v>
      </c>
      <c r="M64" s="304">
        <v>0.5</v>
      </c>
      <c r="N64" s="292">
        <v>0.13225000000000001</v>
      </c>
      <c r="O64" s="291"/>
      <c r="P64" s="291"/>
      <c r="Q64" s="372"/>
      <c r="R64" s="291"/>
      <c r="S64" s="291"/>
      <c r="T64" s="291"/>
      <c r="U64" s="291"/>
      <c r="V64" s="291"/>
      <c r="W64" s="372"/>
      <c r="X64" s="291"/>
      <c r="Y64" s="291"/>
      <c r="Z64" s="291"/>
      <c r="AA64" s="440"/>
      <c r="AB64" s="460"/>
      <c r="AC64" s="443"/>
      <c r="AD64" s="444"/>
      <c r="AF64" s="365"/>
      <c r="AJ64" s="468"/>
    </row>
    <row r="65" spans="1:53" ht="12.75" customHeight="1" x14ac:dyDescent="0.25">
      <c r="A65" s="1138"/>
      <c r="B65" s="452" t="s">
        <v>831</v>
      </c>
      <c r="C65" s="492"/>
      <c r="D65" s="451"/>
      <c r="E65" s="300" t="s">
        <v>1442</v>
      </c>
      <c r="F65" s="301" t="s">
        <v>1443</v>
      </c>
      <c r="G65" s="302">
        <v>419.5</v>
      </c>
      <c r="H65" s="301">
        <v>0.01</v>
      </c>
      <c r="I65" s="303">
        <f t="shared" si="4"/>
        <v>4.1950000000000003</v>
      </c>
      <c r="J65" s="290"/>
      <c r="K65" s="374"/>
      <c r="L65" s="292"/>
      <c r="M65" s="292"/>
      <c r="N65" s="292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440"/>
      <c r="AB65" s="460"/>
      <c r="AC65" s="440"/>
      <c r="AD65" s="444"/>
      <c r="AF65" s="365"/>
      <c r="AJ65" s="468"/>
    </row>
    <row r="66" spans="1:53" ht="12.75" customHeight="1" x14ac:dyDescent="0.25">
      <c r="A66" s="1138"/>
      <c r="B66" s="469" t="s">
        <v>1178</v>
      </c>
      <c r="C66" s="491">
        <v>0.75</v>
      </c>
      <c r="D66" s="451"/>
      <c r="E66" s="300" t="s">
        <v>1444</v>
      </c>
      <c r="F66" s="301" t="s">
        <v>1443</v>
      </c>
      <c r="G66" s="302">
        <v>872</v>
      </c>
      <c r="H66" s="301">
        <v>5.0000000000000001E-3</v>
      </c>
      <c r="I66" s="303">
        <f t="shared" si="4"/>
        <v>4.3600000000000003</v>
      </c>
      <c r="J66" s="290"/>
      <c r="K66" s="374"/>
      <c r="L66" s="292"/>
      <c r="M66" s="292"/>
      <c r="N66" s="292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440"/>
      <c r="AB66" s="460"/>
      <c r="AC66" s="440"/>
      <c r="AD66" s="444"/>
      <c r="AF66" s="365"/>
      <c r="AJ66" s="472"/>
    </row>
    <row r="67" spans="1:53" ht="12.75" customHeight="1" x14ac:dyDescent="0.25">
      <c r="A67" s="1138"/>
      <c r="B67" s="452" t="s">
        <v>1179</v>
      </c>
      <c r="C67" s="493">
        <v>0.5</v>
      </c>
      <c r="D67" s="451"/>
      <c r="E67" s="494" t="s">
        <v>13</v>
      </c>
      <c r="F67" s="376" t="s">
        <v>1441</v>
      </c>
      <c r="G67" s="302">
        <v>1.5</v>
      </c>
      <c r="H67" s="301">
        <v>1</v>
      </c>
      <c r="I67" s="303">
        <f t="shared" si="4"/>
        <v>1.5</v>
      </c>
      <c r="J67" s="290"/>
      <c r="K67" s="374"/>
      <c r="L67" s="305"/>
      <c r="M67" s="304"/>
      <c r="N67" s="292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440"/>
      <c r="AB67" s="460"/>
      <c r="AC67" s="440"/>
      <c r="AD67" s="444"/>
      <c r="AF67" s="365"/>
      <c r="AJ67" s="472"/>
    </row>
    <row r="68" spans="1:53" ht="12.75" customHeight="1" x14ac:dyDescent="0.25">
      <c r="A68" s="1138"/>
      <c r="B68" s="474" t="s">
        <v>1181</v>
      </c>
      <c r="C68" s="487">
        <f>C63*C66+C64*C67</f>
        <v>42.664490803009507</v>
      </c>
      <c r="D68" s="451"/>
      <c r="E68" s="494"/>
      <c r="F68" s="376"/>
      <c r="G68" s="302"/>
      <c r="H68" s="301"/>
      <c r="I68" s="303"/>
      <c r="J68" s="290"/>
      <c r="K68" s="374"/>
      <c r="L68" s="311"/>
      <c r="M68" s="304"/>
      <c r="N68" s="292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440"/>
      <c r="AB68" s="460"/>
      <c r="AC68" s="440"/>
      <c r="AD68" s="444"/>
      <c r="AF68" s="365"/>
      <c r="AJ68" s="468"/>
    </row>
    <row r="69" spans="1:53" ht="13.5" customHeight="1" x14ac:dyDescent="0.25">
      <c r="A69" s="1139"/>
      <c r="B69" s="318"/>
      <c r="C69" s="493"/>
      <c r="D69" s="475"/>
      <c r="E69" s="494"/>
      <c r="F69" s="376"/>
      <c r="G69" s="302"/>
      <c r="H69" s="301"/>
      <c r="I69" s="303"/>
      <c r="J69" s="290"/>
      <c r="K69" s="374"/>
      <c r="L69" s="292"/>
      <c r="M69" s="304"/>
      <c r="N69" s="292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440"/>
      <c r="AB69" s="460"/>
      <c r="AC69" s="440"/>
      <c r="AD69" s="444"/>
      <c r="AF69" s="365"/>
      <c r="AJ69" s="472"/>
    </row>
    <row r="70" spans="1:53" s="690" customFormat="1" ht="56.25" customHeight="1" x14ac:dyDescent="0.25">
      <c r="A70" s="1114" t="s">
        <v>1133</v>
      </c>
      <c r="B70" s="871" t="s">
        <v>1807</v>
      </c>
      <c r="C70" s="924"/>
      <c r="D70" s="830"/>
      <c r="E70" s="925" t="s">
        <v>488</v>
      </c>
      <c r="F70" s="873" t="s">
        <v>837</v>
      </c>
      <c r="G70" s="871" t="s">
        <v>489</v>
      </c>
      <c r="H70" s="872" t="s">
        <v>1170</v>
      </c>
      <c r="I70" s="873" t="s">
        <v>838</v>
      </c>
      <c r="J70" s="874" t="s">
        <v>1171</v>
      </c>
      <c r="K70" s="874" t="s">
        <v>490</v>
      </c>
      <c r="L70" s="875" t="s">
        <v>489</v>
      </c>
      <c r="M70" s="874" t="s">
        <v>1172</v>
      </c>
      <c r="N70" s="873" t="s">
        <v>838</v>
      </c>
      <c r="O70" s="874" t="s">
        <v>1171</v>
      </c>
      <c r="P70" s="874" t="s">
        <v>826</v>
      </c>
      <c r="Q70" s="874" t="s">
        <v>1173</v>
      </c>
      <c r="R70" s="874" t="s">
        <v>1174</v>
      </c>
      <c r="S70" s="874" t="s">
        <v>839</v>
      </c>
      <c r="T70" s="874" t="s">
        <v>1171</v>
      </c>
      <c r="U70" s="874" t="s">
        <v>1392</v>
      </c>
      <c r="V70" s="876" t="s">
        <v>1173</v>
      </c>
      <c r="W70" s="874" t="s">
        <v>841</v>
      </c>
      <c r="X70" s="874" t="s">
        <v>1394</v>
      </c>
      <c r="Y70" s="874" t="s">
        <v>839</v>
      </c>
      <c r="Z70" s="877"/>
      <c r="AA70" s="830"/>
      <c r="AB70" s="897"/>
      <c r="AC70" s="830"/>
      <c r="AD70" s="878"/>
      <c r="AF70" s="879"/>
      <c r="AG70" s="878"/>
      <c r="AH70" s="878"/>
      <c r="AI70" s="878"/>
      <c r="AJ70" s="878"/>
      <c r="AK70" s="878"/>
      <c r="AL70" s="880"/>
      <c r="AM70" s="878"/>
      <c r="AN70" s="878"/>
      <c r="AO70" s="881"/>
      <c r="AP70" s="878"/>
      <c r="AQ70" s="882"/>
      <c r="AR70" s="882"/>
      <c r="AS70" s="882"/>
      <c r="AT70" s="878"/>
      <c r="AU70" s="878"/>
      <c r="AV70" s="881"/>
      <c r="AW70" s="878"/>
      <c r="AX70" s="878"/>
      <c r="AY70" s="878"/>
      <c r="AZ70" s="878"/>
      <c r="BA70" s="878"/>
    </row>
    <row r="71" spans="1:53" s="690" customFormat="1" ht="12" customHeight="1" x14ac:dyDescent="0.25">
      <c r="A71" s="1115"/>
      <c r="B71" s="883" t="s">
        <v>1175</v>
      </c>
      <c r="C71" s="924">
        <f>C78</f>
        <v>28.523058456763927</v>
      </c>
      <c r="D71" s="926">
        <f>C71*$D$7</f>
        <v>5.7616578082663139</v>
      </c>
      <c r="E71" s="927" t="s">
        <v>1176</v>
      </c>
      <c r="F71" s="886"/>
      <c r="G71" s="887"/>
      <c r="H71" s="887"/>
      <c r="I71" s="749">
        <f>SUM(I72:I79)</f>
        <v>19.861699999999999</v>
      </c>
      <c r="J71" s="888" t="s">
        <v>1176</v>
      </c>
      <c r="K71" s="889"/>
      <c r="L71" s="890"/>
      <c r="M71" s="890"/>
      <c r="N71" s="891">
        <f>SUM(N72:N79)</f>
        <v>9.7177053508634495E-2</v>
      </c>
      <c r="O71" s="890" t="s">
        <v>1176</v>
      </c>
      <c r="P71" s="890"/>
      <c r="Q71" s="928"/>
      <c r="R71" s="893"/>
      <c r="S71" s="891">
        <f>SUM(S72:S79)</f>
        <v>4.1503124387477399</v>
      </c>
      <c r="T71" s="891"/>
      <c r="U71" s="891"/>
      <c r="V71" s="891"/>
      <c r="W71" s="891"/>
      <c r="X71" s="891"/>
      <c r="Y71" s="891">
        <f>SUM(Y72:Y79)</f>
        <v>10.307632433223615</v>
      </c>
      <c r="Z71" s="895">
        <f>(C71+D71+I71+N71+S71+Y71)*$Z$7</f>
        <v>89.324894431372002</v>
      </c>
      <c r="AA71" s="896">
        <f>C71+D71+I71+N71+S71+Y71+Z71</f>
        <v>158.02643262188224</v>
      </c>
      <c r="AB71" s="897">
        <v>0.3</v>
      </c>
      <c r="AC71" s="898">
        <f>AA71*(1+AB71)</f>
        <v>205.4343624084469</v>
      </c>
      <c r="AD71" s="881"/>
      <c r="AF71" s="879"/>
      <c r="AG71" s="878"/>
      <c r="AH71" s="878"/>
      <c r="AI71" s="882"/>
      <c r="AJ71" s="899"/>
      <c r="AK71" s="900"/>
      <c r="AL71" s="880"/>
      <c r="AM71" s="901"/>
      <c r="AN71" s="818"/>
      <c r="AO71" s="901"/>
      <c r="AP71" s="882"/>
      <c r="AQ71" s="882"/>
      <c r="AR71" s="882"/>
      <c r="AS71" s="882"/>
      <c r="AT71" s="882"/>
      <c r="AU71" s="901"/>
      <c r="AV71" s="901"/>
      <c r="AW71" s="902"/>
      <c r="AX71" s="878"/>
      <c r="AY71" s="878"/>
      <c r="AZ71" s="878"/>
      <c r="BA71" s="878"/>
    </row>
    <row r="72" spans="1:53" s="690" customFormat="1" ht="12.75" customHeight="1" x14ac:dyDescent="0.25">
      <c r="A72" s="1115"/>
      <c r="B72" s="903" t="s">
        <v>830</v>
      </c>
      <c r="C72" s="924"/>
      <c r="D72" s="884"/>
      <c r="E72" s="904" t="s">
        <v>1437</v>
      </c>
      <c r="F72" s="905" t="s">
        <v>1438</v>
      </c>
      <c r="G72" s="906">
        <v>0.74</v>
      </c>
      <c r="H72" s="905">
        <v>0.1</v>
      </c>
      <c r="I72" s="907">
        <f t="shared" ref="I72:I78" si="5">G72*H72</f>
        <v>7.3999999999999996E-2</v>
      </c>
      <c r="J72" s="888" t="s">
        <v>1291</v>
      </c>
      <c r="K72" s="908">
        <v>2</v>
      </c>
      <c r="L72" s="909">
        <v>750</v>
      </c>
      <c r="M72" s="908">
        <v>2</v>
      </c>
      <c r="N72" s="891">
        <f>L72/'Исп. коэффициенты'!E28</f>
        <v>8.377332199020214E-2</v>
      </c>
      <c r="O72" s="910" t="s">
        <v>1578</v>
      </c>
      <c r="P72" s="890">
        <v>188900</v>
      </c>
      <c r="Q72" s="892">
        <v>0.19670000000000001</v>
      </c>
      <c r="R72" s="890">
        <f>P72*Q72</f>
        <v>37156.630000000005</v>
      </c>
      <c r="S72" s="890">
        <f>R72/'Исп. коэффициенты'!E28</f>
        <v>4.1503124387477399</v>
      </c>
      <c r="T72" s="830" t="s">
        <v>1435</v>
      </c>
      <c r="U72" s="887">
        <v>6785401.3499999996</v>
      </c>
      <c r="V72" s="894">
        <v>1.3599999999999999E-2</v>
      </c>
      <c r="W72" s="830">
        <f>'Исп. коэффициенты'!E124</f>
        <v>2978.5</v>
      </c>
      <c r="X72" s="891">
        <f>U72*V72</f>
        <v>92281.45835999999</v>
      </c>
      <c r="Y72" s="890">
        <f>X72/'Исп. коэффициенты'!E28</f>
        <v>10.307632433223615</v>
      </c>
      <c r="Z72" s="890"/>
      <c r="AA72" s="830"/>
      <c r="AB72" s="897"/>
      <c r="AC72" s="830"/>
      <c r="AD72" s="878"/>
      <c r="AF72" s="911"/>
      <c r="AG72" s="878"/>
      <c r="AH72" s="878"/>
      <c r="AI72" s="878"/>
      <c r="AJ72" s="912"/>
      <c r="AK72" s="878"/>
      <c r="AL72" s="880"/>
      <c r="AM72" s="878"/>
      <c r="AN72" s="878"/>
      <c r="AO72" s="881"/>
      <c r="AP72" s="878"/>
      <c r="AQ72" s="878"/>
      <c r="AR72" s="881"/>
      <c r="AS72" s="881"/>
      <c r="AT72" s="878"/>
      <c r="AU72" s="878"/>
      <c r="AV72" s="881"/>
      <c r="AW72" s="878"/>
      <c r="AX72" s="878"/>
      <c r="AY72" s="878"/>
      <c r="AZ72" s="878"/>
      <c r="BA72" s="878"/>
    </row>
    <row r="73" spans="1:53" s="690" customFormat="1" x14ac:dyDescent="0.25">
      <c r="A73" s="1115"/>
      <c r="B73" s="913" t="s">
        <v>1178</v>
      </c>
      <c r="C73" s="929">
        <f>C63</f>
        <v>43.888814515309463</v>
      </c>
      <c r="D73" s="884"/>
      <c r="E73" s="904" t="s">
        <v>1439</v>
      </c>
      <c r="F73" s="905" t="s">
        <v>1438</v>
      </c>
      <c r="G73" s="906">
        <v>0.27</v>
      </c>
      <c r="H73" s="905">
        <v>0.01</v>
      </c>
      <c r="I73" s="907">
        <f t="shared" si="5"/>
        <v>2.7000000000000001E-3</v>
      </c>
      <c r="J73" s="888" t="s">
        <v>1445</v>
      </c>
      <c r="K73" s="891">
        <v>2</v>
      </c>
      <c r="L73" s="915">
        <v>95</v>
      </c>
      <c r="M73" s="908">
        <v>2</v>
      </c>
      <c r="N73" s="891">
        <f>L73/'Исп. коэффициенты'!E28</f>
        <v>1.0611287452092272E-2</v>
      </c>
      <c r="O73" s="890"/>
      <c r="P73" s="890"/>
      <c r="Q73" s="892"/>
      <c r="R73" s="890"/>
      <c r="S73" s="890"/>
      <c r="T73" s="890"/>
      <c r="U73" s="890"/>
      <c r="V73" s="890"/>
      <c r="W73" s="892"/>
      <c r="X73" s="890"/>
      <c r="Y73" s="890"/>
      <c r="Z73" s="890"/>
      <c r="AA73" s="830"/>
      <c r="AB73" s="897"/>
      <c r="AC73" s="830"/>
      <c r="AD73" s="878"/>
      <c r="AF73" s="911"/>
      <c r="AG73" s="878"/>
      <c r="AH73" s="878"/>
      <c r="AI73" s="878"/>
      <c r="AJ73" s="912"/>
      <c r="AK73" s="878"/>
      <c r="AL73" s="880"/>
      <c r="AM73" s="902"/>
      <c r="AN73" s="878"/>
      <c r="AO73" s="881"/>
      <c r="AP73" s="878"/>
      <c r="AQ73" s="878"/>
      <c r="AR73" s="881"/>
      <c r="AS73" s="881"/>
      <c r="AT73" s="878"/>
      <c r="AU73" s="878"/>
      <c r="AV73" s="881"/>
      <c r="AW73" s="878"/>
      <c r="AX73" s="878"/>
      <c r="AY73" s="878"/>
      <c r="AZ73" s="878"/>
      <c r="BA73" s="878"/>
    </row>
    <row r="74" spans="1:53" s="690" customFormat="1" ht="12.75" customHeight="1" x14ac:dyDescent="0.25">
      <c r="A74" s="1115"/>
      <c r="B74" s="885" t="s">
        <v>1179</v>
      </c>
      <c r="C74" s="924">
        <f>C64</f>
        <v>19.495759833054819</v>
      </c>
      <c r="D74" s="884"/>
      <c r="E74" s="904" t="s">
        <v>1440</v>
      </c>
      <c r="F74" s="905" t="s">
        <v>1441</v>
      </c>
      <c r="G74" s="906">
        <v>5.92</v>
      </c>
      <c r="H74" s="916">
        <v>1</v>
      </c>
      <c r="I74" s="907">
        <f t="shared" si="5"/>
        <v>5.92</v>
      </c>
      <c r="J74" s="888" t="s">
        <v>1513</v>
      </c>
      <c r="K74" s="891">
        <v>2</v>
      </c>
      <c r="L74" s="891">
        <v>25</v>
      </c>
      <c r="M74" s="908">
        <v>0.5</v>
      </c>
      <c r="N74" s="891">
        <f>L74/'Исп. коэффициенты'!E28</f>
        <v>2.7924440663400717E-3</v>
      </c>
      <c r="O74" s="890"/>
      <c r="P74" s="890"/>
      <c r="Q74" s="892"/>
      <c r="R74" s="890"/>
      <c r="S74" s="890"/>
      <c r="T74" s="890"/>
      <c r="U74" s="890"/>
      <c r="V74" s="890"/>
      <c r="W74" s="892"/>
      <c r="X74" s="890"/>
      <c r="Y74" s="890"/>
      <c r="Z74" s="890"/>
      <c r="AA74" s="830"/>
      <c r="AB74" s="897"/>
      <c r="AC74" s="830"/>
      <c r="AD74" s="878"/>
      <c r="AF74" s="911"/>
      <c r="AG74" s="878"/>
      <c r="AH74" s="878"/>
      <c r="AI74" s="878"/>
      <c r="AJ74" s="912"/>
      <c r="AK74" s="878"/>
      <c r="AL74" s="880"/>
      <c r="AM74" s="878"/>
      <c r="AN74" s="878"/>
      <c r="AO74" s="881"/>
      <c r="AP74" s="878"/>
      <c r="AQ74" s="878"/>
      <c r="AR74" s="881"/>
      <c r="AS74" s="881"/>
      <c r="AT74" s="878"/>
      <c r="AU74" s="878"/>
      <c r="AV74" s="881"/>
      <c r="AW74" s="878"/>
      <c r="AX74" s="878"/>
      <c r="AY74" s="878"/>
      <c r="AZ74" s="878"/>
      <c r="BA74" s="878"/>
    </row>
    <row r="75" spans="1:53" s="690" customFormat="1" ht="12.75" customHeight="1" x14ac:dyDescent="0.25">
      <c r="A75" s="1115"/>
      <c r="B75" s="885" t="s">
        <v>831</v>
      </c>
      <c r="C75" s="930"/>
      <c r="D75" s="884"/>
      <c r="E75" s="904" t="s">
        <v>1442</v>
      </c>
      <c r="F75" s="905" t="s">
        <v>1443</v>
      </c>
      <c r="G75" s="906">
        <v>419.5</v>
      </c>
      <c r="H75" s="905">
        <v>0.01</v>
      </c>
      <c r="I75" s="907">
        <f t="shared" si="5"/>
        <v>4.1950000000000003</v>
      </c>
      <c r="J75" s="888"/>
      <c r="K75" s="918"/>
      <c r="L75" s="891"/>
      <c r="M75" s="891"/>
      <c r="N75" s="891"/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830"/>
      <c r="AB75" s="897"/>
      <c r="AC75" s="830"/>
      <c r="AD75" s="878"/>
      <c r="AF75" s="911"/>
      <c r="AG75" s="878"/>
      <c r="AH75" s="878"/>
      <c r="AI75" s="878"/>
      <c r="AJ75" s="912"/>
      <c r="AK75" s="878"/>
      <c r="AL75" s="880"/>
      <c r="AM75" s="878"/>
      <c r="AN75" s="878"/>
      <c r="AO75" s="881"/>
      <c r="AP75" s="878"/>
      <c r="AQ75" s="878"/>
      <c r="AR75" s="881"/>
      <c r="AS75" s="881"/>
      <c r="AT75" s="878"/>
      <c r="AU75" s="878"/>
      <c r="AV75" s="881"/>
      <c r="AW75" s="878"/>
      <c r="AX75" s="878"/>
      <c r="AY75" s="878"/>
      <c r="AZ75" s="878"/>
      <c r="BA75" s="878"/>
    </row>
    <row r="76" spans="1:53" s="690" customFormat="1" ht="12.75" customHeight="1" x14ac:dyDescent="0.25">
      <c r="A76" s="1115"/>
      <c r="B76" s="913" t="s">
        <v>1178</v>
      </c>
      <c r="C76" s="931">
        <v>0.45</v>
      </c>
      <c r="D76" s="884"/>
      <c r="E76" s="904" t="s">
        <v>1444</v>
      </c>
      <c r="F76" s="905" t="s">
        <v>1443</v>
      </c>
      <c r="G76" s="906">
        <v>872</v>
      </c>
      <c r="H76" s="905">
        <v>5.0000000000000001E-3</v>
      </c>
      <c r="I76" s="907">
        <f t="shared" si="5"/>
        <v>4.3600000000000003</v>
      </c>
      <c r="J76" s="888"/>
      <c r="K76" s="918"/>
      <c r="L76" s="891"/>
      <c r="M76" s="891"/>
      <c r="N76" s="891"/>
      <c r="O76" s="890"/>
      <c r="P76" s="890"/>
      <c r="Q76" s="890"/>
      <c r="R76" s="890"/>
      <c r="S76" s="890"/>
      <c r="T76" s="890"/>
      <c r="U76" s="890"/>
      <c r="V76" s="890"/>
      <c r="W76" s="890"/>
      <c r="X76" s="890"/>
      <c r="Y76" s="890"/>
      <c r="Z76" s="890"/>
      <c r="AA76" s="830"/>
      <c r="AB76" s="897"/>
      <c r="AC76" s="830"/>
      <c r="AD76" s="878"/>
      <c r="AF76" s="911"/>
      <c r="AG76" s="878"/>
      <c r="AH76" s="878"/>
      <c r="AI76" s="878"/>
      <c r="AJ76" s="920"/>
      <c r="AK76" s="878"/>
      <c r="AL76" s="880"/>
      <c r="AM76" s="878"/>
      <c r="AN76" s="878"/>
      <c r="AO76" s="881"/>
      <c r="AP76" s="878"/>
      <c r="AQ76" s="878"/>
      <c r="AR76" s="881"/>
      <c r="AS76" s="881"/>
      <c r="AT76" s="878"/>
      <c r="AU76" s="878"/>
      <c r="AV76" s="881"/>
      <c r="AW76" s="878"/>
      <c r="AX76" s="878"/>
      <c r="AY76" s="878"/>
      <c r="AZ76" s="878"/>
      <c r="BA76" s="878"/>
    </row>
    <row r="77" spans="1:53" s="690" customFormat="1" ht="12.75" customHeight="1" x14ac:dyDescent="0.25">
      <c r="A77" s="1115"/>
      <c r="B77" s="885" t="s">
        <v>1179</v>
      </c>
      <c r="C77" s="931">
        <v>0.45</v>
      </c>
      <c r="D77" s="884"/>
      <c r="E77" s="932" t="s">
        <v>1517</v>
      </c>
      <c r="F77" s="921" t="s">
        <v>1441</v>
      </c>
      <c r="G77" s="906">
        <v>1.31</v>
      </c>
      <c r="H77" s="905">
        <v>1</v>
      </c>
      <c r="I77" s="907">
        <f t="shared" si="5"/>
        <v>1.31</v>
      </c>
      <c r="J77" s="888"/>
      <c r="K77" s="918"/>
      <c r="L77" s="909"/>
      <c r="M77" s="908"/>
      <c r="N77" s="891"/>
      <c r="O77" s="890"/>
      <c r="P77" s="890"/>
      <c r="Q77" s="890"/>
      <c r="R77" s="890"/>
      <c r="S77" s="890"/>
      <c r="T77" s="890"/>
      <c r="U77" s="890"/>
      <c r="V77" s="890"/>
      <c r="W77" s="890"/>
      <c r="X77" s="890"/>
      <c r="Y77" s="890"/>
      <c r="Z77" s="890"/>
      <c r="AA77" s="830"/>
      <c r="AB77" s="897"/>
      <c r="AC77" s="830"/>
      <c r="AD77" s="878"/>
      <c r="AF77" s="911"/>
      <c r="AG77" s="878"/>
      <c r="AH77" s="878"/>
      <c r="AI77" s="878"/>
      <c r="AJ77" s="920"/>
      <c r="AK77" s="878"/>
      <c r="AL77" s="880"/>
      <c r="AM77" s="878"/>
      <c r="AN77" s="878"/>
      <c r="AO77" s="881"/>
      <c r="AP77" s="878"/>
      <c r="AQ77" s="878"/>
      <c r="AR77" s="881"/>
      <c r="AS77" s="881"/>
      <c r="AT77" s="878"/>
      <c r="AU77" s="878"/>
      <c r="AV77" s="881"/>
      <c r="AW77" s="878"/>
      <c r="AX77" s="878"/>
      <c r="AY77" s="878"/>
      <c r="AZ77" s="878"/>
      <c r="BA77" s="878"/>
    </row>
    <row r="78" spans="1:53" s="690" customFormat="1" ht="12.75" customHeight="1" x14ac:dyDescent="0.25">
      <c r="A78" s="1115"/>
      <c r="B78" s="922" t="s">
        <v>1181</v>
      </c>
      <c r="C78" s="924">
        <f>C73*C76+C74*C77</f>
        <v>28.523058456763927</v>
      </c>
      <c r="D78" s="884"/>
      <c r="E78" s="932" t="s">
        <v>585</v>
      </c>
      <c r="F78" s="921" t="s">
        <v>14</v>
      </c>
      <c r="G78" s="906">
        <v>2</v>
      </c>
      <c r="H78" s="905">
        <v>2</v>
      </c>
      <c r="I78" s="907">
        <f t="shared" si="5"/>
        <v>4</v>
      </c>
      <c r="J78" s="888"/>
      <c r="K78" s="918"/>
      <c r="L78" s="915"/>
      <c r="M78" s="908"/>
      <c r="N78" s="891"/>
      <c r="O78" s="890"/>
      <c r="P78" s="890"/>
      <c r="Q78" s="890"/>
      <c r="R78" s="890"/>
      <c r="S78" s="890"/>
      <c r="T78" s="890"/>
      <c r="U78" s="890"/>
      <c r="V78" s="890"/>
      <c r="W78" s="890"/>
      <c r="X78" s="890"/>
      <c r="Y78" s="890"/>
      <c r="Z78" s="890"/>
      <c r="AA78" s="830"/>
      <c r="AB78" s="897"/>
      <c r="AC78" s="830"/>
      <c r="AD78" s="878"/>
      <c r="AF78" s="911"/>
      <c r="AG78" s="878"/>
      <c r="AH78" s="878"/>
      <c r="AI78" s="878"/>
      <c r="AJ78" s="912"/>
      <c r="AK78" s="878"/>
      <c r="AL78" s="880"/>
      <c r="AM78" s="878"/>
      <c r="AN78" s="878"/>
      <c r="AO78" s="881"/>
      <c r="AP78" s="878"/>
      <c r="AQ78" s="878"/>
      <c r="AR78" s="881"/>
      <c r="AS78" s="881"/>
      <c r="AT78" s="878"/>
      <c r="AU78" s="878"/>
      <c r="AV78" s="881"/>
      <c r="AW78" s="878"/>
      <c r="AX78" s="878"/>
      <c r="AY78" s="878"/>
      <c r="AZ78" s="878"/>
      <c r="BA78" s="878"/>
    </row>
    <row r="79" spans="1:53" s="690" customFormat="1" ht="13.5" customHeight="1" x14ac:dyDescent="0.25">
      <c r="A79" s="1116"/>
      <c r="B79" s="933"/>
      <c r="C79" s="931"/>
      <c r="D79" s="923"/>
      <c r="E79" s="932"/>
      <c r="F79" s="921"/>
      <c r="G79" s="906"/>
      <c r="H79" s="905"/>
      <c r="I79" s="907"/>
      <c r="J79" s="888"/>
      <c r="K79" s="918"/>
      <c r="L79" s="891"/>
      <c r="M79" s="908"/>
      <c r="N79" s="891"/>
      <c r="O79" s="890"/>
      <c r="P79" s="890"/>
      <c r="Q79" s="890"/>
      <c r="R79" s="890"/>
      <c r="S79" s="890"/>
      <c r="T79" s="890"/>
      <c r="U79" s="890"/>
      <c r="V79" s="890"/>
      <c r="W79" s="890"/>
      <c r="X79" s="890"/>
      <c r="Y79" s="890"/>
      <c r="Z79" s="890"/>
      <c r="AA79" s="830"/>
      <c r="AB79" s="897"/>
      <c r="AC79" s="830"/>
      <c r="AD79" s="878"/>
      <c r="AF79" s="911"/>
      <c r="AG79" s="878"/>
      <c r="AH79" s="878"/>
      <c r="AI79" s="878"/>
      <c r="AJ79" s="920"/>
      <c r="AK79" s="878"/>
      <c r="AL79" s="880"/>
      <c r="AM79" s="878"/>
      <c r="AN79" s="878"/>
      <c r="AO79" s="881"/>
      <c r="AP79" s="878"/>
      <c r="AQ79" s="878"/>
      <c r="AR79" s="881"/>
      <c r="AS79" s="881"/>
      <c r="AT79" s="878"/>
      <c r="AU79" s="878"/>
      <c r="AV79" s="881"/>
      <c r="AW79" s="878"/>
      <c r="AX79" s="878"/>
      <c r="AY79" s="878"/>
      <c r="AZ79" s="878"/>
      <c r="BA79" s="878"/>
    </row>
    <row r="80" spans="1:53" ht="56.25" customHeight="1" x14ac:dyDescent="0.25">
      <c r="A80" s="1012" t="s">
        <v>1559</v>
      </c>
      <c r="B80" s="439" t="s">
        <v>532</v>
      </c>
      <c r="C80" s="487"/>
      <c r="D80" s="440"/>
      <c r="E80" s="488" t="s">
        <v>488</v>
      </c>
      <c r="F80" s="442" t="s">
        <v>837</v>
      </c>
      <c r="G80" s="439" t="s">
        <v>489</v>
      </c>
      <c r="H80" s="441" t="s">
        <v>1170</v>
      </c>
      <c r="I80" s="442" t="s">
        <v>838</v>
      </c>
      <c r="J80" s="280" t="s">
        <v>1171</v>
      </c>
      <c r="K80" s="280" t="s">
        <v>490</v>
      </c>
      <c r="L80" s="281" t="s">
        <v>489</v>
      </c>
      <c r="M80" s="280" t="s">
        <v>1172</v>
      </c>
      <c r="N80" s="442" t="s">
        <v>838</v>
      </c>
      <c r="O80" s="280" t="s">
        <v>1171</v>
      </c>
      <c r="P80" s="280" t="s">
        <v>826</v>
      </c>
      <c r="Q80" s="280" t="s">
        <v>1173</v>
      </c>
      <c r="R80" s="280" t="s">
        <v>1174</v>
      </c>
      <c r="S80" s="280" t="s">
        <v>839</v>
      </c>
      <c r="T80" s="280" t="s">
        <v>1171</v>
      </c>
      <c r="U80" s="280" t="s">
        <v>1392</v>
      </c>
      <c r="V80" s="282" t="s">
        <v>1173</v>
      </c>
      <c r="W80" s="280" t="s">
        <v>841</v>
      </c>
      <c r="X80" s="280" t="s">
        <v>1394</v>
      </c>
      <c r="Y80" s="280" t="s">
        <v>839</v>
      </c>
      <c r="Z80" s="283"/>
      <c r="AA80" s="440"/>
      <c r="AB80" s="460"/>
      <c r="AC80" s="440"/>
      <c r="AD80" s="444"/>
      <c r="AQ80" s="449"/>
      <c r="AR80" s="449"/>
      <c r="AS80" s="449"/>
    </row>
    <row r="81" spans="1:53" ht="12" customHeight="1" x14ac:dyDescent="0.25">
      <c r="A81" s="1013"/>
      <c r="B81" s="450" t="s">
        <v>1175</v>
      </c>
      <c r="C81" s="487">
        <f>C88</f>
        <v>31.692287174182141</v>
      </c>
      <c r="D81" s="489">
        <f>C81*$D$7</f>
        <v>6.4018420091847927</v>
      </c>
      <c r="E81" s="490" t="s">
        <v>1176</v>
      </c>
      <c r="F81" s="453"/>
      <c r="G81" s="454"/>
      <c r="H81" s="454"/>
      <c r="I81" s="455">
        <f>SUM(I82:I89)</f>
        <v>20.151700000000002</v>
      </c>
      <c r="J81" s="290" t="s">
        <v>1176</v>
      </c>
      <c r="K81" s="357"/>
      <c r="L81" s="291"/>
      <c r="M81" s="291"/>
      <c r="N81" s="292">
        <f>SUM(N82:N89)</f>
        <v>4.4213899999999997</v>
      </c>
      <c r="O81" s="291" t="s">
        <v>1176</v>
      </c>
      <c r="P81" s="291"/>
      <c r="Q81" s="293"/>
      <c r="R81" s="294"/>
      <c r="S81" s="292">
        <f>SUM(S82:S89)</f>
        <v>8.1902000000000008</v>
      </c>
      <c r="T81" s="292"/>
      <c r="U81" s="292"/>
      <c r="V81" s="292"/>
      <c r="W81" s="292"/>
      <c r="X81" s="292"/>
      <c r="Y81" s="292">
        <f>SUM(Y82:Y89)</f>
        <v>9.1999999999999998E-3</v>
      </c>
      <c r="Z81" s="296">
        <f>(C81+D81+I81+N81+S81+Y81)*$Z$7</f>
        <v>92.139906092188198</v>
      </c>
      <c r="AA81" s="459">
        <f>C81+D81+I81+N81+S81+Y81+Z81</f>
        <v>163.00652527555513</v>
      </c>
      <c r="AB81" s="460">
        <v>0.3</v>
      </c>
      <c r="AC81" s="461">
        <f>AA81*(1+AB81)</f>
        <v>211.90848285822167</v>
      </c>
      <c r="AD81" s="448"/>
      <c r="AI81" s="449"/>
      <c r="AJ81" s="462"/>
      <c r="AK81" s="463"/>
      <c r="AM81" s="464"/>
      <c r="AN81" s="143"/>
      <c r="AO81" s="464"/>
      <c r="AP81" s="449"/>
      <c r="AQ81" s="449"/>
      <c r="AR81" s="449"/>
      <c r="AS81" s="449"/>
      <c r="AT81" s="449"/>
      <c r="AU81" s="464"/>
      <c r="AV81" s="464"/>
      <c r="AW81" s="465"/>
    </row>
    <row r="82" spans="1:53" ht="12.75" customHeight="1" x14ac:dyDescent="0.25">
      <c r="A82" s="1013"/>
      <c r="B82" s="466" t="s">
        <v>830</v>
      </c>
      <c r="C82" s="487"/>
      <c r="D82" s="451"/>
      <c r="E82" s="300" t="s">
        <v>1437</v>
      </c>
      <c r="F82" s="301" t="s">
        <v>1438</v>
      </c>
      <c r="G82" s="302">
        <v>0.74</v>
      </c>
      <c r="H82" s="301">
        <v>0.1</v>
      </c>
      <c r="I82" s="303">
        <f t="shared" ref="I82:I89" si="6">G82*H82</f>
        <v>7.3999999999999996E-2</v>
      </c>
      <c r="J82" s="290" t="s">
        <v>1291</v>
      </c>
      <c r="K82" s="304">
        <v>2</v>
      </c>
      <c r="L82" s="305">
        <v>750</v>
      </c>
      <c r="M82" s="304">
        <v>2</v>
      </c>
      <c r="N82" s="292">
        <v>1.1745000000000001</v>
      </c>
      <c r="O82" s="467" t="s">
        <v>1578</v>
      </c>
      <c r="P82" s="291">
        <v>188900</v>
      </c>
      <c r="Q82" s="372">
        <v>0.19670000000000001</v>
      </c>
      <c r="R82" s="291">
        <f>P82*Q82</f>
        <v>37156.630000000005</v>
      </c>
      <c r="S82" s="291">
        <v>8.1902000000000008</v>
      </c>
      <c r="T82" s="458" t="s">
        <v>1435</v>
      </c>
      <c r="U82" s="456">
        <v>6785401.3499999996</v>
      </c>
      <c r="V82" s="457">
        <v>1.32E-2</v>
      </c>
      <c r="W82" s="458">
        <v>1508.3</v>
      </c>
      <c r="X82" s="292">
        <v>59.38</v>
      </c>
      <c r="Y82" s="291">
        <v>9.1999999999999998E-3</v>
      </c>
      <c r="Z82" s="291"/>
      <c r="AA82" s="440"/>
      <c r="AB82" s="460"/>
      <c r="AC82" s="440"/>
      <c r="AD82" s="444"/>
      <c r="AF82" s="365"/>
      <c r="AJ82" s="468"/>
    </row>
    <row r="83" spans="1:53" x14ac:dyDescent="0.25">
      <c r="A83" s="1013"/>
      <c r="B83" s="469" t="s">
        <v>1178</v>
      </c>
      <c r="C83" s="491">
        <f>C73</f>
        <v>43.888814515309463</v>
      </c>
      <c r="D83" s="451"/>
      <c r="E83" s="300" t="s">
        <v>1439</v>
      </c>
      <c r="F83" s="301" t="s">
        <v>1438</v>
      </c>
      <c r="G83" s="302">
        <v>0.27</v>
      </c>
      <c r="H83" s="301">
        <v>0.01</v>
      </c>
      <c r="I83" s="303">
        <f t="shared" si="6"/>
        <v>2.7000000000000001E-3</v>
      </c>
      <c r="J83" s="290" t="s">
        <v>1445</v>
      </c>
      <c r="K83" s="292">
        <v>2</v>
      </c>
      <c r="L83" s="311">
        <v>95</v>
      </c>
      <c r="M83" s="304">
        <v>2</v>
      </c>
      <c r="N83" s="292">
        <v>3.1146400000000001</v>
      </c>
      <c r="O83" s="291"/>
      <c r="P83" s="291"/>
      <c r="Q83" s="372"/>
      <c r="R83" s="291"/>
      <c r="S83" s="291"/>
      <c r="T83" s="291"/>
      <c r="U83" s="291"/>
      <c r="V83" s="291"/>
      <c r="W83" s="372"/>
      <c r="X83" s="291"/>
      <c r="Y83" s="291"/>
      <c r="Z83" s="291"/>
      <c r="AA83" s="440"/>
      <c r="AB83" s="460"/>
      <c r="AC83" s="440"/>
      <c r="AD83" s="444"/>
      <c r="AF83" s="365"/>
      <c r="AJ83" s="468"/>
      <c r="AM83" s="465"/>
    </row>
    <row r="84" spans="1:53" ht="12.75" customHeight="1" x14ac:dyDescent="0.25">
      <c r="A84" s="1013"/>
      <c r="B84" s="452" t="s">
        <v>1179</v>
      </c>
      <c r="C84" s="487">
        <f>C74</f>
        <v>19.495759833054819</v>
      </c>
      <c r="D84" s="451"/>
      <c r="E84" s="300" t="s">
        <v>1440</v>
      </c>
      <c r="F84" s="301" t="s">
        <v>1441</v>
      </c>
      <c r="G84" s="302">
        <v>5.92</v>
      </c>
      <c r="H84" s="471">
        <v>1</v>
      </c>
      <c r="I84" s="303">
        <f t="shared" si="6"/>
        <v>5.92</v>
      </c>
      <c r="J84" s="290" t="s">
        <v>1513</v>
      </c>
      <c r="K84" s="292">
        <v>2</v>
      </c>
      <c r="L84" s="292">
        <v>25</v>
      </c>
      <c r="M84" s="304">
        <v>0.5</v>
      </c>
      <c r="N84" s="292">
        <v>0.13225000000000001</v>
      </c>
      <c r="O84" s="291"/>
      <c r="P84" s="291"/>
      <c r="Q84" s="372"/>
      <c r="R84" s="291"/>
      <c r="S84" s="291"/>
      <c r="T84" s="291"/>
      <c r="U84" s="291"/>
      <c r="V84" s="291"/>
      <c r="W84" s="372"/>
      <c r="X84" s="291"/>
      <c r="Y84" s="291"/>
      <c r="Z84" s="291"/>
      <c r="AA84" s="440"/>
      <c r="AB84" s="460"/>
      <c r="AC84" s="440"/>
      <c r="AD84" s="444"/>
      <c r="AF84" s="365"/>
      <c r="AJ84" s="468"/>
    </row>
    <row r="85" spans="1:53" ht="12.75" customHeight="1" x14ac:dyDescent="0.25">
      <c r="A85" s="1013"/>
      <c r="B85" s="452" t="s">
        <v>831</v>
      </c>
      <c r="C85" s="492"/>
      <c r="D85" s="451"/>
      <c r="E85" s="300" t="s">
        <v>1442</v>
      </c>
      <c r="F85" s="301" t="s">
        <v>1443</v>
      </c>
      <c r="G85" s="302">
        <v>419.5</v>
      </c>
      <c r="H85" s="301">
        <v>0.01</v>
      </c>
      <c r="I85" s="303">
        <f t="shared" si="6"/>
        <v>4.1950000000000003</v>
      </c>
      <c r="J85" s="290"/>
      <c r="K85" s="374"/>
      <c r="L85" s="292"/>
      <c r="M85" s="292"/>
      <c r="N85" s="292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440"/>
      <c r="AB85" s="460"/>
      <c r="AC85" s="440"/>
      <c r="AD85" s="444"/>
      <c r="AF85" s="365"/>
      <c r="AJ85" s="468"/>
    </row>
    <row r="86" spans="1:53" ht="12.75" customHeight="1" x14ac:dyDescent="0.25">
      <c r="A86" s="1013"/>
      <c r="B86" s="469" t="s">
        <v>1178</v>
      </c>
      <c r="C86" s="493">
        <v>0.5</v>
      </c>
      <c r="D86" s="451"/>
      <c r="E86" s="300" t="s">
        <v>1444</v>
      </c>
      <c r="F86" s="301" t="s">
        <v>1443</v>
      </c>
      <c r="G86" s="302">
        <v>872</v>
      </c>
      <c r="H86" s="301">
        <v>5.0000000000000001E-3</v>
      </c>
      <c r="I86" s="303">
        <f t="shared" si="6"/>
        <v>4.3600000000000003</v>
      </c>
      <c r="J86" s="290"/>
      <c r="K86" s="374"/>
      <c r="L86" s="292"/>
      <c r="M86" s="292"/>
      <c r="N86" s="292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440"/>
      <c r="AB86" s="460"/>
      <c r="AC86" s="440"/>
      <c r="AD86" s="444"/>
      <c r="AF86" s="365"/>
      <c r="AJ86" s="472"/>
    </row>
    <row r="87" spans="1:53" ht="12.75" customHeight="1" x14ac:dyDescent="0.25">
      <c r="A87" s="1013"/>
      <c r="B87" s="452" t="s">
        <v>1179</v>
      </c>
      <c r="C87" s="493">
        <v>0.5</v>
      </c>
      <c r="D87" s="451"/>
      <c r="E87" s="494" t="s">
        <v>1517</v>
      </c>
      <c r="F87" s="376" t="s">
        <v>1441</v>
      </c>
      <c r="G87" s="302">
        <v>1.31</v>
      </c>
      <c r="H87" s="301">
        <v>1</v>
      </c>
      <c r="I87" s="303">
        <f t="shared" si="6"/>
        <v>1.31</v>
      </c>
      <c r="J87" s="290"/>
      <c r="K87" s="374"/>
      <c r="L87" s="305"/>
      <c r="M87" s="304"/>
      <c r="N87" s="292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440"/>
      <c r="AB87" s="460"/>
      <c r="AC87" s="440"/>
      <c r="AD87" s="444"/>
      <c r="AF87" s="365"/>
      <c r="AJ87" s="472"/>
    </row>
    <row r="88" spans="1:53" ht="12.75" customHeight="1" x14ac:dyDescent="0.25">
      <c r="A88" s="1013"/>
      <c r="B88" s="474" t="s">
        <v>1181</v>
      </c>
      <c r="C88" s="487">
        <f>C83*C86+C84*C87</f>
        <v>31.692287174182141</v>
      </c>
      <c r="D88" s="451"/>
      <c r="E88" s="494" t="s">
        <v>584</v>
      </c>
      <c r="F88" s="376" t="s">
        <v>1558</v>
      </c>
      <c r="G88" s="302">
        <v>2.79</v>
      </c>
      <c r="H88" s="301">
        <v>1</v>
      </c>
      <c r="I88" s="303">
        <f t="shared" si="6"/>
        <v>2.79</v>
      </c>
      <c r="J88" s="290"/>
      <c r="K88" s="374"/>
      <c r="L88" s="311"/>
      <c r="M88" s="304"/>
      <c r="N88" s="292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440"/>
      <c r="AB88" s="460"/>
      <c r="AC88" s="440"/>
      <c r="AD88" s="444"/>
      <c r="AF88" s="365"/>
      <c r="AJ88" s="468"/>
    </row>
    <row r="89" spans="1:53" ht="13.5" customHeight="1" x14ac:dyDescent="0.25">
      <c r="A89" s="1014"/>
      <c r="B89" s="318"/>
      <c r="C89" s="493"/>
      <c r="D89" s="475"/>
      <c r="E89" s="494" t="s">
        <v>13</v>
      </c>
      <c r="F89" s="376" t="s">
        <v>1441</v>
      </c>
      <c r="G89" s="302">
        <v>1.5</v>
      </c>
      <c r="H89" s="301">
        <v>1</v>
      </c>
      <c r="I89" s="303">
        <f t="shared" si="6"/>
        <v>1.5</v>
      </c>
      <c r="J89" s="290"/>
      <c r="K89" s="374"/>
      <c r="L89" s="292"/>
      <c r="M89" s="304"/>
      <c r="N89" s="292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440"/>
      <c r="AB89" s="460"/>
      <c r="AC89" s="440"/>
      <c r="AD89" s="444"/>
      <c r="AF89" s="365"/>
      <c r="AJ89" s="472"/>
    </row>
    <row r="90" spans="1:53" s="690" customFormat="1" ht="56.25" customHeight="1" x14ac:dyDescent="0.25">
      <c r="A90" s="1114" t="s">
        <v>1816</v>
      </c>
      <c r="B90" s="871" t="s">
        <v>1813</v>
      </c>
      <c r="C90" s="924"/>
      <c r="D90" s="830"/>
      <c r="E90" s="925" t="s">
        <v>488</v>
      </c>
      <c r="F90" s="873" t="s">
        <v>837</v>
      </c>
      <c r="G90" s="871" t="s">
        <v>489</v>
      </c>
      <c r="H90" s="872" t="s">
        <v>1170</v>
      </c>
      <c r="I90" s="873" t="s">
        <v>838</v>
      </c>
      <c r="J90" s="874" t="s">
        <v>1171</v>
      </c>
      <c r="K90" s="874" t="s">
        <v>490</v>
      </c>
      <c r="L90" s="875" t="s">
        <v>489</v>
      </c>
      <c r="M90" s="874" t="s">
        <v>1172</v>
      </c>
      <c r="N90" s="873" t="s">
        <v>838</v>
      </c>
      <c r="O90" s="874" t="s">
        <v>1171</v>
      </c>
      <c r="P90" s="874" t="s">
        <v>826</v>
      </c>
      <c r="Q90" s="874" t="s">
        <v>1173</v>
      </c>
      <c r="R90" s="874" t="s">
        <v>1174</v>
      </c>
      <c r="S90" s="874" t="s">
        <v>839</v>
      </c>
      <c r="T90" s="874" t="s">
        <v>1171</v>
      </c>
      <c r="U90" s="874" t="s">
        <v>1392</v>
      </c>
      <c r="V90" s="874" t="s">
        <v>841</v>
      </c>
      <c r="W90" s="874" t="s">
        <v>841</v>
      </c>
      <c r="X90" s="874" t="s">
        <v>1394</v>
      </c>
      <c r="Y90" s="874" t="s">
        <v>839</v>
      </c>
      <c r="Z90" s="877"/>
      <c r="AA90" s="830"/>
      <c r="AB90" s="897"/>
      <c r="AC90" s="830"/>
      <c r="AD90" s="878"/>
      <c r="AF90" s="879"/>
      <c r="AG90" s="878"/>
      <c r="AH90" s="878"/>
      <c r="AI90" s="878"/>
      <c r="AJ90" s="878"/>
      <c r="AK90" s="878"/>
      <c r="AL90" s="880"/>
      <c r="AM90" s="878"/>
      <c r="AN90" s="878"/>
      <c r="AO90" s="881"/>
      <c r="AP90" s="878"/>
      <c r="AQ90" s="882"/>
      <c r="AR90" s="882"/>
      <c r="AS90" s="882"/>
      <c r="AT90" s="878"/>
      <c r="AU90" s="878"/>
      <c r="AV90" s="881"/>
      <c r="AW90" s="878"/>
      <c r="AX90" s="878"/>
      <c r="AY90" s="878"/>
      <c r="AZ90" s="878"/>
      <c r="BA90" s="878"/>
    </row>
    <row r="91" spans="1:53" s="690" customFormat="1" ht="12" customHeight="1" x14ac:dyDescent="0.25">
      <c r="A91" s="1115"/>
      <c r="B91" s="883" t="s">
        <v>1175</v>
      </c>
      <c r="C91" s="924">
        <f>C98</f>
        <v>32.570063464488328</v>
      </c>
      <c r="D91" s="926">
        <f>C91*$D$7</f>
        <v>6.5791528198266427</v>
      </c>
      <c r="E91" s="927" t="s">
        <v>1176</v>
      </c>
      <c r="F91" s="886"/>
      <c r="G91" s="887"/>
      <c r="H91" s="887"/>
      <c r="I91" s="749">
        <f>SUM(I92:I99)</f>
        <v>91.161699999999996</v>
      </c>
      <c r="J91" s="888" t="s">
        <v>1176</v>
      </c>
      <c r="K91" s="889"/>
      <c r="L91" s="890"/>
      <c r="M91" s="890"/>
      <c r="N91" s="891">
        <f>SUM(N92:N99)</f>
        <v>9.7177053508634495E-2</v>
      </c>
      <c r="O91" s="890" t="s">
        <v>1176</v>
      </c>
      <c r="P91" s="890"/>
      <c r="Q91" s="928"/>
      <c r="R91" s="893"/>
      <c r="S91" s="891">
        <f>SUM(S92:S99)</f>
        <v>4.1503124387477399</v>
      </c>
      <c r="T91" s="891"/>
      <c r="U91" s="891"/>
      <c r="V91" s="891"/>
      <c r="W91" s="891"/>
      <c r="X91" s="891"/>
      <c r="Y91" s="891">
        <f>SUM(Y92:Y99)</f>
        <v>10.307632433223615</v>
      </c>
      <c r="Z91" s="895">
        <f>(C91+D91+I91+N91+S91+Y91)*$Z$7</f>
        <v>188.35303998431377</v>
      </c>
      <c r="AA91" s="896">
        <f>C91+D91+I91+N91+S91+Y91+Z91</f>
        <v>333.2190781941087</v>
      </c>
      <c r="AB91" s="897">
        <v>0.3</v>
      </c>
      <c r="AC91" s="898">
        <f>AA91*(1+AB91)</f>
        <v>433.18480165234132</v>
      </c>
      <c r="AD91" s="881"/>
      <c r="AF91" s="879"/>
      <c r="AG91" s="878"/>
      <c r="AH91" s="878"/>
      <c r="AI91" s="882"/>
      <c r="AJ91" s="899"/>
      <c r="AK91" s="900"/>
      <c r="AL91" s="880"/>
      <c r="AM91" s="901"/>
      <c r="AN91" s="818"/>
      <c r="AO91" s="901"/>
      <c r="AP91" s="882"/>
      <c r="AQ91" s="882"/>
      <c r="AR91" s="882"/>
      <c r="AS91" s="882"/>
      <c r="AT91" s="882"/>
      <c r="AU91" s="901"/>
      <c r="AV91" s="901"/>
      <c r="AW91" s="902"/>
      <c r="AX91" s="878"/>
      <c r="AY91" s="878"/>
      <c r="AZ91" s="878"/>
      <c r="BA91" s="878"/>
    </row>
    <row r="92" spans="1:53" s="690" customFormat="1" ht="22.5" customHeight="1" x14ac:dyDescent="0.25">
      <c r="A92" s="1115"/>
      <c r="B92" s="903" t="s">
        <v>830</v>
      </c>
      <c r="C92" s="924"/>
      <c r="D92" s="884"/>
      <c r="E92" s="904" t="s">
        <v>1437</v>
      </c>
      <c r="F92" s="905" t="s">
        <v>1438</v>
      </c>
      <c r="G92" s="906">
        <v>0.74</v>
      </c>
      <c r="H92" s="905">
        <v>0.1</v>
      </c>
      <c r="I92" s="907">
        <f t="shared" ref="I92:I97" si="7">G92*H92</f>
        <v>7.3999999999999996E-2</v>
      </c>
      <c r="J92" s="888" t="s">
        <v>1291</v>
      </c>
      <c r="K92" s="908">
        <v>2</v>
      </c>
      <c r="L92" s="909">
        <v>750</v>
      </c>
      <c r="M92" s="908">
        <v>2</v>
      </c>
      <c r="N92" s="891">
        <f>L92/'Исп. коэффициенты'!E28</f>
        <v>8.377332199020214E-2</v>
      </c>
      <c r="O92" s="910" t="s">
        <v>1578</v>
      </c>
      <c r="P92" s="890">
        <v>188900</v>
      </c>
      <c r="Q92" s="892">
        <v>0.19670000000000001</v>
      </c>
      <c r="R92" s="890">
        <f>P92*Q92</f>
        <v>37156.630000000005</v>
      </c>
      <c r="S92" s="890">
        <f>R92/'Исп. коэффициенты'!E28</f>
        <v>4.1503124387477399</v>
      </c>
      <c r="T92" s="830" t="s">
        <v>1435</v>
      </c>
      <c r="U92" s="887">
        <v>6785401.3499999996</v>
      </c>
      <c r="V92" s="894">
        <v>1.3599999999999999E-2</v>
      </c>
      <c r="W92" s="830">
        <f>'Исп. коэффициенты'!E124</f>
        <v>2978.5</v>
      </c>
      <c r="X92" s="891">
        <f>U92*V92</f>
        <v>92281.45835999999</v>
      </c>
      <c r="Y92" s="890">
        <f>X92/'Исп. коэффициенты'!E28</f>
        <v>10.307632433223615</v>
      </c>
      <c r="Z92" s="890"/>
      <c r="AA92" s="830"/>
      <c r="AB92" s="897"/>
      <c r="AC92" s="830"/>
      <c r="AD92" s="878"/>
      <c r="AF92" s="911"/>
      <c r="AG92" s="878"/>
      <c r="AH92" s="878"/>
      <c r="AI92" s="878"/>
      <c r="AJ92" s="920"/>
      <c r="AK92" s="878"/>
      <c r="AL92" s="880"/>
      <c r="AM92" s="878"/>
      <c r="AN92" s="878"/>
      <c r="AO92" s="881"/>
      <c r="AP92" s="878"/>
      <c r="AQ92" s="878"/>
      <c r="AR92" s="881"/>
      <c r="AS92" s="881"/>
      <c r="AT92" s="878"/>
      <c r="AU92" s="878"/>
      <c r="AV92" s="881"/>
      <c r="AW92" s="878"/>
      <c r="AX92" s="878"/>
      <c r="AY92" s="878"/>
      <c r="AZ92" s="878"/>
      <c r="BA92" s="878"/>
    </row>
    <row r="93" spans="1:53" s="690" customFormat="1" ht="15.75" customHeight="1" x14ac:dyDescent="0.25">
      <c r="A93" s="1115"/>
      <c r="B93" s="913" t="s">
        <v>1178</v>
      </c>
      <c r="C93" s="929">
        <f>C83</f>
        <v>43.888814515309463</v>
      </c>
      <c r="D93" s="884"/>
      <c r="E93" s="904" t="s">
        <v>1439</v>
      </c>
      <c r="F93" s="905" t="s">
        <v>1438</v>
      </c>
      <c r="G93" s="906">
        <v>0.27</v>
      </c>
      <c r="H93" s="905">
        <v>0.01</v>
      </c>
      <c r="I93" s="907">
        <f t="shared" si="7"/>
        <v>2.7000000000000001E-3</v>
      </c>
      <c r="J93" s="888" t="s">
        <v>1445</v>
      </c>
      <c r="K93" s="891">
        <v>2</v>
      </c>
      <c r="L93" s="915">
        <v>95</v>
      </c>
      <c r="M93" s="908">
        <v>2</v>
      </c>
      <c r="N93" s="891">
        <f>L93/'Исп. коэффициенты'!E28</f>
        <v>1.0611287452092272E-2</v>
      </c>
      <c r="O93" s="890"/>
      <c r="P93" s="890"/>
      <c r="Q93" s="892"/>
      <c r="R93" s="890"/>
      <c r="S93" s="890"/>
      <c r="T93" s="890"/>
      <c r="U93" s="890"/>
      <c r="V93" s="890"/>
      <c r="W93" s="892"/>
      <c r="X93" s="890"/>
      <c r="Y93" s="890"/>
      <c r="Z93" s="890"/>
      <c r="AA93" s="830"/>
      <c r="AB93" s="897"/>
      <c r="AC93" s="830"/>
      <c r="AD93" s="878"/>
      <c r="AF93" s="911"/>
      <c r="AG93" s="878"/>
      <c r="AH93" s="878"/>
      <c r="AI93" s="878"/>
      <c r="AJ93" s="920"/>
      <c r="AK93" s="878"/>
      <c r="AL93" s="880"/>
      <c r="AM93" s="878"/>
      <c r="AN93" s="878"/>
      <c r="AO93" s="881"/>
      <c r="AP93" s="878"/>
      <c r="AQ93" s="878"/>
      <c r="AR93" s="881"/>
      <c r="AS93" s="881"/>
      <c r="AT93" s="878"/>
      <c r="AU93" s="878"/>
      <c r="AV93" s="881"/>
      <c r="AW93" s="878"/>
      <c r="AX93" s="878"/>
      <c r="AY93" s="878"/>
      <c r="AZ93" s="878"/>
      <c r="BA93" s="878"/>
    </row>
    <row r="94" spans="1:53" s="690" customFormat="1" ht="15.75" customHeight="1" x14ac:dyDescent="0.25">
      <c r="A94" s="1115"/>
      <c r="B94" s="885" t="s">
        <v>1179</v>
      </c>
      <c r="C94" s="924">
        <f>C84</f>
        <v>19.495759833054819</v>
      </c>
      <c r="D94" s="884"/>
      <c r="E94" s="904" t="s">
        <v>1440</v>
      </c>
      <c r="F94" s="905" t="s">
        <v>1441</v>
      </c>
      <c r="G94" s="906">
        <v>5.92</v>
      </c>
      <c r="H94" s="916">
        <v>1</v>
      </c>
      <c r="I94" s="907">
        <f t="shared" si="7"/>
        <v>5.92</v>
      </c>
      <c r="J94" s="888" t="s">
        <v>1513</v>
      </c>
      <c r="K94" s="891">
        <v>2</v>
      </c>
      <c r="L94" s="891">
        <v>25</v>
      </c>
      <c r="M94" s="908">
        <v>0.5</v>
      </c>
      <c r="N94" s="891">
        <f>L94/'Исп. коэффициенты'!E28</f>
        <v>2.7924440663400717E-3</v>
      </c>
      <c r="O94" s="890"/>
      <c r="P94" s="890"/>
      <c r="Q94" s="892"/>
      <c r="R94" s="890"/>
      <c r="S94" s="890"/>
      <c r="T94" s="890"/>
      <c r="U94" s="890"/>
      <c r="V94" s="890"/>
      <c r="W94" s="892"/>
      <c r="X94" s="890"/>
      <c r="Y94" s="890"/>
      <c r="Z94" s="890"/>
      <c r="AA94" s="830"/>
      <c r="AB94" s="897"/>
      <c r="AC94" s="830"/>
      <c r="AD94" s="878"/>
      <c r="AF94" s="911"/>
      <c r="AG94" s="878"/>
      <c r="AH94" s="878"/>
      <c r="AI94" s="878"/>
      <c r="AJ94" s="920"/>
      <c r="AK94" s="878"/>
      <c r="AL94" s="880"/>
      <c r="AM94" s="878"/>
      <c r="AN94" s="878"/>
      <c r="AO94" s="881"/>
      <c r="AP94" s="878"/>
      <c r="AQ94" s="878"/>
      <c r="AR94" s="881"/>
      <c r="AS94" s="881"/>
      <c r="AT94" s="878"/>
      <c r="AU94" s="878"/>
      <c r="AV94" s="881"/>
      <c r="AW94" s="878"/>
      <c r="AX94" s="878"/>
      <c r="AY94" s="878"/>
      <c r="AZ94" s="878"/>
      <c r="BA94" s="878"/>
    </row>
    <row r="95" spans="1:53" s="690" customFormat="1" ht="15.75" customHeight="1" x14ac:dyDescent="0.25">
      <c r="A95" s="1115"/>
      <c r="B95" s="885" t="s">
        <v>831</v>
      </c>
      <c r="C95" s="930"/>
      <c r="D95" s="884"/>
      <c r="E95" s="904" t="s">
        <v>1442</v>
      </c>
      <c r="F95" s="905" t="s">
        <v>1443</v>
      </c>
      <c r="G95" s="906">
        <v>419.5</v>
      </c>
      <c r="H95" s="905">
        <v>0.01</v>
      </c>
      <c r="I95" s="907">
        <f t="shared" si="7"/>
        <v>4.1950000000000003</v>
      </c>
      <c r="J95" s="888"/>
      <c r="K95" s="918"/>
      <c r="L95" s="891"/>
      <c r="M95" s="891"/>
      <c r="N95" s="891"/>
      <c r="O95" s="890"/>
      <c r="P95" s="890"/>
      <c r="Q95" s="892"/>
      <c r="R95" s="890"/>
      <c r="S95" s="890"/>
      <c r="T95" s="890"/>
      <c r="U95" s="890"/>
      <c r="V95" s="890"/>
      <c r="W95" s="892"/>
      <c r="X95" s="890"/>
      <c r="Y95" s="890"/>
      <c r="Z95" s="890"/>
      <c r="AA95" s="830"/>
      <c r="AB95" s="897"/>
      <c r="AC95" s="830"/>
      <c r="AD95" s="878"/>
      <c r="AF95" s="911"/>
      <c r="AG95" s="878"/>
      <c r="AH95" s="878"/>
      <c r="AI95" s="878"/>
      <c r="AJ95" s="920"/>
      <c r="AK95" s="878"/>
      <c r="AL95" s="880"/>
      <c r="AM95" s="878"/>
      <c r="AN95" s="878"/>
      <c r="AO95" s="881"/>
      <c r="AP95" s="878"/>
      <c r="AQ95" s="878"/>
      <c r="AR95" s="881"/>
      <c r="AS95" s="881"/>
      <c r="AT95" s="878"/>
      <c r="AU95" s="878"/>
      <c r="AV95" s="881"/>
      <c r="AW95" s="878"/>
      <c r="AX95" s="878"/>
      <c r="AY95" s="878"/>
      <c r="AZ95" s="878"/>
      <c r="BA95" s="878"/>
    </row>
    <row r="96" spans="1:53" s="690" customFormat="1" ht="15.75" customHeight="1" x14ac:dyDescent="0.25">
      <c r="A96" s="1115"/>
      <c r="B96" s="913" t="s">
        <v>1178</v>
      </c>
      <c r="C96" s="931">
        <v>0.52</v>
      </c>
      <c r="D96" s="884"/>
      <c r="E96" s="904" t="s">
        <v>1444</v>
      </c>
      <c r="F96" s="905" t="s">
        <v>1443</v>
      </c>
      <c r="G96" s="906">
        <v>872</v>
      </c>
      <c r="H96" s="905">
        <v>5.0000000000000001E-3</v>
      </c>
      <c r="I96" s="907">
        <f t="shared" si="7"/>
        <v>4.3600000000000003</v>
      </c>
      <c r="J96" s="888"/>
      <c r="K96" s="918"/>
      <c r="L96" s="891"/>
      <c r="M96" s="891"/>
      <c r="N96" s="891"/>
      <c r="O96" s="890"/>
      <c r="P96" s="890"/>
      <c r="Q96" s="892"/>
      <c r="R96" s="890"/>
      <c r="S96" s="890"/>
      <c r="T96" s="890"/>
      <c r="U96" s="890"/>
      <c r="V96" s="890"/>
      <c r="W96" s="892"/>
      <c r="X96" s="890"/>
      <c r="Y96" s="890"/>
      <c r="Z96" s="890"/>
      <c r="AA96" s="830"/>
      <c r="AB96" s="897"/>
      <c r="AC96" s="830"/>
      <c r="AD96" s="878"/>
      <c r="AF96" s="911"/>
      <c r="AG96" s="878"/>
      <c r="AH96" s="878"/>
      <c r="AI96" s="878"/>
      <c r="AJ96" s="920"/>
      <c r="AK96" s="878"/>
      <c r="AL96" s="880"/>
      <c r="AM96" s="878"/>
      <c r="AN96" s="878"/>
      <c r="AO96" s="881"/>
      <c r="AP96" s="878"/>
      <c r="AQ96" s="878"/>
      <c r="AR96" s="881"/>
      <c r="AS96" s="881"/>
      <c r="AT96" s="878"/>
      <c r="AU96" s="878"/>
      <c r="AV96" s="881"/>
      <c r="AW96" s="878"/>
      <c r="AX96" s="878"/>
      <c r="AY96" s="878"/>
      <c r="AZ96" s="878"/>
      <c r="BA96" s="878"/>
    </row>
    <row r="97" spans="1:53" s="690" customFormat="1" ht="15.75" customHeight="1" x14ac:dyDescent="0.25">
      <c r="A97" s="1115"/>
      <c r="B97" s="885" t="s">
        <v>1179</v>
      </c>
      <c r="C97" s="931">
        <v>0.5</v>
      </c>
      <c r="D97" s="884"/>
      <c r="E97" s="932" t="s">
        <v>1517</v>
      </c>
      <c r="F97" s="921" t="s">
        <v>1441</v>
      </c>
      <c r="G97" s="906">
        <v>1.31</v>
      </c>
      <c r="H97" s="905">
        <v>1</v>
      </c>
      <c r="I97" s="907">
        <f t="shared" si="7"/>
        <v>1.31</v>
      </c>
      <c r="J97" s="888"/>
      <c r="K97" s="918"/>
      <c r="L97" s="909"/>
      <c r="M97" s="908"/>
      <c r="N97" s="891"/>
      <c r="O97" s="890"/>
      <c r="P97" s="890"/>
      <c r="Q97" s="890"/>
      <c r="R97" s="890"/>
      <c r="S97" s="890"/>
      <c r="T97" s="890"/>
      <c r="U97" s="890"/>
      <c r="V97" s="890"/>
      <c r="W97" s="890"/>
      <c r="X97" s="890"/>
      <c r="Y97" s="890"/>
      <c r="Z97" s="890"/>
      <c r="AA97" s="830"/>
      <c r="AB97" s="897"/>
      <c r="AC97" s="830"/>
      <c r="AD97" s="878"/>
      <c r="AF97" s="911"/>
      <c r="AG97" s="878"/>
      <c r="AH97" s="878"/>
      <c r="AI97" s="878"/>
      <c r="AJ97" s="920"/>
      <c r="AK97" s="878"/>
      <c r="AL97" s="880"/>
      <c r="AM97" s="878"/>
      <c r="AN97" s="878"/>
      <c r="AO97" s="881"/>
      <c r="AP97" s="878"/>
      <c r="AQ97" s="878"/>
      <c r="AR97" s="881"/>
      <c r="AS97" s="881"/>
      <c r="AT97" s="878"/>
      <c r="AU97" s="878"/>
      <c r="AV97" s="881"/>
      <c r="AW97" s="878"/>
      <c r="AX97" s="878"/>
      <c r="AY97" s="878"/>
      <c r="AZ97" s="878"/>
      <c r="BA97" s="878"/>
    </row>
    <row r="98" spans="1:53" s="690" customFormat="1" ht="15.75" customHeight="1" x14ac:dyDescent="0.25">
      <c r="A98" s="1115"/>
      <c r="B98" s="922" t="s">
        <v>1181</v>
      </c>
      <c r="C98" s="924">
        <f>C93*C96+C94*C97</f>
        <v>32.570063464488328</v>
      </c>
      <c r="D98" s="884"/>
      <c r="E98" s="932" t="s">
        <v>583</v>
      </c>
      <c r="F98" s="921" t="s">
        <v>1558</v>
      </c>
      <c r="G98" s="906">
        <v>73.8</v>
      </c>
      <c r="H98" s="905">
        <v>1</v>
      </c>
      <c r="I98" s="907">
        <f>G98</f>
        <v>73.8</v>
      </c>
      <c r="J98" s="888"/>
      <c r="K98" s="918"/>
      <c r="L98" s="915"/>
      <c r="M98" s="908"/>
      <c r="N98" s="891"/>
      <c r="O98" s="890"/>
      <c r="P98" s="890"/>
      <c r="Q98" s="890"/>
      <c r="R98" s="890"/>
      <c r="S98" s="890"/>
      <c r="T98" s="890"/>
      <c r="U98" s="890"/>
      <c r="V98" s="890"/>
      <c r="W98" s="890"/>
      <c r="X98" s="890"/>
      <c r="Y98" s="890"/>
      <c r="Z98" s="890"/>
      <c r="AA98" s="830"/>
      <c r="AB98" s="897"/>
      <c r="AC98" s="830"/>
      <c r="AD98" s="878"/>
      <c r="AF98" s="911"/>
      <c r="AG98" s="878"/>
      <c r="AH98" s="878"/>
      <c r="AI98" s="878"/>
      <c r="AJ98" s="920"/>
      <c r="AK98" s="878"/>
      <c r="AL98" s="880"/>
      <c r="AM98" s="878"/>
      <c r="AN98" s="878"/>
      <c r="AO98" s="881"/>
      <c r="AP98" s="878"/>
      <c r="AQ98" s="878"/>
      <c r="AR98" s="881"/>
      <c r="AS98" s="881"/>
      <c r="AT98" s="878"/>
      <c r="AU98" s="878"/>
      <c r="AV98" s="881"/>
      <c r="AW98" s="878"/>
      <c r="AX98" s="878"/>
      <c r="AY98" s="878"/>
      <c r="AZ98" s="878"/>
      <c r="BA98" s="878"/>
    </row>
    <row r="99" spans="1:53" s="690" customFormat="1" ht="15.75" customHeight="1" x14ac:dyDescent="0.25">
      <c r="A99" s="1116"/>
      <c r="B99" s="933"/>
      <c r="C99" s="931"/>
      <c r="D99" s="884"/>
      <c r="E99" s="932" t="s">
        <v>13</v>
      </c>
      <c r="F99" s="921" t="s">
        <v>1441</v>
      </c>
      <c r="G99" s="906">
        <v>1.5</v>
      </c>
      <c r="H99" s="905">
        <v>1</v>
      </c>
      <c r="I99" s="907">
        <f>G99</f>
        <v>1.5</v>
      </c>
      <c r="J99" s="888"/>
      <c r="K99" s="918"/>
      <c r="L99" s="891"/>
      <c r="M99" s="908"/>
      <c r="N99" s="891"/>
      <c r="O99" s="890"/>
      <c r="P99" s="890"/>
      <c r="Q99" s="890"/>
      <c r="R99" s="890"/>
      <c r="S99" s="890"/>
      <c r="T99" s="890"/>
      <c r="U99" s="890"/>
      <c r="V99" s="890"/>
      <c r="W99" s="890"/>
      <c r="X99" s="890"/>
      <c r="Y99" s="890"/>
      <c r="Z99" s="890"/>
      <c r="AA99" s="830"/>
      <c r="AB99" s="897"/>
      <c r="AC99" s="830"/>
      <c r="AD99" s="878"/>
      <c r="AF99" s="911"/>
      <c r="AG99" s="878"/>
      <c r="AH99" s="878"/>
      <c r="AI99" s="878"/>
      <c r="AJ99" s="920"/>
      <c r="AK99" s="878"/>
      <c r="AL99" s="880"/>
      <c r="AM99" s="878"/>
      <c r="AN99" s="878"/>
      <c r="AO99" s="881"/>
      <c r="AP99" s="878"/>
      <c r="AQ99" s="878"/>
      <c r="AR99" s="881"/>
      <c r="AS99" s="881"/>
      <c r="AT99" s="878"/>
      <c r="AU99" s="878"/>
      <c r="AV99" s="881"/>
      <c r="AW99" s="878"/>
      <c r="AX99" s="878"/>
      <c r="AY99" s="878"/>
      <c r="AZ99" s="878"/>
      <c r="BA99" s="878"/>
    </row>
    <row r="100" spans="1:53" ht="56.25" customHeight="1" x14ac:dyDescent="0.25">
      <c r="A100" s="1012" t="s">
        <v>1817</v>
      </c>
      <c r="B100" s="439" t="s">
        <v>1814</v>
      </c>
      <c r="C100" s="487"/>
      <c r="D100" s="440"/>
      <c r="E100" s="488" t="s">
        <v>488</v>
      </c>
      <c r="F100" s="442" t="s">
        <v>837</v>
      </c>
      <c r="G100" s="439" t="s">
        <v>489</v>
      </c>
      <c r="H100" s="441" t="s">
        <v>1170</v>
      </c>
      <c r="I100" s="442" t="s">
        <v>838</v>
      </c>
      <c r="J100" s="280" t="s">
        <v>1171</v>
      </c>
      <c r="K100" s="280" t="s">
        <v>490</v>
      </c>
      <c r="L100" s="281" t="s">
        <v>489</v>
      </c>
      <c r="M100" s="280" t="s">
        <v>1172</v>
      </c>
      <c r="N100" s="442" t="s">
        <v>838</v>
      </c>
      <c r="O100" s="280" t="s">
        <v>1171</v>
      </c>
      <c r="P100" s="280" t="s">
        <v>826</v>
      </c>
      <c r="Q100" s="280" t="s">
        <v>1173</v>
      </c>
      <c r="R100" s="280" t="s">
        <v>1174</v>
      </c>
      <c r="S100" s="280" t="s">
        <v>839</v>
      </c>
      <c r="T100" s="280" t="s">
        <v>1171</v>
      </c>
      <c r="U100" s="280" t="s">
        <v>1392</v>
      </c>
      <c r="V100" s="280" t="s">
        <v>841</v>
      </c>
      <c r="W100" s="280" t="s">
        <v>841</v>
      </c>
      <c r="X100" s="280" t="s">
        <v>1394</v>
      </c>
      <c r="Y100" s="280" t="s">
        <v>839</v>
      </c>
      <c r="Z100" s="283"/>
      <c r="AA100" s="440"/>
      <c r="AB100" s="460"/>
      <c r="AC100" s="440"/>
      <c r="AD100" s="444"/>
      <c r="AQ100" s="449"/>
      <c r="AR100" s="449"/>
      <c r="AS100" s="449"/>
    </row>
    <row r="101" spans="1:53" ht="12" customHeight="1" x14ac:dyDescent="0.25">
      <c r="A101" s="1013"/>
      <c r="B101" s="450" t="s">
        <v>1175</v>
      </c>
      <c r="C101" s="487">
        <f>C108</f>
        <v>53.636694431836872</v>
      </c>
      <c r="D101" s="489">
        <f>C101*$D$7</f>
        <v>10.834612275231049</v>
      </c>
      <c r="E101" s="490" t="s">
        <v>1176</v>
      </c>
      <c r="F101" s="453"/>
      <c r="G101" s="454"/>
      <c r="H101" s="454"/>
      <c r="I101" s="455">
        <f>SUM(I102:I109)</f>
        <v>89.851699999999994</v>
      </c>
      <c r="J101" s="290" t="s">
        <v>1176</v>
      </c>
      <c r="K101" s="357"/>
      <c r="L101" s="291"/>
      <c r="M101" s="291"/>
      <c r="N101" s="292">
        <f>SUM(N102:N109)</f>
        <v>9.7177053508634495E-2</v>
      </c>
      <c r="O101" s="291" t="s">
        <v>1176</v>
      </c>
      <c r="P101" s="291"/>
      <c r="Q101" s="293"/>
      <c r="R101" s="294"/>
      <c r="S101" s="292">
        <f>SUM(S102:S109)</f>
        <v>4.1503124387477399</v>
      </c>
      <c r="T101" s="292"/>
      <c r="U101" s="292"/>
      <c r="V101" s="292"/>
      <c r="W101" s="292"/>
      <c r="X101" s="292"/>
      <c r="Y101" s="292">
        <f>SUM(Y102:Y109)</f>
        <v>10.307632433223615</v>
      </c>
      <c r="Z101" s="296">
        <f>(C101+D101+I101+N101+S101+Y101)*$Z$7</f>
        <v>219.57326443025258</v>
      </c>
      <c r="AA101" s="459">
        <f>C101+D101+I101+N101+S101+Y101+Z101</f>
        <v>388.45139306280043</v>
      </c>
      <c r="AB101" s="460">
        <v>0.3</v>
      </c>
      <c r="AC101" s="461">
        <f>AA101*(1+AB101)</f>
        <v>504.98681098164059</v>
      </c>
      <c r="AD101" s="448"/>
      <c r="AI101" s="449"/>
      <c r="AJ101" s="462"/>
      <c r="AK101" s="463"/>
      <c r="AM101" s="464"/>
      <c r="AN101" s="143"/>
      <c r="AO101" s="464"/>
      <c r="AP101" s="449"/>
      <c r="AQ101" s="449"/>
      <c r="AR101" s="449"/>
      <c r="AS101" s="449"/>
      <c r="AT101" s="449"/>
      <c r="AU101" s="464"/>
      <c r="AV101" s="464"/>
      <c r="AW101" s="465"/>
    </row>
    <row r="102" spans="1:53" ht="14.25" customHeight="1" x14ac:dyDescent="0.25">
      <c r="A102" s="1013"/>
      <c r="B102" s="466" t="s">
        <v>830</v>
      </c>
      <c r="C102" s="487"/>
      <c r="D102" s="451"/>
      <c r="E102" s="300" t="s">
        <v>1437</v>
      </c>
      <c r="F102" s="301" t="s">
        <v>1438</v>
      </c>
      <c r="G102" s="302">
        <v>0.74</v>
      </c>
      <c r="H102" s="301">
        <v>0.1</v>
      </c>
      <c r="I102" s="303">
        <f t="shared" ref="I102:I108" si="8">G102*H102</f>
        <v>7.3999999999999996E-2</v>
      </c>
      <c r="J102" s="888" t="s">
        <v>1291</v>
      </c>
      <c r="K102" s="908">
        <v>2</v>
      </c>
      <c r="L102" s="909">
        <v>750</v>
      </c>
      <c r="M102" s="908">
        <v>2</v>
      </c>
      <c r="N102" s="891">
        <f>L102/'Исп. коэффициенты'!E28</f>
        <v>8.377332199020214E-2</v>
      </c>
      <c r="O102" s="910" t="s">
        <v>1578</v>
      </c>
      <c r="P102" s="890">
        <v>188900</v>
      </c>
      <c r="Q102" s="892">
        <v>0.19670000000000001</v>
      </c>
      <c r="R102" s="890">
        <f>P102*Q102</f>
        <v>37156.630000000005</v>
      </c>
      <c r="S102" s="890">
        <f>R102/'Исп. коэффициенты'!E28</f>
        <v>4.1503124387477399</v>
      </c>
      <c r="T102" s="830" t="s">
        <v>1435</v>
      </c>
      <c r="U102" s="887">
        <v>6785401.3499999996</v>
      </c>
      <c r="V102" s="894">
        <v>1.3599999999999999E-2</v>
      </c>
      <c r="W102" s="830">
        <f>'Исп. коэффициенты'!E124</f>
        <v>2978.5</v>
      </c>
      <c r="X102" s="891">
        <f>U102*V102</f>
        <v>92281.45835999999</v>
      </c>
      <c r="Y102" s="890">
        <f>X102/'Исп. коэффициенты'!E28</f>
        <v>10.307632433223615</v>
      </c>
      <c r="Z102" s="291"/>
      <c r="AA102" s="440"/>
      <c r="AB102" s="460"/>
      <c r="AC102" s="440"/>
      <c r="AD102" s="444"/>
      <c r="AF102" s="365"/>
      <c r="AJ102" s="472"/>
    </row>
    <row r="103" spans="1:53" ht="14.25" customHeight="1" x14ac:dyDescent="0.25">
      <c r="A103" s="1013"/>
      <c r="B103" s="469" t="s">
        <v>1178</v>
      </c>
      <c r="C103" s="491">
        <f>C93</f>
        <v>43.888814515309463</v>
      </c>
      <c r="D103" s="451"/>
      <c r="E103" s="300" t="s">
        <v>1439</v>
      </c>
      <c r="F103" s="301" t="s">
        <v>1438</v>
      </c>
      <c r="G103" s="302">
        <v>0.27</v>
      </c>
      <c r="H103" s="301">
        <v>0.01</v>
      </c>
      <c r="I103" s="303">
        <f t="shared" si="8"/>
        <v>2.7000000000000001E-3</v>
      </c>
      <c r="J103" s="888" t="s">
        <v>1445</v>
      </c>
      <c r="K103" s="891">
        <v>2</v>
      </c>
      <c r="L103" s="915">
        <v>95</v>
      </c>
      <c r="M103" s="908">
        <v>2</v>
      </c>
      <c r="N103" s="891">
        <f>L103/'Исп. коэффициенты'!E28</f>
        <v>1.0611287452092272E-2</v>
      </c>
      <c r="O103" s="890"/>
      <c r="P103" s="890"/>
      <c r="Q103" s="892"/>
      <c r="R103" s="890"/>
      <c r="S103" s="890"/>
      <c r="T103" s="890"/>
      <c r="U103" s="890"/>
      <c r="V103" s="890"/>
      <c r="W103" s="892"/>
      <c r="X103" s="890"/>
      <c r="Y103" s="890"/>
      <c r="Z103" s="291"/>
      <c r="AA103" s="440"/>
      <c r="AB103" s="460"/>
      <c r="AC103" s="440"/>
      <c r="AD103" s="444"/>
      <c r="AF103" s="365"/>
      <c r="AJ103" s="472"/>
    </row>
    <row r="104" spans="1:53" ht="14.25" customHeight="1" x14ac:dyDescent="0.25">
      <c r="A104" s="1013"/>
      <c r="B104" s="452" t="s">
        <v>1179</v>
      </c>
      <c r="C104" s="487">
        <f>C94</f>
        <v>19.495759833054819</v>
      </c>
      <c r="D104" s="451"/>
      <c r="E104" s="300" t="s">
        <v>1440</v>
      </c>
      <c r="F104" s="301" t="s">
        <v>1441</v>
      </c>
      <c r="G104" s="302">
        <v>5.92</v>
      </c>
      <c r="H104" s="471">
        <v>1</v>
      </c>
      <c r="I104" s="303">
        <f t="shared" si="8"/>
        <v>5.92</v>
      </c>
      <c r="J104" s="888" t="s">
        <v>1513</v>
      </c>
      <c r="K104" s="891">
        <v>2</v>
      </c>
      <c r="L104" s="891">
        <v>25</v>
      </c>
      <c r="M104" s="908">
        <v>0.5</v>
      </c>
      <c r="N104" s="891">
        <f>L104/'Исп. коэффициенты'!E28</f>
        <v>2.7924440663400717E-3</v>
      </c>
      <c r="O104" s="890"/>
      <c r="P104" s="890"/>
      <c r="Q104" s="892"/>
      <c r="R104" s="890"/>
      <c r="S104" s="890"/>
      <c r="T104" s="890"/>
      <c r="U104" s="890"/>
      <c r="V104" s="890"/>
      <c r="W104" s="892"/>
      <c r="X104" s="890"/>
      <c r="Y104" s="890"/>
      <c r="Z104" s="291"/>
      <c r="AA104" s="440"/>
      <c r="AB104" s="460"/>
      <c r="AC104" s="440"/>
      <c r="AD104" s="444"/>
      <c r="AF104" s="365"/>
      <c r="AJ104" s="472"/>
    </row>
    <row r="105" spans="1:53" ht="14.25" customHeight="1" x14ac:dyDescent="0.25">
      <c r="A105" s="1013"/>
      <c r="B105" s="452" t="s">
        <v>831</v>
      </c>
      <c r="C105" s="492"/>
      <c r="D105" s="451"/>
      <c r="E105" s="300" t="s">
        <v>1442</v>
      </c>
      <c r="F105" s="301" t="s">
        <v>1443</v>
      </c>
      <c r="G105" s="302">
        <v>419.5</v>
      </c>
      <c r="H105" s="301">
        <v>0.01</v>
      </c>
      <c r="I105" s="303">
        <f t="shared" si="8"/>
        <v>4.1950000000000003</v>
      </c>
      <c r="J105" s="888"/>
      <c r="K105" s="918"/>
      <c r="L105" s="891"/>
      <c r="M105" s="891"/>
      <c r="N105" s="891"/>
      <c r="O105" s="890"/>
      <c r="P105" s="890"/>
      <c r="Q105" s="892"/>
      <c r="R105" s="890"/>
      <c r="S105" s="890"/>
      <c r="T105" s="890"/>
      <c r="U105" s="890"/>
      <c r="V105" s="890"/>
      <c r="W105" s="892"/>
      <c r="X105" s="890"/>
      <c r="Y105" s="890"/>
      <c r="Z105" s="291"/>
      <c r="AA105" s="440"/>
      <c r="AB105" s="460"/>
      <c r="AC105" s="440"/>
      <c r="AD105" s="444"/>
      <c r="AF105" s="365"/>
      <c r="AJ105" s="472"/>
    </row>
    <row r="106" spans="1:53" ht="14.25" customHeight="1" x14ac:dyDescent="0.25">
      <c r="A106" s="1013"/>
      <c r="B106" s="469" t="s">
        <v>1178</v>
      </c>
      <c r="C106" s="493">
        <v>1</v>
      </c>
      <c r="D106" s="451"/>
      <c r="E106" s="300" t="s">
        <v>1444</v>
      </c>
      <c r="F106" s="301" t="s">
        <v>1443</v>
      </c>
      <c r="G106" s="302">
        <v>872</v>
      </c>
      <c r="H106" s="301">
        <v>5.0000000000000001E-3</v>
      </c>
      <c r="I106" s="303">
        <f t="shared" si="8"/>
        <v>4.3600000000000003</v>
      </c>
      <c r="J106" s="290"/>
      <c r="K106" s="374"/>
      <c r="L106" s="292"/>
      <c r="M106" s="292"/>
      <c r="N106" s="292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440"/>
      <c r="AB106" s="460"/>
      <c r="AC106" s="440"/>
      <c r="AD106" s="444"/>
      <c r="AF106" s="365"/>
      <c r="AJ106" s="472"/>
    </row>
    <row r="107" spans="1:53" ht="14.25" customHeight="1" x14ac:dyDescent="0.25">
      <c r="A107" s="1013"/>
      <c r="B107" s="452" t="s">
        <v>1179</v>
      </c>
      <c r="C107" s="493">
        <v>0.5</v>
      </c>
      <c r="D107" s="451"/>
      <c r="E107" s="494" t="s">
        <v>1560</v>
      </c>
      <c r="F107" s="376" t="s">
        <v>1558</v>
      </c>
      <c r="G107" s="302">
        <v>73.8</v>
      </c>
      <c r="H107" s="301">
        <v>1</v>
      </c>
      <c r="I107" s="303">
        <f t="shared" si="8"/>
        <v>73.8</v>
      </c>
      <c r="J107" s="290"/>
      <c r="K107" s="374"/>
      <c r="L107" s="305"/>
      <c r="M107" s="304"/>
      <c r="N107" s="292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440"/>
      <c r="AB107" s="460"/>
      <c r="AC107" s="440"/>
      <c r="AD107" s="444"/>
      <c r="AF107" s="365"/>
      <c r="AJ107" s="472"/>
    </row>
    <row r="108" spans="1:53" ht="14.25" customHeight="1" x14ac:dyDescent="0.25">
      <c r="A108" s="1013"/>
      <c r="B108" s="474" t="s">
        <v>1181</v>
      </c>
      <c r="C108" s="487">
        <f>C103*C106+C104*C107</f>
        <v>53.636694431836872</v>
      </c>
      <c r="D108" s="451"/>
      <c r="E108" s="494" t="s">
        <v>13</v>
      </c>
      <c r="F108" s="376" t="s">
        <v>1441</v>
      </c>
      <c r="G108" s="302">
        <v>1.5</v>
      </c>
      <c r="H108" s="301">
        <v>1</v>
      </c>
      <c r="I108" s="303">
        <f t="shared" si="8"/>
        <v>1.5</v>
      </c>
      <c r="J108" s="290"/>
      <c r="K108" s="374"/>
      <c r="L108" s="311"/>
      <c r="M108" s="304"/>
      <c r="N108" s="292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440"/>
      <c r="AB108" s="460"/>
      <c r="AC108" s="440"/>
      <c r="AD108" s="444"/>
      <c r="AF108" s="365"/>
      <c r="AJ108" s="472"/>
    </row>
    <row r="109" spans="1:53" ht="14.25" customHeight="1" x14ac:dyDescent="0.25">
      <c r="A109" s="1014"/>
      <c r="B109" s="318"/>
      <c r="C109" s="493"/>
      <c r="D109" s="451"/>
      <c r="E109" s="494"/>
      <c r="F109" s="376"/>
      <c r="G109" s="302"/>
      <c r="H109" s="301"/>
      <c r="I109" s="303"/>
      <c r="J109" s="290"/>
      <c r="K109" s="374"/>
      <c r="L109" s="292"/>
      <c r="M109" s="304"/>
      <c r="N109" s="292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440"/>
      <c r="AB109" s="460"/>
      <c r="AC109" s="440"/>
      <c r="AD109" s="444"/>
      <c r="AF109" s="365"/>
      <c r="AJ109" s="472"/>
    </row>
    <row r="110" spans="1:53" ht="56.25" customHeight="1" x14ac:dyDescent="0.25">
      <c r="A110" s="1126" t="s">
        <v>1518</v>
      </c>
      <c r="B110" s="439" t="s">
        <v>533</v>
      </c>
      <c r="C110" s="487"/>
      <c r="D110" s="440"/>
      <c r="E110" s="488" t="s">
        <v>488</v>
      </c>
      <c r="F110" s="442" t="s">
        <v>837</v>
      </c>
      <c r="G110" s="439" t="s">
        <v>489</v>
      </c>
      <c r="H110" s="441" t="s">
        <v>1170</v>
      </c>
      <c r="I110" s="442" t="s">
        <v>838</v>
      </c>
      <c r="J110" s="280" t="s">
        <v>1171</v>
      </c>
      <c r="K110" s="280" t="s">
        <v>490</v>
      </c>
      <c r="L110" s="281" t="s">
        <v>489</v>
      </c>
      <c r="M110" s="280" t="s">
        <v>1172</v>
      </c>
      <c r="N110" s="442" t="s">
        <v>838</v>
      </c>
      <c r="O110" s="280" t="s">
        <v>1171</v>
      </c>
      <c r="P110" s="280" t="s">
        <v>826</v>
      </c>
      <c r="Q110" s="280" t="s">
        <v>1173</v>
      </c>
      <c r="R110" s="280" t="s">
        <v>1174</v>
      </c>
      <c r="S110" s="280" t="s">
        <v>839</v>
      </c>
      <c r="T110" s="280" t="s">
        <v>1171</v>
      </c>
      <c r="U110" s="280" t="s">
        <v>1392</v>
      </c>
      <c r="V110" s="280" t="s">
        <v>841</v>
      </c>
      <c r="W110" s="280" t="s">
        <v>841</v>
      </c>
      <c r="X110" s="280" t="s">
        <v>1394</v>
      </c>
      <c r="Y110" s="280" t="s">
        <v>839</v>
      </c>
      <c r="Z110" s="283"/>
      <c r="AA110" s="440"/>
      <c r="AB110" s="460"/>
      <c r="AC110" s="440"/>
      <c r="AD110" s="444"/>
      <c r="AQ110" s="449"/>
      <c r="AR110" s="449"/>
      <c r="AS110" s="449"/>
    </row>
    <row r="111" spans="1:53" ht="12" customHeight="1" x14ac:dyDescent="0.25">
      <c r="A111" s="1126"/>
      <c r="B111" s="450" t="s">
        <v>1175</v>
      </c>
      <c r="C111" s="487">
        <f>C118</f>
        <v>53.636694431836872</v>
      </c>
      <c r="D111" s="489">
        <f>C111*$D$7</f>
        <v>10.834612275231049</v>
      </c>
      <c r="E111" s="490" t="s">
        <v>1176</v>
      </c>
      <c r="F111" s="453"/>
      <c r="G111" s="454"/>
      <c r="H111" s="454"/>
      <c r="I111" s="455">
        <f>SUM(I112:I119)</f>
        <v>16.1997</v>
      </c>
      <c r="J111" s="290" t="s">
        <v>1176</v>
      </c>
      <c r="K111" s="357"/>
      <c r="L111" s="291"/>
      <c r="M111" s="291"/>
      <c r="N111" s="292">
        <f>SUM(N112:N119)</f>
        <v>4.4213899999999997</v>
      </c>
      <c r="O111" s="291" t="s">
        <v>1176</v>
      </c>
      <c r="P111" s="291"/>
      <c r="Q111" s="293"/>
      <c r="R111" s="294"/>
      <c r="S111" s="292">
        <f>SUM(S112:S119)</f>
        <v>8.1902000000000008</v>
      </c>
      <c r="T111" s="292"/>
      <c r="U111" s="292"/>
      <c r="V111" s="292"/>
      <c r="W111" s="292"/>
      <c r="X111" s="292"/>
      <c r="Y111" s="292">
        <f>SUM(Y112:Y119)</f>
        <v>9.1999999999999998E-3</v>
      </c>
      <c r="Z111" s="296">
        <f>(C111+D111+I111+N111+S111+Y111)*$Z$7</f>
        <v>121.29684591724236</v>
      </c>
      <c r="AA111" s="459">
        <f>C111+D111+I111+N111+S111+Y111+Z111</f>
        <v>214.5886426243103</v>
      </c>
      <c r="AB111" s="460">
        <v>0.3</v>
      </c>
      <c r="AC111" s="461">
        <f>AA111*(1+AB111)</f>
        <v>278.96523541160337</v>
      </c>
      <c r="AD111" s="448"/>
      <c r="AI111" s="449"/>
      <c r="AJ111" s="462"/>
      <c r="AK111" s="463"/>
      <c r="AM111" s="464"/>
      <c r="AN111" s="143"/>
      <c r="AO111" s="464"/>
      <c r="AP111" s="449"/>
      <c r="AQ111" s="449"/>
      <c r="AR111" s="449"/>
      <c r="AS111" s="449"/>
      <c r="AT111" s="449"/>
      <c r="AU111" s="464"/>
      <c r="AV111" s="464"/>
      <c r="AW111" s="465"/>
    </row>
    <row r="112" spans="1:53" ht="12.75" customHeight="1" x14ac:dyDescent="0.25">
      <c r="A112" s="1126"/>
      <c r="B112" s="466" t="s">
        <v>830</v>
      </c>
      <c r="C112" s="487"/>
      <c r="D112" s="451"/>
      <c r="E112" s="300" t="s">
        <v>1437</v>
      </c>
      <c r="F112" s="301" t="s">
        <v>1438</v>
      </c>
      <c r="G112" s="302">
        <v>0.74</v>
      </c>
      <c r="H112" s="301">
        <v>0.3</v>
      </c>
      <c r="I112" s="303">
        <f t="shared" ref="I112:I117" si="9">G112*H112</f>
        <v>0.222</v>
      </c>
      <c r="J112" s="290" t="s">
        <v>1291</v>
      </c>
      <c r="K112" s="304">
        <v>2</v>
      </c>
      <c r="L112" s="305">
        <v>750</v>
      </c>
      <c r="M112" s="304">
        <v>2</v>
      </c>
      <c r="N112" s="292">
        <v>1.1745000000000001</v>
      </c>
      <c r="O112" s="467" t="s">
        <v>1578</v>
      </c>
      <c r="P112" s="291">
        <v>188900</v>
      </c>
      <c r="Q112" s="372">
        <v>0.19670000000000001</v>
      </c>
      <c r="R112" s="291">
        <f>P112*Q112</f>
        <v>37156.630000000005</v>
      </c>
      <c r="S112" s="291">
        <v>8.1902000000000008</v>
      </c>
      <c r="T112" s="458" t="s">
        <v>1435</v>
      </c>
      <c r="U112" s="456">
        <v>6785401.3499999996</v>
      </c>
      <c r="V112" s="457">
        <v>1.32E-2</v>
      </c>
      <c r="W112" s="458">
        <v>1508.3</v>
      </c>
      <c r="X112" s="292">
        <v>59.38</v>
      </c>
      <c r="Y112" s="291">
        <v>9.1999999999999998E-3</v>
      </c>
      <c r="Z112" s="291"/>
      <c r="AA112" s="440"/>
      <c r="AB112" s="460"/>
      <c r="AC112" s="440"/>
      <c r="AD112" s="444"/>
      <c r="AF112" s="365"/>
      <c r="AJ112" s="468"/>
    </row>
    <row r="113" spans="1:49" x14ac:dyDescent="0.25">
      <c r="A113" s="1126"/>
      <c r="B113" s="469" t="s">
        <v>1178</v>
      </c>
      <c r="C113" s="491">
        <f>C103</f>
        <v>43.888814515309463</v>
      </c>
      <c r="D113" s="451"/>
      <c r="E113" s="300" t="s">
        <v>1439</v>
      </c>
      <c r="F113" s="301" t="s">
        <v>1438</v>
      </c>
      <c r="G113" s="302">
        <v>0.27</v>
      </c>
      <c r="H113" s="301">
        <v>0.01</v>
      </c>
      <c r="I113" s="303">
        <f t="shared" si="9"/>
        <v>2.7000000000000001E-3</v>
      </c>
      <c r="J113" s="290" t="s">
        <v>1445</v>
      </c>
      <c r="K113" s="292">
        <v>2</v>
      </c>
      <c r="L113" s="311">
        <v>95</v>
      </c>
      <c r="M113" s="304">
        <v>2</v>
      </c>
      <c r="N113" s="292">
        <v>3.1146400000000001</v>
      </c>
      <c r="O113" s="291"/>
      <c r="P113" s="291"/>
      <c r="Q113" s="372"/>
      <c r="R113" s="291"/>
      <c r="S113" s="291"/>
      <c r="T113" s="291"/>
      <c r="U113" s="291"/>
      <c r="V113" s="291"/>
      <c r="W113" s="372"/>
      <c r="X113" s="291"/>
      <c r="Y113" s="291"/>
      <c r="Z113" s="291"/>
      <c r="AA113" s="440"/>
      <c r="AB113" s="460"/>
      <c r="AC113" s="440"/>
      <c r="AD113" s="444"/>
      <c r="AF113" s="365"/>
      <c r="AJ113" s="468"/>
      <c r="AM113" s="465"/>
    </row>
    <row r="114" spans="1:49" ht="12.75" customHeight="1" x14ac:dyDescent="0.25">
      <c r="A114" s="1126"/>
      <c r="B114" s="452" t="s">
        <v>1179</v>
      </c>
      <c r="C114" s="487">
        <f>C104</f>
        <v>19.495759833054819</v>
      </c>
      <c r="D114" s="451"/>
      <c r="E114" s="300" t="s">
        <v>1440</v>
      </c>
      <c r="F114" s="301" t="s">
        <v>1441</v>
      </c>
      <c r="G114" s="302">
        <v>5.92</v>
      </c>
      <c r="H114" s="471">
        <v>1</v>
      </c>
      <c r="I114" s="303">
        <f t="shared" si="9"/>
        <v>5.92</v>
      </c>
      <c r="J114" s="290" t="s">
        <v>1513</v>
      </c>
      <c r="K114" s="292">
        <v>2</v>
      </c>
      <c r="L114" s="292">
        <v>25</v>
      </c>
      <c r="M114" s="304">
        <v>0.5</v>
      </c>
      <c r="N114" s="292">
        <v>0.13225000000000001</v>
      </c>
      <c r="O114" s="291"/>
      <c r="P114" s="291"/>
      <c r="Q114" s="372"/>
      <c r="R114" s="291"/>
      <c r="S114" s="291"/>
      <c r="T114" s="291"/>
      <c r="U114" s="291"/>
      <c r="V114" s="291"/>
      <c r="W114" s="372"/>
      <c r="X114" s="291"/>
      <c r="Y114" s="291"/>
      <c r="Z114" s="291"/>
      <c r="AA114" s="440"/>
      <c r="AB114" s="460"/>
      <c r="AC114" s="440"/>
      <c r="AD114" s="444"/>
      <c r="AF114" s="365"/>
      <c r="AJ114" s="468"/>
    </row>
    <row r="115" spans="1:49" ht="12.75" customHeight="1" x14ac:dyDescent="0.25">
      <c r="A115" s="1126"/>
      <c r="B115" s="452" t="s">
        <v>831</v>
      </c>
      <c r="C115" s="492"/>
      <c r="D115" s="451"/>
      <c r="E115" s="300" t="s">
        <v>1442</v>
      </c>
      <c r="F115" s="301" t="s">
        <v>1443</v>
      </c>
      <c r="G115" s="302">
        <v>419.5</v>
      </c>
      <c r="H115" s="301">
        <v>0.01</v>
      </c>
      <c r="I115" s="303">
        <f t="shared" si="9"/>
        <v>4.1950000000000003</v>
      </c>
      <c r="J115" s="290"/>
      <c r="K115" s="374"/>
      <c r="L115" s="292"/>
      <c r="M115" s="292"/>
      <c r="N115" s="292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440"/>
      <c r="AB115" s="460"/>
      <c r="AC115" s="440"/>
      <c r="AD115" s="444"/>
      <c r="AF115" s="365"/>
      <c r="AJ115" s="468"/>
    </row>
    <row r="116" spans="1:49" ht="12.75" customHeight="1" x14ac:dyDescent="0.25">
      <c r="A116" s="1126"/>
      <c r="B116" s="469" t="s">
        <v>1178</v>
      </c>
      <c r="C116" s="493">
        <v>1</v>
      </c>
      <c r="D116" s="451"/>
      <c r="E116" s="300" t="s">
        <v>1444</v>
      </c>
      <c r="F116" s="301" t="s">
        <v>1443</v>
      </c>
      <c r="G116" s="302">
        <v>872</v>
      </c>
      <c r="H116" s="301">
        <v>5.0000000000000001E-3</v>
      </c>
      <c r="I116" s="303">
        <f t="shared" si="9"/>
        <v>4.3600000000000003</v>
      </c>
      <c r="J116" s="290"/>
      <c r="K116" s="374"/>
      <c r="L116" s="292"/>
      <c r="M116" s="292"/>
      <c r="N116" s="292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440"/>
      <c r="AB116" s="460"/>
      <c r="AC116" s="440"/>
      <c r="AD116" s="444"/>
      <c r="AF116" s="365"/>
      <c r="AJ116" s="472"/>
    </row>
    <row r="117" spans="1:49" ht="12.75" customHeight="1" x14ac:dyDescent="0.25">
      <c r="A117" s="1126"/>
      <c r="B117" s="452" t="s">
        <v>1179</v>
      </c>
      <c r="C117" s="493">
        <v>0.5</v>
      </c>
      <c r="D117" s="451"/>
      <c r="E117" s="494" t="s">
        <v>13</v>
      </c>
      <c r="F117" s="376" t="s">
        <v>1441</v>
      </c>
      <c r="G117" s="302">
        <v>1.5</v>
      </c>
      <c r="H117" s="301">
        <v>1</v>
      </c>
      <c r="I117" s="303">
        <f t="shared" si="9"/>
        <v>1.5</v>
      </c>
      <c r="J117" s="290"/>
      <c r="K117" s="374"/>
      <c r="L117" s="305"/>
      <c r="M117" s="304"/>
      <c r="N117" s="292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440"/>
      <c r="AB117" s="460"/>
      <c r="AC117" s="440"/>
      <c r="AD117" s="444"/>
      <c r="AF117" s="365"/>
      <c r="AJ117" s="472"/>
    </row>
    <row r="118" spans="1:49" ht="12.75" customHeight="1" x14ac:dyDescent="0.25">
      <c r="A118" s="1126"/>
      <c r="B118" s="474" t="s">
        <v>1181</v>
      </c>
      <c r="C118" s="487">
        <f>C113*C116+C114*C117</f>
        <v>53.636694431836872</v>
      </c>
      <c r="D118" s="451"/>
      <c r="E118" s="494"/>
      <c r="F118" s="376"/>
      <c r="G118" s="302"/>
      <c r="H118" s="301"/>
      <c r="I118" s="303"/>
      <c r="J118" s="290"/>
      <c r="K118" s="374"/>
      <c r="L118" s="311"/>
      <c r="M118" s="304"/>
      <c r="N118" s="292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440"/>
      <c r="AB118" s="460"/>
      <c r="AC118" s="440"/>
      <c r="AD118" s="444"/>
      <c r="AF118" s="365"/>
      <c r="AJ118" s="468"/>
    </row>
    <row r="119" spans="1:49" ht="13.5" customHeight="1" x14ac:dyDescent="0.25">
      <c r="A119" s="1126"/>
      <c r="B119" s="474"/>
      <c r="C119" s="493"/>
      <c r="D119" s="451"/>
      <c r="E119" s="494"/>
      <c r="F119" s="376"/>
      <c r="G119" s="302"/>
      <c r="H119" s="301"/>
      <c r="I119" s="303"/>
      <c r="J119" s="290"/>
      <c r="K119" s="374"/>
      <c r="L119" s="292"/>
      <c r="M119" s="304"/>
      <c r="N119" s="292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440"/>
      <c r="AB119" s="460"/>
      <c r="AC119" s="440"/>
      <c r="AD119" s="444"/>
      <c r="AF119" s="365"/>
      <c r="AJ119" s="472"/>
    </row>
    <row r="120" spans="1:49" ht="42" customHeight="1" x14ac:dyDescent="0.25">
      <c r="A120" s="1136" t="s">
        <v>1519</v>
      </c>
      <c r="B120" s="439" t="s">
        <v>533</v>
      </c>
      <c r="C120" s="487"/>
      <c r="D120" s="495"/>
      <c r="E120" s="441" t="s">
        <v>488</v>
      </c>
      <c r="F120" s="442" t="s">
        <v>837</v>
      </c>
      <c r="G120" s="439" t="s">
        <v>489</v>
      </c>
      <c r="H120" s="441" t="s">
        <v>1170</v>
      </c>
      <c r="I120" s="442" t="s">
        <v>838</v>
      </c>
      <c r="J120" s="280" t="s">
        <v>1171</v>
      </c>
      <c r="K120" s="280" t="s">
        <v>490</v>
      </c>
      <c r="L120" s="281" t="s">
        <v>489</v>
      </c>
      <c r="M120" s="280" t="s">
        <v>1172</v>
      </c>
      <c r="N120" s="442" t="s">
        <v>838</v>
      </c>
      <c r="O120" s="280" t="s">
        <v>1171</v>
      </c>
      <c r="P120" s="280" t="s">
        <v>826</v>
      </c>
      <c r="Q120" s="280" t="s">
        <v>1173</v>
      </c>
      <c r="R120" s="280" t="s">
        <v>1174</v>
      </c>
      <c r="S120" s="280" t="s">
        <v>839</v>
      </c>
      <c r="T120" s="280" t="s">
        <v>1171</v>
      </c>
      <c r="U120" s="280" t="s">
        <v>1392</v>
      </c>
      <c r="V120" s="280" t="s">
        <v>841</v>
      </c>
      <c r="W120" s="280" t="s">
        <v>841</v>
      </c>
      <c r="X120" s="280" t="s">
        <v>1394</v>
      </c>
      <c r="Y120" s="280" t="s">
        <v>839</v>
      </c>
      <c r="Z120" s="283"/>
      <c r="AA120" s="440"/>
      <c r="AB120" s="460"/>
      <c r="AC120" s="440"/>
      <c r="AD120" s="444"/>
      <c r="AQ120" s="449"/>
      <c r="AR120" s="449"/>
      <c r="AS120" s="449"/>
    </row>
    <row r="121" spans="1:49" ht="16.5" customHeight="1" x14ac:dyDescent="0.25">
      <c r="A121" s="1136"/>
      <c r="B121" s="450" t="s">
        <v>1175</v>
      </c>
      <c r="C121" s="439">
        <f>C128</f>
        <v>53.636694431836872</v>
      </c>
      <c r="D121" s="496">
        <f>C121*$D$7</f>
        <v>10.834612275231049</v>
      </c>
      <c r="E121" s="452" t="s">
        <v>1176</v>
      </c>
      <c r="F121" s="453"/>
      <c r="G121" s="454"/>
      <c r="H121" s="454"/>
      <c r="I121" s="455">
        <f>SUM(I122:I129)</f>
        <v>16.0517</v>
      </c>
      <c r="J121" s="290" t="s">
        <v>1176</v>
      </c>
      <c r="K121" s="357"/>
      <c r="L121" s="291"/>
      <c r="M121" s="291"/>
      <c r="N121" s="292">
        <f>SUM(N122:N129)</f>
        <v>4.4213899999999997</v>
      </c>
      <c r="O121" s="291" t="s">
        <v>1176</v>
      </c>
      <c r="P121" s="291"/>
      <c r="Q121" s="293"/>
      <c r="R121" s="294"/>
      <c r="S121" s="292">
        <f>SUM(S122:S129)</f>
        <v>8.1902000000000008</v>
      </c>
      <c r="T121" s="292"/>
      <c r="U121" s="292"/>
      <c r="V121" s="292"/>
      <c r="W121" s="292"/>
      <c r="X121" s="292"/>
      <c r="Y121" s="292">
        <f>SUM(Y122:Y129)</f>
        <v>9.1999999999999998E-3</v>
      </c>
      <c r="Z121" s="296">
        <f>(C121+D121+I121+N121+S121+Y121)*$Z$7</f>
        <v>121.10441813870872</v>
      </c>
      <c r="AA121" s="459">
        <f>C121+D121+I121+N121+S121+Y121+Z121</f>
        <v>214.24821484577666</v>
      </c>
      <c r="AB121" s="460">
        <v>0.3</v>
      </c>
      <c r="AC121" s="461">
        <f>AA121*(1+AB121)</f>
        <v>278.52267929950966</v>
      </c>
      <c r="AD121" s="448"/>
      <c r="AI121" s="449"/>
      <c r="AJ121" s="462"/>
      <c r="AK121" s="463"/>
      <c r="AM121" s="464"/>
      <c r="AN121" s="143"/>
      <c r="AO121" s="464"/>
      <c r="AP121" s="449"/>
      <c r="AQ121" s="449"/>
      <c r="AR121" s="449"/>
      <c r="AS121" s="449"/>
      <c r="AT121" s="449"/>
      <c r="AU121" s="464"/>
      <c r="AV121" s="464"/>
      <c r="AW121" s="465"/>
    </row>
    <row r="122" spans="1:49" ht="21.75" customHeight="1" x14ac:dyDescent="0.25">
      <c r="A122" s="1136"/>
      <c r="B122" s="466" t="s">
        <v>830</v>
      </c>
      <c r="C122" s="439"/>
      <c r="E122" s="300" t="s">
        <v>1437</v>
      </c>
      <c r="F122" s="301" t="s">
        <v>1438</v>
      </c>
      <c r="G122" s="302">
        <v>0.74</v>
      </c>
      <c r="H122" s="301">
        <v>0.1</v>
      </c>
      <c r="I122" s="303">
        <f t="shared" ref="I122:I127" si="10">G122*H122</f>
        <v>7.3999999999999996E-2</v>
      </c>
      <c r="J122" s="290" t="s">
        <v>1291</v>
      </c>
      <c r="K122" s="304">
        <v>2</v>
      </c>
      <c r="L122" s="305">
        <v>750</v>
      </c>
      <c r="M122" s="304">
        <v>2</v>
      </c>
      <c r="N122" s="292">
        <v>1.1745000000000001</v>
      </c>
      <c r="O122" s="467" t="s">
        <v>1578</v>
      </c>
      <c r="P122" s="291">
        <v>188900</v>
      </c>
      <c r="Q122" s="372">
        <v>0.19670000000000001</v>
      </c>
      <c r="R122" s="291">
        <f>P122*Q122</f>
        <v>37156.630000000005</v>
      </c>
      <c r="S122" s="291">
        <v>8.1902000000000008</v>
      </c>
      <c r="T122" s="458" t="s">
        <v>1435</v>
      </c>
      <c r="U122" s="456">
        <v>6785401.3499999996</v>
      </c>
      <c r="V122" s="457">
        <v>1.32E-2</v>
      </c>
      <c r="W122" s="458">
        <v>1508.3</v>
      </c>
      <c r="X122" s="292">
        <v>59.38</v>
      </c>
      <c r="Y122" s="291">
        <v>9.1999999999999998E-3</v>
      </c>
      <c r="Z122" s="291"/>
      <c r="AA122" s="440"/>
      <c r="AB122" s="460"/>
      <c r="AC122" s="440"/>
      <c r="AD122" s="444"/>
      <c r="AF122" s="365"/>
      <c r="AJ122" s="468"/>
    </row>
    <row r="123" spans="1:49" ht="16.5" customHeight="1" x14ac:dyDescent="0.25">
      <c r="A123" s="1136"/>
      <c r="B123" s="469" t="s">
        <v>1178</v>
      </c>
      <c r="C123" s="491">
        <f>C113</f>
        <v>43.888814515309463</v>
      </c>
      <c r="D123" s="451"/>
      <c r="E123" s="300" t="s">
        <v>1439</v>
      </c>
      <c r="F123" s="301" t="s">
        <v>1438</v>
      </c>
      <c r="G123" s="302">
        <v>0.27</v>
      </c>
      <c r="H123" s="301">
        <v>0.01</v>
      </c>
      <c r="I123" s="303">
        <f t="shared" si="10"/>
        <v>2.7000000000000001E-3</v>
      </c>
      <c r="J123" s="290" t="s">
        <v>1445</v>
      </c>
      <c r="K123" s="292">
        <v>2</v>
      </c>
      <c r="L123" s="311">
        <v>95</v>
      </c>
      <c r="M123" s="304">
        <v>2</v>
      </c>
      <c r="N123" s="292">
        <v>3.1146400000000001</v>
      </c>
      <c r="O123" s="291"/>
      <c r="P123" s="291"/>
      <c r="Q123" s="372"/>
      <c r="R123" s="291"/>
      <c r="S123" s="291"/>
      <c r="T123" s="291"/>
      <c r="U123" s="291"/>
      <c r="V123" s="291"/>
      <c r="W123" s="372"/>
      <c r="X123" s="291"/>
      <c r="Y123" s="291"/>
      <c r="Z123" s="291"/>
      <c r="AA123" s="440"/>
      <c r="AB123" s="460"/>
      <c r="AC123" s="440"/>
      <c r="AD123" s="444"/>
      <c r="AF123" s="365"/>
      <c r="AJ123" s="468"/>
      <c r="AM123" s="465"/>
    </row>
    <row r="124" spans="1:49" ht="16.5" customHeight="1" x14ac:dyDescent="0.25">
      <c r="A124" s="1136"/>
      <c r="B124" s="452" t="s">
        <v>1179</v>
      </c>
      <c r="C124" s="487">
        <f>C114</f>
        <v>19.495759833054819</v>
      </c>
      <c r="D124" s="451"/>
      <c r="E124" s="300" t="s">
        <v>1440</v>
      </c>
      <c r="F124" s="301" t="s">
        <v>1441</v>
      </c>
      <c r="G124" s="302">
        <v>5.92</v>
      </c>
      <c r="H124" s="471">
        <v>1</v>
      </c>
      <c r="I124" s="303">
        <f t="shared" si="10"/>
        <v>5.92</v>
      </c>
      <c r="J124" s="290" t="s">
        <v>1513</v>
      </c>
      <c r="K124" s="292">
        <v>2</v>
      </c>
      <c r="L124" s="292">
        <v>25</v>
      </c>
      <c r="M124" s="304">
        <v>0.5</v>
      </c>
      <c r="N124" s="292">
        <v>0.13225000000000001</v>
      </c>
      <c r="O124" s="291"/>
      <c r="P124" s="291"/>
      <c r="Q124" s="372"/>
      <c r="R124" s="291"/>
      <c r="S124" s="291"/>
      <c r="T124" s="291"/>
      <c r="U124" s="291"/>
      <c r="V124" s="291"/>
      <c r="W124" s="372"/>
      <c r="X124" s="291"/>
      <c r="Y124" s="291"/>
      <c r="Z124" s="291"/>
      <c r="AA124" s="440"/>
      <c r="AB124" s="460"/>
      <c r="AC124" s="440"/>
      <c r="AD124" s="444"/>
      <c r="AF124" s="365"/>
      <c r="AJ124" s="468"/>
    </row>
    <row r="125" spans="1:49" ht="16.5" customHeight="1" x14ac:dyDescent="0.25">
      <c r="A125" s="1136"/>
      <c r="B125" s="452" t="s">
        <v>831</v>
      </c>
      <c r="C125" s="492"/>
      <c r="D125" s="451"/>
      <c r="E125" s="300" t="s">
        <v>1442</v>
      </c>
      <c r="F125" s="301" t="s">
        <v>1443</v>
      </c>
      <c r="G125" s="302">
        <v>419.5</v>
      </c>
      <c r="H125" s="301">
        <v>0.01</v>
      </c>
      <c r="I125" s="303">
        <f t="shared" si="10"/>
        <v>4.1950000000000003</v>
      </c>
      <c r="J125" s="290"/>
      <c r="K125" s="374"/>
      <c r="L125" s="292"/>
      <c r="M125" s="292"/>
      <c r="N125" s="292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440"/>
      <c r="AB125" s="460"/>
      <c r="AC125" s="440"/>
      <c r="AD125" s="444"/>
      <c r="AF125" s="365"/>
      <c r="AJ125" s="468"/>
    </row>
    <row r="126" spans="1:49" ht="16.5" customHeight="1" x14ac:dyDescent="0.25">
      <c r="A126" s="1136"/>
      <c r="B126" s="469" t="s">
        <v>1178</v>
      </c>
      <c r="C126" s="493">
        <v>1</v>
      </c>
      <c r="D126" s="451"/>
      <c r="E126" s="300" t="s">
        <v>1444</v>
      </c>
      <c r="F126" s="301" t="s">
        <v>1443</v>
      </c>
      <c r="G126" s="302">
        <v>872</v>
      </c>
      <c r="H126" s="301">
        <v>5.0000000000000001E-3</v>
      </c>
      <c r="I126" s="303">
        <f t="shared" si="10"/>
        <v>4.3600000000000003</v>
      </c>
      <c r="J126" s="290"/>
      <c r="K126" s="374"/>
      <c r="L126" s="292"/>
      <c r="M126" s="292"/>
      <c r="N126" s="292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440"/>
      <c r="AB126" s="460"/>
      <c r="AC126" s="440"/>
      <c r="AD126" s="444"/>
      <c r="AF126" s="365"/>
      <c r="AJ126" s="472"/>
    </row>
    <row r="127" spans="1:49" ht="16.5" customHeight="1" x14ac:dyDescent="0.25">
      <c r="A127" s="1136"/>
      <c r="B127" s="452" t="s">
        <v>1179</v>
      </c>
      <c r="C127" s="493">
        <v>0.5</v>
      </c>
      <c r="D127" s="451"/>
      <c r="E127" s="494" t="s">
        <v>13</v>
      </c>
      <c r="F127" s="376" t="s">
        <v>1441</v>
      </c>
      <c r="G127" s="302">
        <v>1.5</v>
      </c>
      <c r="H127" s="301">
        <v>1</v>
      </c>
      <c r="I127" s="303">
        <f t="shared" si="10"/>
        <v>1.5</v>
      </c>
      <c r="J127" s="290"/>
      <c r="K127" s="374"/>
      <c r="L127" s="305"/>
      <c r="M127" s="304"/>
      <c r="N127" s="292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440"/>
      <c r="AB127" s="460"/>
      <c r="AC127" s="440"/>
      <c r="AD127" s="444"/>
      <c r="AF127" s="365"/>
      <c r="AJ127" s="472"/>
    </row>
    <row r="128" spans="1:49" ht="16.5" customHeight="1" x14ac:dyDescent="0.25">
      <c r="A128" s="1136"/>
      <c r="B128" s="474" t="s">
        <v>1181</v>
      </c>
      <c r="C128" s="487">
        <f>C123*C126+C124*C127</f>
        <v>53.636694431836872</v>
      </c>
      <c r="D128" s="451"/>
      <c r="E128" s="494"/>
      <c r="F128" s="376"/>
      <c r="G128" s="302"/>
      <c r="H128" s="301"/>
      <c r="I128" s="303"/>
      <c r="J128" s="290"/>
      <c r="K128" s="374"/>
      <c r="L128" s="311"/>
      <c r="M128" s="304"/>
      <c r="N128" s="292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440"/>
      <c r="AB128" s="460"/>
      <c r="AC128" s="440"/>
      <c r="AD128" s="444"/>
      <c r="AF128" s="365"/>
      <c r="AJ128" s="468"/>
    </row>
    <row r="129" spans="1:53" ht="16.5" customHeight="1" x14ac:dyDescent="0.25">
      <c r="A129" s="1136"/>
      <c r="B129" s="474"/>
      <c r="C129" s="493"/>
      <c r="D129" s="451"/>
      <c r="E129" s="494"/>
      <c r="F129" s="376"/>
      <c r="G129" s="302"/>
      <c r="H129" s="301"/>
      <c r="I129" s="303"/>
      <c r="J129" s="290"/>
      <c r="K129" s="374"/>
      <c r="L129" s="292"/>
      <c r="M129" s="304"/>
      <c r="N129" s="292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440"/>
      <c r="AB129" s="460"/>
      <c r="AC129" s="440"/>
      <c r="AD129" s="444"/>
      <c r="AF129" s="365"/>
      <c r="AJ129" s="472"/>
    </row>
    <row r="130" spans="1:53" s="690" customFormat="1" ht="35.25" customHeight="1" x14ac:dyDescent="0.25">
      <c r="A130" s="1122" t="s">
        <v>1566</v>
      </c>
      <c r="B130" s="871" t="s">
        <v>534</v>
      </c>
      <c r="C130" s="924"/>
      <c r="D130" s="934"/>
      <c r="E130" s="872" t="s">
        <v>488</v>
      </c>
      <c r="F130" s="873" t="s">
        <v>837</v>
      </c>
      <c r="G130" s="871" t="s">
        <v>489</v>
      </c>
      <c r="H130" s="872" t="s">
        <v>1170</v>
      </c>
      <c r="I130" s="873" t="s">
        <v>838</v>
      </c>
      <c r="J130" s="874" t="s">
        <v>1171</v>
      </c>
      <c r="K130" s="874" t="s">
        <v>490</v>
      </c>
      <c r="L130" s="875" t="s">
        <v>489</v>
      </c>
      <c r="M130" s="874" t="s">
        <v>1172</v>
      </c>
      <c r="N130" s="873" t="s">
        <v>838</v>
      </c>
      <c r="O130" s="874" t="s">
        <v>1171</v>
      </c>
      <c r="P130" s="874" t="s">
        <v>826</v>
      </c>
      <c r="Q130" s="874" t="s">
        <v>1173</v>
      </c>
      <c r="R130" s="874" t="s">
        <v>1174</v>
      </c>
      <c r="S130" s="874" t="s">
        <v>839</v>
      </c>
      <c r="T130" s="874" t="s">
        <v>1171</v>
      </c>
      <c r="U130" s="874" t="s">
        <v>1392</v>
      </c>
      <c r="V130" s="874" t="s">
        <v>841</v>
      </c>
      <c r="W130" s="874" t="s">
        <v>841</v>
      </c>
      <c r="X130" s="874" t="s">
        <v>1394</v>
      </c>
      <c r="Y130" s="874" t="s">
        <v>839</v>
      </c>
      <c r="Z130" s="877"/>
      <c r="AA130" s="830"/>
      <c r="AB130" s="897"/>
      <c r="AC130" s="830"/>
      <c r="AD130" s="878"/>
      <c r="AF130" s="879"/>
      <c r="AG130" s="878"/>
      <c r="AH130" s="878"/>
      <c r="AI130" s="878"/>
      <c r="AJ130" s="878"/>
      <c r="AK130" s="878"/>
      <c r="AL130" s="880"/>
      <c r="AM130" s="878"/>
      <c r="AN130" s="878"/>
      <c r="AO130" s="881"/>
      <c r="AP130" s="878"/>
      <c r="AQ130" s="882"/>
      <c r="AR130" s="882"/>
      <c r="AS130" s="882"/>
      <c r="AT130" s="878"/>
      <c r="AU130" s="878"/>
      <c r="AV130" s="881"/>
      <c r="AW130" s="878"/>
      <c r="AX130" s="878"/>
      <c r="AY130" s="878"/>
      <c r="AZ130" s="878"/>
      <c r="BA130" s="878"/>
    </row>
    <row r="131" spans="1:53" s="690" customFormat="1" ht="16.5" customHeight="1" x14ac:dyDescent="0.25">
      <c r="A131" s="1122"/>
      <c r="B131" s="883" t="s">
        <v>1175</v>
      </c>
      <c r="C131" s="871">
        <f>C138</f>
        <v>33.008951609641429</v>
      </c>
      <c r="D131" s="935">
        <f>C131*$D$7</f>
        <v>6.667808225147569</v>
      </c>
      <c r="E131" s="885" t="s">
        <v>1176</v>
      </c>
      <c r="F131" s="886"/>
      <c r="G131" s="887"/>
      <c r="H131" s="887"/>
      <c r="I131" s="749">
        <f>SUM(I132:I139)</f>
        <v>13.9542</v>
      </c>
      <c r="J131" s="888" t="s">
        <v>1176</v>
      </c>
      <c r="K131" s="889"/>
      <c r="L131" s="890"/>
      <c r="M131" s="890"/>
      <c r="N131" s="891">
        <f>SUM(N132:N139)</f>
        <v>9.7177053508634495E-2</v>
      </c>
      <c r="O131" s="890" t="s">
        <v>1176</v>
      </c>
      <c r="P131" s="890"/>
      <c r="Q131" s="928"/>
      <c r="R131" s="893"/>
      <c r="S131" s="891">
        <f>SUM(S132:S139)</f>
        <v>4.1503124387477399</v>
      </c>
      <c r="T131" s="891"/>
      <c r="U131" s="891"/>
      <c r="V131" s="891"/>
      <c r="W131" s="891"/>
      <c r="X131" s="891"/>
      <c r="Y131" s="891">
        <f>SUM(Y132:Y139)</f>
        <v>10.307632433223615</v>
      </c>
      <c r="Z131" s="895">
        <f>(C131+D131+I131+N131+S131+Y131)*$Z$7</f>
        <v>88.654704324600402</v>
      </c>
      <c r="AA131" s="896">
        <f>C131+D131+I131+N131+S131+Y131+Z131</f>
        <v>156.84078608486939</v>
      </c>
      <c r="AB131" s="897">
        <v>0.3</v>
      </c>
      <c r="AC131" s="898">
        <f>AA131*(1+AB131)</f>
        <v>203.89302191033022</v>
      </c>
      <c r="AD131" s="881"/>
      <c r="AF131" s="879"/>
      <c r="AG131" s="878"/>
      <c r="AH131" s="878"/>
      <c r="AI131" s="882"/>
      <c r="AJ131" s="899"/>
      <c r="AK131" s="900"/>
      <c r="AL131" s="880"/>
      <c r="AM131" s="901"/>
      <c r="AN131" s="818"/>
      <c r="AO131" s="901"/>
      <c r="AP131" s="882"/>
      <c r="AQ131" s="882"/>
      <c r="AR131" s="882"/>
      <c r="AS131" s="882"/>
      <c r="AT131" s="882"/>
      <c r="AU131" s="901"/>
      <c r="AV131" s="901"/>
      <c r="AW131" s="902"/>
      <c r="AX131" s="878"/>
      <c r="AY131" s="878"/>
      <c r="AZ131" s="878"/>
      <c r="BA131" s="878"/>
    </row>
    <row r="132" spans="1:53" s="690" customFormat="1" ht="21.75" customHeight="1" x14ac:dyDescent="0.25">
      <c r="A132" s="1122"/>
      <c r="B132" s="903" t="s">
        <v>830</v>
      </c>
      <c r="C132" s="871"/>
      <c r="E132" s="904" t="s">
        <v>1437</v>
      </c>
      <c r="F132" s="905" t="s">
        <v>1438</v>
      </c>
      <c r="G132" s="906">
        <v>0.74</v>
      </c>
      <c r="H132" s="905">
        <v>0.1</v>
      </c>
      <c r="I132" s="907">
        <f t="shared" ref="I132:I137" si="11">G132*H132</f>
        <v>7.3999999999999996E-2</v>
      </c>
      <c r="J132" s="888" t="s">
        <v>1291</v>
      </c>
      <c r="K132" s="908">
        <v>2</v>
      </c>
      <c r="L132" s="909">
        <v>750</v>
      </c>
      <c r="M132" s="908">
        <v>2</v>
      </c>
      <c r="N132" s="891">
        <f>L132/'Исп. коэффициенты'!E28</f>
        <v>8.377332199020214E-2</v>
      </c>
      <c r="O132" s="910" t="s">
        <v>1578</v>
      </c>
      <c r="P132" s="890">
        <v>188900</v>
      </c>
      <c r="Q132" s="892">
        <v>0.19670000000000001</v>
      </c>
      <c r="R132" s="890">
        <f>P132*Q132</f>
        <v>37156.630000000005</v>
      </c>
      <c r="S132" s="890">
        <f>R132/'Исп. коэффициенты'!E28</f>
        <v>4.1503124387477399</v>
      </c>
      <c r="T132" s="830" t="s">
        <v>1435</v>
      </c>
      <c r="U132" s="887">
        <v>6785401.3499999996</v>
      </c>
      <c r="V132" s="894">
        <v>1.3599999999999999E-2</v>
      </c>
      <c r="W132" s="830">
        <f>'Исп. коэффициенты'!E124</f>
        <v>2978.5</v>
      </c>
      <c r="X132" s="891">
        <f>U132*V132</f>
        <v>92281.45835999999</v>
      </c>
      <c r="Y132" s="890">
        <f>X132/'Исп. коэффициенты'!E28</f>
        <v>10.307632433223615</v>
      </c>
      <c r="Z132" s="890"/>
      <c r="AA132" s="830"/>
      <c r="AB132" s="897"/>
      <c r="AC132" s="830"/>
      <c r="AD132" s="878"/>
      <c r="AF132" s="911"/>
      <c r="AG132" s="878"/>
      <c r="AH132" s="878"/>
      <c r="AI132" s="878"/>
      <c r="AJ132" s="912"/>
      <c r="AK132" s="878"/>
      <c r="AL132" s="880"/>
      <c r="AM132" s="878"/>
      <c r="AN132" s="878"/>
      <c r="AO132" s="881"/>
      <c r="AP132" s="878"/>
      <c r="AQ132" s="878"/>
      <c r="AR132" s="881"/>
      <c r="AS132" s="881"/>
      <c r="AT132" s="878"/>
      <c r="AU132" s="878"/>
      <c r="AV132" s="881"/>
      <c r="AW132" s="878"/>
      <c r="AX132" s="878"/>
      <c r="AY132" s="878"/>
      <c r="AZ132" s="878"/>
      <c r="BA132" s="878"/>
    </row>
    <row r="133" spans="1:53" s="690" customFormat="1" ht="16.5" customHeight="1" x14ac:dyDescent="0.25">
      <c r="A133" s="1122"/>
      <c r="B133" s="913" t="s">
        <v>1178</v>
      </c>
      <c r="C133" s="929">
        <f>C123</f>
        <v>43.888814515309463</v>
      </c>
      <c r="D133" s="884"/>
      <c r="E133" s="904" t="s">
        <v>1439</v>
      </c>
      <c r="F133" s="905" t="s">
        <v>1438</v>
      </c>
      <c r="G133" s="906">
        <v>0.27</v>
      </c>
      <c r="H133" s="905">
        <v>0.01</v>
      </c>
      <c r="I133" s="907">
        <f t="shared" si="11"/>
        <v>2.7000000000000001E-3</v>
      </c>
      <c r="J133" s="888" t="s">
        <v>1445</v>
      </c>
      <c r="K133" s="891">
        <v>2</v>
      </c>
      <c r="L133" s="915">
        <v>95</v>
      </c>
      <c r="M133" s="908">
        <v>2</v>
      </c>
      <c r="N133" s="891">
        <f>L133/'Исп. коэффициенты'!E28</f>
        <v>1.0611287452092272E-2</v>
      </c>
      <c r="O133" s="890"/>
      <c r="P133" s="890"/>
      <c r="Q133" s="892"/>
      <c r="R133" s="890"/>
      <c r="S133" s="890"/>
      <c r="T133" s="890"/>
      <c r="U133" s="890"/>
      <c r="V133" s="890"/>
      <c r="W133" s="892"/>
      <c r="X133" s="890"/>
      <c r="Y133" s="890"/>
      <c r="Z133" s="890"/>
      <c r="AA133" s="830"/>
      <c r="AB133" s="897"/>
      <c r="AC133" s="830"/>
      <c r="AD133" s="878"/>
      <c r="AF133" s="911"/>
      <c r="AG133" s="878"/>
      <c r="AH133" s="878"/>
      <c r="AI133" s="878"/>
      <c r="AJ133" s="912"/>
      <c r="AK133" s="878"/>
      <c r="AL133" s="880"/>
      <c r="AM133" s="902"/>
      <c r="AN133" s="878"/>
      <c r="AO133" s="881"/>
      <c r="AP133" s="878"/>
      <c r="AQ133" s="878"/>
      <c r="AR133" s="881"/>
      <c r="AS133" s="881"/>
      <c r="AT133" s="878"/>
      <c r="AU133" s="878"/>
      <c r="AV133" s="881"/>
      <c r="AW133" s="878"/>
      <c r="AX133" s="878"/>
      <c r="AY133" s="878"/>
      <c r="AZ133" s="878"/>
      <c r="BA133" s="878"/>
    </row>
    <row r="134" spans="1:53" s="690" customFormat="1" ht="16.5" customHeight="1" x14ac:dyDescent="0.25">
      <c r="A134" s="1122"/>
      <c r="B134" s="885" t="s">
        <v>1179</v>
      </c>
      <c r="C134" s="924">
        <f>C124</f>
        <v>19.495759833054819</v>
      </c>
      <c r="D134" s="884"/>
      <c r="E134" s="904" t="s">
        <v>1440</v>
      </c>
      <c r="F134" s="905" t="s">
        <v>1441</v>
      </c>
      <c r="G134" s="906">
        <v>5.92</v>
      </c>
      <c r="H134" s="916">
        <v>1</v>
      </c>
      <c r="I134" s="907">
        <f t="shared" si="11"/>
        <v>5.92</v>
      </c>
      <c r="J134" s="888" t="s">
        <v>1513</v>
      </c>
      <c r="K134" s="891">
        <v>2</v>
      </c>
      <c r="L134" s="891">
        <v>25</v>
      </c>
      <c r="M134" s="908">
        <v>0.5</v>
      </c>
      <c r="N134" s="891">
        <f>L134/'Исп. коэффициенты'!E28</f>
        <v>2.7924440663400717E-3</v>
      </c>
      <c r="O134" s="890"/>
      <c r="P134" s="890"/>
      <c r="Q134" s="892"/>
      <c r="R134" s="890"/>
      <c r="S134" s="890"/>
      <c r="T134" s="890"/>
      <c r="U134" s="890"/>
      <c r="V134" s="890"/>
      <c r="W134" s="892"/>
      <c r="X134" s="890"/>
      <c r="Y134" s="890"/>
      <c r="Z134" s="890"/>
      <c r="AA134" s="830"/>
      <c r="AB134" s="897"/>
      <c r="AC134" s="830"/>
      <c r="AD134" s="878"/>
      <c r="AF134" s="911"/>
      <c r="AG134" s="878"/>
      <c r="AH134" s="878"/>
      <c r="AI134" s="878"/>
      <c r="AJ134" s="912"/>
      <c r="AK134" s="878"/>
      <c r="AL134" s="880"/>
      <c r="AM134" s="878"/>
      <c r="AN134" s="878"/>
      <c r="AO134" s="881"/>
      <c r="AP134" s="878"/>
      <c r="AQ134" s="878"/>
      <c r="AR134" s="881"/>
      <c r="AS134" s="881"/>
      <c r="AT134" s="878"/>
      <c r="AU134" s="878"/>
      <c r="AV134" s="881"/>
      <c r="AW134" s="878"/>
      <c r="AX134" s="878"/>
      <c r="AY134" s="878"/>
      <c r="AZ134" s="878"/>
      <c r="BA134" s="878"/>
    </row>
    <row r="135" spans="1:53" s="690" customFormat="1" ht="16.5" customHeight="1" x14ac:dyDescent="0.25">
      <c r="A135" s="1122"/>
      <c r="B135" s="885" t="s">
        <v>831</v>
      </c>
      <c r="C135" s="930"/>
      <c r="D135" s="884"/>
      <c r="E135" s="904" t="s">
        <v>1442</v>
      </c>
      <c r="F135" s="905" t="s">
        <v>1443</v>
      </c>
      <c r="G135" s="906">
        <v>419.5</v>
      </c>
      <c r="H135" s="905">
        <v>5.0000000000000001E-3</v>
      </c>
      <c r="I135" s="907">
        <f t="shared" si="11"/>
        <v>2.0975000000000001</v>
      </c>
      <c r="J135" s="888"/>
      <c r="K135" s="918"/>
      <c r="L135" s="891"/>
      <c r="M135" s="891"/>
      <c r="N135" s="891"/>
      <c r="O135" s="890"/>
      <c r="P135" s="890"/>
      <c r="Q135" s="892"/>
      <c r="R135" s="890"/>
      <c r="S135" s="890"/>
      <c r="T135" s="890"/>
      <c r="U135" s="890"/>
      <c r="V135" s="890"/>
      <c r="W135" s="892"/>
      <c r="X135" s="890"/>
      <c r="Y135" s="890"/>
      <c r="Z135" s="890"/>
      <c r="AA135" s="830"/>
      <c r="AB135" s="897"/>
      <c r="AC135" s="830"/>
      <c r="AD135" s="878"/>
      <c r="AF135" s="911"/>
      <c r="AG135" s="878"/>
      <c r="AH135" s="878"/>
      <c r="AI135" s="878"/>
      <c r="AJ135" s="912"/>
      <c r="AK135" s="878"/>
      <c r="AL135" s="880"/>
      <c r="AM135" s="878"/>
      <c r="AN135" s="878"/>
      <c r="AO135" s="881"/>
      <c r="AP135" s="878"/>
      <c r="AQ135" s="878"/>
      <c r="AR135" s="881"/>
      <c r="AS135" s="881"/>
      <c r="AT135" s="878"/>
      <c r="AU135" s="878"/>
      <c r="AV135" s="881"/>
      <c r="AW135" s="878"/>
      <c r="AX135" s="878"/>
      <c r="AY135" s="878"/>
      <c r="AZ135" s="878"/>
      <c r="BA135" s="878"/>
    </row>
    <row r="136" spans="1:53" s="690" customFormat="1" ht="16.5" customHeight="1" x14ac:dyDescent="0.25">
      <c r="A136" s="1122"/>
      <c r="B136" s="913" t="s">
        <v>1178</v>
      </c>
      <c r="C136" s="931">
        <v>0.53</v>
      </c>
      <c r="D136" s="884"/>
      <c r="E136" s="904" t="s">
        <v>1444</v>
      </c>
      <c r="F136" s="905" t="s">
        <v>1443</v>
      </c>
      <c r="G136" s="906">
        <v>872</v>
      </c>
      <c r="H136" s="905">
        <v>5.0000000000000001E-3</v>
      </c>
      <c r="I136" s="907">
        <f t="shared" si="11"/>
        <v>4.3600000000000003</v>
      </c>
      <c r="J136" s="888"/>
      <c r="K136" s="918"/>
      <c r="L136" s="891"/>
      <c r="M136" s="891"/>
      <c r="N136" s="891"/>
      <c r="O136" s="890"/>
      <c r="P136" s="890"/>
      <c r="Q136" s="890"/>
      <c r="R136" s="890"/>
      <c r="S136" s="890"/>
      <c r="T136" s="890"/>
      <c r="U136" s="890"/>
      <c r="V136" s="890"/>
      <c r="W136" s="890"/>
      <c r="X136" s="890"/>
      <c r="Y136" s="890"/>
      <c r="Z136" s="890"/>
      <c r="AA136" s="830"/>
      <c r="AB136" s="897"/>
      <c r="AC136" s="830"/>
      <c r="AD136" s="878"/>
      <c r="AF136" s="911"/>
      <c r="AG136" s="878"/>
      <c r="AH136" s="878"/>
      <c r="AI136" s="878"/>
      <c r="AJ136" s="920"/>
      <c r="AK136" s="878"/>
      <c r="AL136" s="880"/>
      <c r="AM136" s="878"/>
      <c r="AN136" s="878"/>
      <c r="AO136" s="881"/>
      <c r="AP136" s="878"/>
      <c r="AQ136" s="878"/>
      <c r="AR136" s="881"/>
      <c r="AS136" s="881"/>
      <c r="AT136" s="878"/>
      <c r="AU136" s="878"/>
      <c r="AV136" s="881"/>
      <c r="AW136" s="878"/>
      <c r="AX136" s="878"/>
      <c r="AY136" s="878"/>
      <c r="AZ136" s="878"/>
      <c r="BA136" s="878"/>
    </row>
    <row r="137" spans="1:53" s="690" customFormat="1" ht="16.5" customHeight="1" x14ac:dyDescent="0.25">
      <c r="A137" s="1122"/>
      <c r="B137" s="885" t="s">
        <v>1179</v>
      </c>
      <c r="C137" s="931">
        <v>0.5</v>
      </c>
      <c r="D137" s="884"/>
      <c r="E137" s="932" t="s">
        <v>13</v>
      </c>
      <c r="F137" s="921" t="s">
        <v>1441</v>
      </c>
      <c r="G137" s="906">
        <v>1.5</v>
      </c>
      <c r="H137" s="905">
        <v>1</v>
      </c>
      <c r="I137" s="907">
        <f t="shared" si="11"/>
        <v>1.5</v>
      </c>
      <c r="J137" s="888"/>
      <c r="K137" s="918"/>
      <c r="L137" s="909"/>
      <c r="M137" s="908"/>
      <c r="N137" s="891"/>
      <c r="O137" s="890"/>
      <c r="P137" s="890"/>
      <c r="Q137" s="890"/>
      <c r="R137" s="890"/>
      <c r="S137" s="890"/>
      <c r="T137" s="890"/>
      <c r="U137" s="890"/>
      <c r="V137" s="890"/>
      <c r="W137" s="890"/>
      <c r="X137" s="890"/>
      <c r="Y137" s="890"/>
      <c r="Z137" s="890"/>
      <c r="AA137" s="830"/>
      <c r="AB137" s="897"/>
      <c r="AC137" s="830"/>
      <c r="AD137" s="878"/>
      <c r="AF137" s="911"/>
      <c r="AG137" s="878"/>
      <c r="AH137" s="878"/>
      <c r="AI137" s="878"/>
      <c r="AJ137" s="920"/>
      <c r="AK137" s="878"/>
      <c r="AL137" s="880"/>
      <c r="AM137" s="878"/>
      <c r="AN137" s="878"/>
      <c r="AO137" s="881"/>
      <c r="AP137" s="878"/>
      <c r="AQ137" s="878"/>
      <c r="AR137" s="881"/>
      <c r="AS137" s="881"/>
      <c r="AT137" s="878"/>
      <c r="AU137" s="878"/>
      <c r="AV137" s="881"/>
      <c r="AW137" s="878"/>
      <c r="AX137" s="878"/>
      <c r="AY137" s="878"/>
      <c r="AZ137" s="878"/>
      <c r="BA137" s="878"/>
    </row>
    <row r="138" spans="1:53" s="690" customFormat="1" ht="16.5" customHeight="1" x14ac:dyDescent="0.25">
      <c r="A138" s="1122"/>
      <c r="B138" s="922" t="s">
        <v>1181</v>
      </c>
      <c r="C138" s="924">
        <f>C133*C136+C134*C137</f>
        <v>33.008951609641429</v>
      </c>
      <c r="D138" s="884"/>
      <c r="E138" s="932"/>
      <c r="F138" s="921"/>
      <c r="G138" s="906"/>
      <c r="H138" s="905"/>
      <c r="I138" s="907"/>
      <c r="J138" s="888"/>
      <c r="K138" s="918"/>
      <c r="L138" s="915"/>
      <c r="M138" s="908"/>
      <c r="N138" s="891"/>
      <c r="O138" s="890"/>
      <c r="P138" s="890"/>
      <c r="Q138" s="890"/>
      <c r="R138" s="890"/>
      <c r="S138" s="890"/>
      <c r="T138" s="890"/>
      <c r="U138" s="890"/>
      <c r="V138" s="890"/>
      <c r="W138" s="890"/>
      <c r="X138" s="890"/>
      <c r="Y138" s="890"/>
      <c r="Z138" s="890"/>
      <c r="AA138" s="830"/>
      <c r="AB138" s="897"/>
      <c r="AC138" s="830"/>
      <c r="AD138" s="878"/>
      <c r="AF138" s="911"/>
      <c r="AG138" s="878"/>
      <c r="AH138" s="878"/>
      <c r="AI138" s="878"/>
      <c r="AJ138" s="912"/>
      <c r="AK138" s="878"/>
      <c r="AL138" s="880"/>
      <c r="AM138" s="878"/>
      <c r="AN138" s="878"/>
      <c r="AO138" s="881"/>
      <c r="AP138" s="878"/>
      <c r="AQ138" s="878"/>
      <c r="AR138" s="881"/>
      <c r="AS138" s="881"/>
      <c r="AT138" s="878"/>
      <c r="AU138" s="878"/>
      <c r="AV138" s="881"/>
      <c r="AW138" s="878"/>
      <c r="AX138" s="878"/>
      <c r="AY138" s="878"/>
      <c r="AZ138" s="878"/>
      <c r="BA138" s="878"/>
    </row>
    <row r="139" spans="1:53" s="690" customFormat="1" ht="16.5" customHeight="1" x14ac:dyDescent="0.25">
      <c r="A139" s="1122"/>
      <c r="B139" s="922"/>
      <c r="C139" s="931"/>
      <c r="D139" s="884"/>
      <c r="E139" s="932"/>
      <c r="F139" s="921"/>
      <c r="G139" s="906"/>
      <c r="H139" s="905"/>
      <c r="I139" s="907"/>
      <c r="J139" s="888"/>
      <c r="K139" s="918"/>
      <c r="L139" s="891"/>
      <c r="M139" s="908"/>
      <c r="N139" s="891"/>
      <c r="O139" s="890"/>
      <c r="P139" s="890"/>
      <c r="Q139" s="890"/>
      <c r="R139" s="890"/>
      <c r="S139" s="890"/>
      <c r="T139" s="890"/>
      <c r="U139" s="890"/>
      <c r="V139" s="890"/>
      <c r="W139" s="890"/>
      <c r="X139" s="890"/>
      <c r="Y139" s="890"/>
      <c r="Z139" s="890"/>
      <c r="AA139" s="830"/>
      <c r="AB139" s="897"/>
      <c r="AC139" s="830"/>
      <c r="AD139" s="878"/>
      <c r="AF139" s="911"/>
      <c r="AG139" s="878"/>
      <c r="AH139" s="878"/>
      <c r="AI139" s="878"/>
      <c r="AJ139" s="920"/>
      <c r="AK139" s="878"/>
      <c r="AL139" s="880"/>
      <c r="AM139" s="878"/>
      <c r="AN139" s="878"/>
      <c r="AO139" s="881"/>
      <c r="AP139" s="878"/>
      <c r="AQ139" s="878"/>
      <c r="AR139" s="881"/>
      <c r="AS139" s="881"/>
      <c r="AT139" s="878"/>
      <c r="AU139" s="878"/>
      <c r="AV139" s="881"/>
      <c r="AW139" s="878"/>
      <c r="AX139" s="878"/>
      <c r="AY139" s="878"/>
      <c r="AZ139" s="878"/>
      <c r="BA139" s="878"/>
    </row>
    <row r="140" spans="1:53" ht="37.5" customHeight="1" x14ac:dyDescent="0.25">
      <c r="A140" s="1137" t="s">
        <v>1567</v>
      </c>
      <c r="B140" s="439" t="s">
        <v>535</v>
      </c>
      <c r="C140" s="487"/>
      <c r="D140" s="495"/>
      <c r="E140" s="441" t="s">
        <v>488</v>
      </c>
      <c r="F140" s="442" t="s">
        <v>837</v>
      </c>
      <c r="G140" s="439" t="s">
        <v>489</v>
      </c>
      <c r="H140" s="441" t="s">
        <v>1170</v>
      </c>
      <c r="I140" s="442" t="s">
        <v>838</v>
      </c>
      <c r="J140" s="280" t="s">
        <v>1171</v>
      </c>
      <c r="K140" s="280" t="s">
        <v>490</v>
      </c>
      <c r="L140" s="281" t="s">
        <v>489</v>
      </c>
      <c r="M140" s="280" t="s">
        <v>1172</v>
      </c>
      <c r="N140" s="442" t="s">
        <v>838</v>
      </c>
      <c r="O140" s="280" t="s">
        <v>1171</v>
      </c>
      <c r="P140" s="280" t="s">
        <v>826</v>
      </c>
      <c r="Q140" s="280" t="s">
        <v>1173</v>
      </c>
      <c r="R140" s="280" t="s">
        <v>1174</v>
      </c>
      <c r="S140" s="280" t="s">
        <v>839</v>
      </c>
      <c r="T140" s="280" t="s">
        <v>1171</v>
      </c>
      <c r="U140" s="280" t="s">
        <v>1392</v>
      </c>
      <c r="V140" s="280" t="s">
        <v>841</v>
      </c>
      <c r="W140" s="280" t="s">
        <v>841</v>
      </c>
      <c r="X140" s="280" t="s">
        <v>1394</v>
      </c>
      <c r="Y140" s="280" t="s">
        <v>839</v>
      </c>
      <c r="Z140" s="283"/>
      <c r="AA140" s="440"/>
      <c r="AB140" s="460"/>
      <c r="AC140" s="440"/>
      <c r="AD140" s="444"/>
      <c r="AQ140" s="449"/>
      <c r="AR140" s="449"/>
      <c r="AS140" s="449"/>
    </row>
    <row r="141" spans="1:53" ht="16.5" customHeight="1" x14ac:dyDescent="0.25">
      <c r="A141" s="1138"/>
      <c r="B141" s="450" t="s">
        <v>1175</v>
      </c>
      <c r="C141" s="439">
        <f>C148</f>
        <v>53.636694431836872</v>
      </c>
      <c r="D141" s="496">
        <f>C141*$D$7</f>
        <v>10.834612275231049</v>
      </c>
      <c r="E141" s="452" t="s">
        <v>1176</v>
      </c>
      <c r="F141" s="453"/>
      <c r="G141" s="454"/>
      <c r="H141" s="454"/>
      <c r="I141" s="455">
        <f>SUM(I142:I149)</f>
        <v>12.695699999999999</v>
      </c>
      <c r="J141" s="290" t="s">
        <v>1176</v>
      </c>
      <c r="K141" s="357"/>
      <c r="L141" s="291"/>
      <c r="M141" s="291"/>
      <c r="N141" s="292">
        <f>SUM(N142:N149)</f>
        <v>4.4213899999999997</v>
      </c>
      <c r="O141" s="291" t="s">
        <v>1176</v>
      </c>
      <c r="P141" s="291"/>
      <c r="Q141" s="293"/>
      <c r="R141" s="294"/>
      <c r="S141" s="292">
        <f>SUM(S142:S149)</f>
        <v>8.1902000000000008</v>
      </c>
      <c r="T141" s="292"/>
      <c r="U141" s="292"/>
      <c r="V141" s="292"/>
      <c r="W141" s="292"/>
      <c r="X141" s="292"/>
      <c r="Y141" s="292">
        <f>SUM(Y142:Y149)</f>
        <v>9.1999999999999998E-3</v>
      </c>
      <c r="Z141" s="296">
        <f>(C141+D141+I141+N141+S141+Y141)*$Z$7</f>
        <v>116.74098824168945</v>
      </c>
      <c r="AA141" s="459">
        <f>C141+D141+I141+N141+S141+Y141+Z141</f>
        <v>206.52878494875739</v>
      </c>
      <c r="AB141" s="460">
        <v>0.3</v>
      </c>
      <c r="AC141" s="461">
        <f>AA141*(1+AB141)</f>
        <v>268.48742043338461</v>
      </c>
      <c r="AD141" s="448"/>
      <c r="AI141" s="449"/>
      <c r="AJ141" s="462"/>
      <c r="AK141" s="463"/>
      <c r="AM141" s="464"/>
      <c r="AN141" s="143"/>
      <c r="AO141" s="464"/>
      <c r="AP141" s="449"/>
      <c r="AQ141" s="449"/>
      <c r="AR141" s="449"/>
      <c r="AS141" s="449"/>
      <c r="AT141" s="449"/>
      <c r="AU141" s="464"/>
      <c r="AV141" s="464"/>
      <c r="AW141" s="465"/>
    </row>
    <row r="142" spans="1:53" ht="16.5" customHeight="1" x14ac:dyDescent="0.25">
      <c r="A142" s="1138"/>
      <c r="B142" s="466" t="s">
        <v>830</v>
      </c>
      <c r="C142" s="439"/>
      <c r="E142" s="300" t="s">
        <v>1437</v>
      </c>
      <c r="F142" s="301" t="s">
        <v>1438</v>
      </c>
      <c r="G142" s="302">
        <v>0.74</v>
      </c>
      <c r="H142" s="301">
        <v>0.1</v>
      </c>
      <c r="I142" s="303">
        <f t="shared" ref="I142:I147" si="12">G142*H142</f>
        <v>7.3999999999999996E-2</v>
      </c>
      <c r="J142" s="290" t="s">
        <v>1291</v>
      </c>
      <c r="K142" s="304">
        <v>2</v>
      </c>
      <c r="L142" s="305">
        <v>750</v>
      </c>
      <c r="M142" s="304">
        <v>2</v>
      </c>
      <c r="N142" s="292">
        <v>1.1745000000000001</v>
      </c>
      <c r="O142" s="467" t="s">
        <v>1578</v>
      </c>
      <c r="P142" s="291">
        <v>188900</v>
      </c>
      <c r="Q142" s="372">
        <v>0.19670000000000001</v>
      </c>
      <c r="R142" s="291">
        <f>P142*Q142</f>
        <v>37156.630000000005</v>
      </c>
      <c r="S142" s="291">
        <v>8.1902000000000008</v>
      </c>
      <c r="T142" s="458" t="s">
        <v>1435</v>
      </c>
      <c r="U142" s="456">
        <v>6785401.3499999996</v>
      </c>
      <c r="V142" s="457">
        <v>1.32E-2</v>
      </c>
      <c r="W142" s="458">
        <v>1508.3</v>
      </c>
      <c r="X142" s="292">
        <v>59.38</v>
      </c>
      <c r="Y142" s="291">
        <v>9.1999999999999998E-3</v>
      </c>
      <c r="Z142" s="291"/>
      <c r="AA142" s="440"/>
      <c r="AB142" s="460"/>
      <c r="AC142" s="440"/>
      <c r="AD142" s="444"/>
      <c r="AF142" s="365"/>
      <c r="AJ142" s="468"/>
    </row>
    <row r="143" spans="1:53" ht="16.5" customHeight="1" x14ac:dyDescent="0.25">
      <c r="A143" s="1138"/>
      <c r="B143" s="469" t="s">
        <v>1178</v>
      </c>
      <c r="C143" s="491">
        <f>C133</f>
        <v>43.888814515309463</v>
      </c>
      <c r="D143" s="451"/>
      <c r="E143" s="300" t="s">
        <v>1439</v>
      </c>
      <c r="F143" s="301" t="s">
        <v>1438</v>
      </c>
      <c r="G143" s="302">
        <v>0.27</v>
      </c>
      <c r="H143" s="301">
        <v>0.01</v>
      </c>
      <c r="I143" s="303">
        <f t="shared" si="12"/>
        <v>2.7000000000000001E-3</v>
      </c>
      <c r="J143" s="290" t="s">
        <v>1445</v>
      </c>
      <c r="K143" s="292">
        <v>2</v>
      </c>
      <c r="L143" s="311">
        <v>95</v>
      </c>
      <c r="M143" s="304">
        <v>2</v>
      </c>
      <c r="N143" s="292">
        <v>3.1146400000000001</v>
      </c>
      <c r="O143" s="291"/>
      <c r="P143" s="291"/>
      <c r="Q143" s="372"/>
      <c r="R143" s="291"/>
      <c r="S143" s="291"/>
      <c r="T143" s="291"/>
      <c r="U143" s="291"/>
      <c r="V143" s="291"/>
      <c r="W143" s="372"/>
      <c r="X143" s="291"/>
      <c r="Y143" s="291"/>
      <c r="Z143" s="291"/>
      <c r="AA143" s="440"/>
      <c r="AB143" s="460"/>
      <c r="AC143" s="440"/>
      <c r="AD143" s="444"/>
      <c r="AF143" s="365"/>
      <c r="AJ143" s="468"/>
      <c r="AM143" s="465"/>
    </row>
    <row r="144" spans="1:53" ht="16.5" customHeight="1" x14ac:dyDescent="0.25">
      <c r="A144" s="1138"/>
      <c r="B144" s="452" t="s">
        <v>1179</v>
      </c>
      <c r="C144" s="487">
        <f>C134</f>
        <v>19.495759833054819</v>
      </c>
      <c r="D144" s="451"/>
      <c r="E144" s="300" t="s">
        <v>1440</v>
      </c>
      <c r="F144" s="301" t="s">
        <v>1441</v>
      </c>
      <c r="G144" s="302">
        <v>5.92</v>
      </c>
      <c r="H144" s="471">
        <v>1</v>
      </c>
      <c r="I144" s="303">
        <f t="shared" si="12"/>
        <v>5.92</v>
      </c>
      <c r="J144" s="290" t="s">
        <v>1513</v>
      </c>
      <c r="K144" s="292">
        <v>2</v>
      </c>
      <c r="L144" s="292">
        <v>25</v>
      </c>
      <c r="M144" s="304">
        <v>0.5</v>
      </c>
      <c r="N144" s="292">
        <v>0.13225000000000001</v>
      </c>
      <c r="O144" s="291"/>
      <c r="P144" s="291"/>
      <c r="Q144" s="372"/>
      <c r="R144" s="291"/>
      <c r="S144" s="291"/>
      <c r="T144" s="291"/>
      <c r="U144" s="291"/>
      <c r="V144" s="291"/>
      <c r="W144" s="372"/>
      <c r="X144" s="291"/>
      <c r="Y144" s="291"/>
      <c r="Z144" s="291"/>
      <c r="AA144" s="440"/>
      <c r="AB144" s="460"/>
      <c r="AC144" s="440"/>
      <c r="AD144" s="444"/>
      <c r="AF144" s="365"/>
      <c r="AJ144" s="468"/>
    </row>
    <row r="145" spans="1:53" ht="16.5" customHeight="1" x14ac:dyDescent="0.25">
      <c r="A145" s="1138"/>
      <c r="B145" s="452" t="s">
        <v>831</v>
      </c>
      <c r="C145" s="492"/>
      <c r="D145" s="451"/>
      <c r="E145" s="300" t="s">
        <v>1442</v>
      </c>
      <c r="F145" s="301" t="s">
        <v>1443</v>
      </c>
      <c r="G145" s="302">
        <v>419.5</v>
      </c>
      <c r="H145" s="301">
        <v>2E-3</v>
      </c>
      <c r="I145" s="303">
        <f t="shared" si="12"/>
        <v>0.83899999999999997</v>
      </c>
      <c r="J145" s="290"/>
      <c r="K145" s="374"/>
      <c r="L145" s="292"/>
      <c r="M145" s="292"/>
      <c r="N145" s="292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1"/>
      <c r="AA145" s="440"/>
      <c r="AB145" s="460"/>
      <c r="AC145" s="440"/>
      <c r="AD145" s="444"/>
      <c r="AF145" s="365"/>
      <c r="AJ145" s="468"/>
    </row>
    <row r="146" spans="1:53" ht="16.5" customHeight="1" x14ac:dyDescent="0.25">
      <c r="A146" s="1138"/>
      <c r="B146" s="469" t="s">
        <v>1178</v>
      </c>
      <c r="C146" s="493">
        <v>1</v>
      </c>
      <c r="D146" s="451"/>
      <c r="E146" s="300" t="s">
        <v>1444</v>
      </c>
      <c r="F146" s="301" t="s">
        <v>1443</v>
      </c>
      <c r="G146" s="302">
        <v>872</v>
      </c>
      <c r="H146" s="301">
        <v>5.0000000000000001E-3</v>
      </c>
      <c r="I146" s="303">
        <f t="shared" si="12"/>
        <v>4.3600000000000003</v>
      </c>
      <c r="J146" s="290"/>
      <c r="K146" s="374"/>
      <c r="L146" s="292"/>
      <c r="M146" s="292"/>
      <c r="N146" s="292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1"/>
      <c r="AA146" s="440"/>
      <c r="AB146" s="460"/>
      <c r="AC146" s="440"/>
      <c r="AD146" s="444"/>
      <c r="AF146" s="365"/>
      <c r="AJ146" s="472"/>
    </row>
    <row r="147" spans="1:53" ht="16.5" customHeight="1" x14ac:dyDescent="0.25">
      <c r="A147" s="1138"/>
      <c r="B147" s="452" t="s">
        <v>1179</v>
      </c>
      <c r="C147" s="493">
        <v>0.5</v>
      </c>
      <c r="D147" s="451"/>
      <c r="E147" s="494" t="s">
        <v>13</v>
      </c>
      <c r="F147" s="376" t="s">
        <v>1441</v>
      </c>
      <c r="G147" s="302">
        <v>1.5</v>
      </c>
      <c r="H147" s="301">
        <v>1</v>
      </c>
      <c r="I147" s="303">
        <f t="shared" si="12"/>
        <v>1.5</v>
      </c>
      <c r="J147" s="290"/>
      <c r="K147" s="374"/>
      <c r="L147" s="305"/>
      <c r="M147" s="304"/>
      <c r="N147" s="292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1"/>
      <c r="AA147" s="440"/>
      <c r="AB147" s="460"/>
      <c r="AC147" s="440"/>
      <c r="AD147" s="444"/>
      <c r="AF147" s="365"/>
      <c r="AJ147" s="472"/>
    </row>
    <row r="148" spans="1:53" ht="16.5" customHeight="1" x14ac:dyDescent="0.25">
      <c r="A148" s="1139"/>
      <c r="B148" s="474" t="s">
        <v>1181</v>
      </c>
      <c r="C148" s="487">
        <f>C143*C146+C144*C147</f>
        <v>53.636694431836872</v>
      </c>
      <c r="D148" s="451"/>
      <c r="E148" s="494"/>
      <c r="F148" s="376"/>
      <c r="G148" s="302"/>
      <c r="H148" s="301"/>
      <c r="I148" s="303"/>
      <c r="J148" s="290"/>
      <c r="K148" s="374"/>
      <c r="L148" s="311"/>
      <c r="M148" s="304"/>
      <c r="N148" s="292"/>
      <c r="O148" s="291"/>
      <c r="P148" s="291"/>
      <c r="Q148" s="291"/>
      <c r="R148" s="291"/>
      <c r="S148" s="291"/>
      <c r="T148" s="291"/>
      <c r="U148" s="291"/>
      <c r="V148" s="291"/>
      <c r="W148" s="291"/>
      <c r="X148" s="291"/>
      <c r="Y148" s="291"/>
      <c r="Z148" s="291"/>
      <c r="AA148" s="440"/>
      <c r="AB148" s="460"/>
      <c r="AC148" s="440"/>
      <c r="AD148" s="444"/>
      <c r="AF148" s="365"/>
      <c r="AJ148" s="468"/>
    </row>
    <row r="149" spans="1:53" ht="37.5" customHeight="1" x14ac:dyDescent="0.25">
      <c r="A149" s="1137" t="s">
        <v>1568</v>
      </c>
      <c r="B149" s="439" t="s">
        <v>536</v>
      </c>
      <c r="C149" s="487"/>
      <c r="D149" s="495"/>
      <c r="E149" s="441" t="s">
        <v>488</v>
      </c>
      <c r="F149" s="442" t="s">
        <v>837</v>
      </c>
      <c r="G149" s="439" t="s">
        <v>489</v>
      </c>
      <c r="H149" s="441" t="s">
        <v>1170</v>
      </c>
      <c r="I149" s="442" t="s">
        <v>838</v>
      </c>
      <c r="J149" s="280" t="s">
        <v>1171</v>
      </c>
      <c r="K149" s="280" t="s">
        <v>490</v>
      </c>
      <c r="L149" s="281" t="s">
        <v>489</v>
      </c>
      <c r="M149" s="280" t="s">
        <v>1172</v>
      </c>
      <c r="N149" s="442" t="s">
        <v>838</v>
      </c>
      <c r="O149" s="280" t="s">
        <v>1171</v>
      </c>
      <c r="P149" s="280" t="s">
        <v>826</v>
      </c>
      <c r="Q149" s="280" t="s">
        <v>1173</v>
      </c>
      <c r="R149" s="280" t="s">
        <v>1174</v>
      </c>
      <c r="S149" s="280" t="s">
        <v>839</v>
      </c>
      <c r="T149" s="280" t="s">
        <v>1171</v>
      </c>
      <c r="U149" s="280" t="s">
        <v>1392</v>
      </c>
      <c r="V149" s="280" t="s">
        <v>841</v>
      </c>
      <c r="W149" s="280" t="s">
        <v>841</v>
      </c>
      <c r="X149" s="280" t="s">
        <v>1394</v>
      </c>
      <c r="Y149" s="280" t="s">
        <v>839</v>
      </c>
      <c r="Z149" s="283"/>
      <c r="AA149" s="440"/>
      <c r="AB149" s="460"/>
      <c r="AC149" s="440"/>
      <c r="AD149" s="444"/>
      <c r="AQ149" s="449"/>
      <c r="AR149" s="449"/>
      <c r="AS149" s="449"/>
    </row>
    <row r="150" spans="1:53" ht="16.5" customHeight="1" x14ac:dyDescent="0.25">
      <c r="A150" s="1138"/>
      <c r="B150" s="450" t="s">
        <v>1175</v>
      </c>
      <c r="C150" s="439">
        <f>C157</f>
        <v>10.972203628827366</v>
      </c>
      <c r="D150" s="496">
        <f>C150*$D$7</f>
        <v>2.2163851330231279</v>
      </c>
      <c r="E150" s="452" t="s">
        <v>1176</v>
      </c>
      <c r="F150" s="453"/>
      <c r="G150" s="454"/>
      <c r="H150" s="454"/>
      <c r="I150" s="455">
        <f>SUM(I151:I158)</f>
        <v>16.0517</v>
      </c>
      <c r="J150" s="290" t="s">
        <v>1176</v>
      </c>
      <c r="K150" s="357"/>
      <c r="L150" s="291"/>
      <c r="M150" s="291"/>
      <c r="N150" s="292">
        <f>SUM(N151:N158)</f>
        <v>4.4213899999999997</v>
      </c>
      <c r="O150" s="291" t="s">
        <v>1176</v>
      </c>
      <c r="P150" s="291"/>
      <c r="Q150" s="293"/>
      <c r="R150" s="294"/>
      <c r="S150" s="292">
        <f>SUM(S151:S158)</f>
        <v>8.1902000000000008</v>
      </c>
      <c r="T150" s="292"/>
      <c r="U150" s="292"/>
      <c r="V150" s="292"/>
      <c r="W150" s="292"/>
      <c r="X150" s="292"/>
      <c r="Y150" s="292">
        <f>SUM(Y151:Y158)</f>
        <v>9.1999999999999998E-3</v>
      </c>
      <c r="Z150" s="296">
        <f>(C150+D150+I150+N150+S150+Y150)*$Z$7</f>
        <v>54.427259413270981</v>
      </c>
      <c r="AA150" s="459">
        <f>C150+D150+I150+N150+S150+Y150+Z150</f>
        <v>96.288338175121481</v>
      </c>
      <c r="AB150" s="460">
        <v>0.3</v>
      </c>
      <c r="AC150" s="461">
        <f>AA150*(1+AB150)</f>
        <v>125.17483962765793</v>
      </c>
      <c r="AD150" s="448"/>
      <c r="AI150" s="449"/>
      <c r="AJ150" s="462"/>
      <c r="AK150" s="463"/>
      <c r="AM150" s="464"/>
      <c r="AN150" s="143"/>
      <c r="AO150" s="464"/>
      <c r="AP150" s="449"/>
      <c r="AQ150" s="449"/>
      <c r="AR150" s="449"/>
      <c r="AS150" s="449"/>
      <c r="AT150" s="449"/>
      <c r="AU150" s="464"/>
      <c r="AV150" s="464"/>
      <c r="AW150" s="465"/>
    </row>
    <row r="151" spans="1:53" ht="16.5" customHeight="1" x14ac:dyDescent="0.25">
      <c r="A151" s="1138"/>
      <c r="B151" s="466" t="s">
        <v>830</v>
      </c>
      <c r="C151" s="439"/>
      <c r="E151" s="300" t="s">
        <v>1437</v>
      </c>
      <c r="F151" s="301" t="s">
        <v>1438</v>
      </c>
      <c r="G151" s="302">
        <v>0.74</v>
      </c>
      <c r="H151" s="301">
        <v>0.1</v>
      </c>
      <c r="I151" s="303">
        <f t="shared" ref="I151:I156" si="13">G151*H151</f>
        <v>7.3999999999999996E-2</v>
      </c>
      <c r="J151" s="290" t="s">
        <v>1291</v>
      </c>
      <c r="K151" s="304">
        <v>2</v>
      </c>
      <c r="L151" s="305">
        <v>750</v>
      </c>
      <c r="M151" s="304">
        <v>2</v>
      </c>
      <c r="N151" s="292">
        <v>1.1745000000000001</v>
      </c>
      <c r="O151" s="467" t="s">
        <v>1578</v>
      </c>
      <c r="P151" s="291">
        <v>188900</v>
      </c>
      <c r="Q151" s="372">
        <v>0.19670000000000001</v>
      </c>
      <c r="R151" s="291">
        <f>P151*Q151</f>
        <v>37156.630000000005</v>
      </c>
      <c r="S151" s="291">
        <v>8.1902000000000008</v>
      </c>
      <c r="T151" s="458" t="s">
        <v>1435</v>
      </c>
      <c r="U151" s="456">
        <v>6785401.3499999996</v>
      </c>
      <c r="V151" s="457">
        <v>1.32E-2</v>
      </c>
      <c r="W151" s="458">
        <v>1508.3</v>
      </c>
      <c r="X151" s="292">
        <v>59.38</v>
      </c>
      <c r="Y151" s="291">
        <v>9.1999999999999998E-3</v>
      </c>
      <c r="Z151" s="291"/>
      <c r="AA151" s="440"/>
      <c r="AB151" s="460"/>
      <c r="AC151" s="440"/>
      <c r="AD151" s="444"/>
      <c r="AF151" s="365"/>
      <c r="AJ151" s="468"/>
    </row>
    <row r="152" spans="1:53" ht="16.5" customHeight="1" x14ac:dyDescent="0.25">
      <c r="A152" s="1138"/>
      <c r="B152" s="469" t="s">
        <v>1178</v>
      </c>
      <c r="C152" s="491">
        <f>C143</f>
        <v>43.888814515309463</v>
      </c>
      <c r="D152" s="451"/>
      <c r="E152" s="300" t="s">
        <v>1439</v>
      </c>
      <c r="F152" s="301" t="s">
        <v>1438</v>
      </c>
      <c r="G152" s="302">
        <v>0.27</v>
      </c>
      <c r="H152" s="301">
        <v>0.01</v>
      </c>
      <c r="I152" s="303">
        <f t="shared" si="13"/>
        <v>2.7000000000000001E-3</v>
      </c>
      <c r="J152" s="290" t="s">
        <v>1445</v>
      </c>
      <c r="K152" s="292">
        <v>2</v>
      </c>
      <c r="L152" s="311">
        <v>95</v>
      </c>
      <c r="M152" s="304">
        <v>2</v>
      </c>
      <c r="N152" s="292">
        <v>3.1146400000000001</v>
      </c>
      <c r="O152" s="291"/>
      <c r="P152" s="291"/>
      <c r="Q152" s="372"/>
      <c r="R152" s="291"/>
      <c r="S152" s="291"/>
      <c r="T152" s="291"/>
      <c r="U152" s="291"/>
      <c r="V152" s="291"/>
      <c r="W152" s="372"/>
      <c r="X152" s="291"/>
      <c r="Y152" s="291"/>
      <c r="Z152" s="291"/>
      <c r="AA152" s="440"/>
      <c r="AB152" s="460"/>
      <c r="AC152" s="440"/>
      <c r="AD152" s="444"/>
      <c r="AF152" s="365"/>
      <c r="AJ152" s="468"/>
      <c r="AM152" s="465"/>
    </row>
    <row r="153" spans="1:53" ht="16.5" customHeight="1" x14ac:dyDescent="0.25">
      <c r="A153" s="1138"/>
      <c r="B153" s="452" t="s">
        <v>1179</v>
      </c>
      <c r="C153" s="487">
        <f>C144</f>
        <v>19.495759833054819</v>
      </c>
      <c r="D153" s="451"/>
      <c r="E153" s="300" t="s">
        <v>1440</v>
      </c>
      <c r="F153" s="301" t="s">
        <v>1441</v>
      </c>
      <c r="G153" s="302">
        <v>5.92</v>
      </c>
      <c r="H153" s="471">
        <v>1</v>
      </c>
      <c r="I153" s="303">
        <f t="shared" si="13"/>
        <v>5.92</v>
      </c>
      <c r="J153" s="290" t="s">
        <v>1513</v>
      </c>
      <c r="K153" s="292">
        <v>2</v>
      </c>
      <c r="L153" s="292">
        <v>25</v>
      </c>
      <c r="M153" s="304">
        <v>0.5</v>
      </c>
      <c r="N153" s="292">
        <v>0.13225000000000001</v>
      </c>
      <c r="O153" s="291"/>
      <c r="P153" s="291"/>
      <c r="Q153" s="372"/>
      <c r="R153" s="291"/>
      <c r="S153" s="291"/>
      <c r="T153" s="291"/>
      <c r="U153" s="291"/>
      <c r="V153" s="291"/>
      <c r="W153" s="372"/>
      <c r="X153" s="291"/>
      <c r="Y153" s="291"/>
      <c r="Z153" s="291"/>
      <c r="AA153" s="440"/>
      <c r="AB153" s="460"/>
      <c r="AC153" s="440"/>
      <c r="AD153" s="444"/>
      <c r="AF153" s="365"/>
      <c r="AJ153" s="468"/>
    </row>
    <row r="154" spans="1:53" ht="16.5" customHeight="1" x14ac:dyDescent="0.25">
      <c r="A154" s="1138"/>
      <c r="B154" s="452" t="s">
        <v>831</v>
      </c>
      <c r="C154" s="492"/>
      <c r="D154" s="451"/>
      <c r="E154" s="300" t="s">
        <v>1442</v>
      </c>
      <c r="F154" s="301" t="s">
        <v>1443</v>
      </c>
      <c r="G154" s="302">
        <v>419.5</v>
      </c>
      <c r="H154" s="301">
        <v>0.01</v>
      </c>
      <c r="I154" s="303">
        <f t="shared" si="13"/>
        <v>4.1950000000000003</v>
      </c>
      <c r="J154" s="290"/>
      <c r="K154" s="374"/>
      <c r="L154" s="292"/>
      <c r="M154" s="292"/>
      <c r="N154" s="292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1"/>
      <c r="AA154" s="440"/>
      <c r="AB154" s="460"/>
      <c r="AC154" s="440"/>
      <c r="AD154" s="444"/>
      <c r="AF154" s="365"/>
      <c r="AJ154" s="468"/>
    </row>
    <row r="155" spans="1:53" ht="16.5" customHeight="1" x14ac:dyDescent="0.25">
      <c r="A155" s="1138"/>
      <c r="B155" s="469" t="s">
        <v>1178</v>
      </c>
      <c r="C155" s="491">
        <v>0.25</v>
      </c>
      <c r="D155" s="451"/>
      <c r="E155" s="300" t="s">
        <v>1444</v>
      </c>
      <c r="F155" s="301" t="s">
        <v>1443</v>
      </c>
      <c r="G155" s="302">
        <v>872</v>
      </c>
      <c r="H155" s="301">
        <v>5.0000000000000001E-3</v>
      </c>
      <c r="I155" s="303">
        <f t="shared" si="13"/>
        <v>4.3600000000000003</v>
      </c>
      <c r="J155" s="290"/>
      <c r="K155" s="374"/>
      <c r="L155" s="292"/>
      <c r="M155" s="292"/>
      <c r="N155" s="292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/>
      <c r="AA155" s="440"/>
      <c r="AB155" s="460"/>
      <c r="AC155" s="440"/>
      <c r="AD155" s="444"/>
      <c r="AF155" s="365"/>
      <c r="AJ155" s="472"/>
    </row>
    <row r="156" spans="1:53" ht="16.5" customHeight="1" x14ac:dyDescent="0.25">
      <c r="A156" s="1138"/>
      <c r="B156" s="452" t="s">
        <v>1179</v>
      </c>
      <c r="C156" s="493">
        <v>0</v>
      </c>
      <c r="D156" s="451"/>
      <c r="E156" s="494" t="s">
        <v>13</v>
      </c>
      <c r="F156" s="376" t="s">
        <v>1441</v>
      </c>
      <c r="G156" s="302">
        <v>1.5</v>
      </c>
      <c r="H156" s="301">
        <v>1</v>
      </c>
      <c r="I156" s="303">
        <f t="shared" si="13"/>
        <v>1.5</v>
      </c>
      <c r="J156" s="290"/>
      <c r="K156" s="374"/>
      <c r="L156" s="305"/>
      <c r="M156" s="304"/>
      <c r="N156" s="292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/>
      <c r="AA156" s="440"/>
      <c r="AB156" s="460"/>
      <c r="AC156" s="440"/>
      <c r="AD156" s="444"/>
      <c r="AF156" s="365"/>
      <c r="AJ156" s="472"/>
    </row>
    <row r="157" spans="1:53" ht="39" customHeight="1" x14ac:dyDescent="0.25">
      <c r="A157" s="1139"/>
      <c r="B157" s="474" t="s">
        <v>1181</v>
      </c>
      <c r="C157" s="487">
        <f>C152*C155+C153*C156</f>
        <v>10.972203628827366</v>
      </c>
      <c r="D157" s="451"/>
      <c r="E157" s="494"/>
      <c r="F157" s="376"/>
      <c r="G157" s="302"/>
      <c r="H157" s="301"/>
      <c r="I157" s="303"/>
      <c r="J157" s="290"/>
      <c r="K157" s="374"/>
      <c r="L157" s="311"/>
      <c r="M157" s="304"/>
      <c r="N157" s="292"/>
      <c r="O157" s="291"/>
      <c r="P157" s="291"/>
      <c r="Q157" s="291"/>
      <c r="R157" s="291"/>
      <c r="S157" s="291"/>
      <c r="T157" s="291"/>
      <c r="U157" s="291"/>
      <c r="V157" s="291"/>
      <c r="W157" s="291"/>
      <c r="X157" s="291"/>
      <c r="Y157" s="291"/>
      <c r="Z157" s="291"/>
      <c r="AA157" s="440"/>
      <c r="AB157" s="460"/>
      <c r="AC157" s="440"/>
      <c r="AD157" s="444"/>
      <c r="AF157" s="365"/>
      <c r="AJ157" s="468"/>
    </row>
    <row r="158" spans="1:53" s="690" customFormat="1" ht="37.5" customHeight="1" x14ac:dyDescent="0.25">
      <c r="A158" s="1114" t="s">
        <v>1569</v>
      </c>
      <c r="B158" s="871" t="s">
        <v>537</v>
      </c>
      <c r="C158" s="924"/>
      <c r="D158" s="934"/>
      <c r="E158" s="872" t="s">
        <v>488</v>
      </c>
      <c r="F158" s="873" t="s">
        <v>837</v>
      </c>
      <c r="G158" s="871" t="s">
        <v>489</v>
      </c>
      <c r="H158" s="872" t="s">
        <v>1170</v>
      </c>
      <c r="I158" s="873" t="s">
        <v>838</v>
      </c>
      <c r="J158" s="874" t="s">
        <v>1171</v>
      </c>
      <c r="K158" s="874" t="s">
        <v>490</v>
      </c>
      <c r="L158" s="875" t="s">
        <v>489</v>
      </c>
      <c r="M158" s="874" t="s">
        <v>1172</v>
      </c>
      <c r="N158" s="873" t="s">
        <v>838</v>
      </c>
      <c r="O158" s="874" t="s">
        <v>1171</v>
      </c>
      <c r="P158" s="874" t="s">
        <v>826</v>
      </c>
      <c r="Q158" s="874" t="s">
        <v>1173</v>
      </c>
      <c r="R158" s="874" t="s">
        <v>1174</v>
      </c>
      <c r="S158" s="874" t="s">
        <v>839</v>
      </c>
      <c r="T158" s="874" t="s">
        <v>1171</v>
      </c>
      <c r="U158" s="874" t="s">
        <v>1392</v>
      </c>
      <c r="V158" s="874" t="s">
        <v>841</v>
      </c>
      <c r="W158" s="874" t="s">
        <v>841</v>
      </c>
      <c r="X158" s="874" t="s">
        <v>1394</v>
      </c>
      <c r="Y158" s="874" t="s">
        <v>839</v>
      </c>
      <c r="Z158" s="877"/>
      <c r="AA158" s="830"/>
      <c r="AB158" s="897"/>
      <c r="AC158" s="830"/>
      <c r="AD158" s="878"/>
      <c r="AF158" s="879"/>
      <c r="AG158" s="878"/>
      <c r="AH158" s="878"/>
      <c r="AI158" s="878"/>
      <c r="AJ158" s="878"/>
      <c r="AK158" s="878"/>
      <c r="AL158" s="880"/>
      <c r="AM158" s="878"/>
      <c r="AN158" s="878"/>
      <c r="AO158" s="881"/>
      <c r="AP158" s="878"/>
      <c r="AQ158" s="882"/>
      <c r="AR158" s="882"/>
      <c r="AS158" s="882"/>
      <c r="AT158" s="878"/>
      <c r="AU158" s="878"/>
      <c r="AV158" s="881"/>
      <c r="AW158" s="878"/>
      <c r="AX158" s="878"/>
      <c r="AY158" s="878"/>
      <c r="AZ158" s="878"/>
      <c r="BA158" s="878"/>
    </row>
    <row r="159" spans="1:53" s="690" customFormat="1" ht="16.5" customHeight="1" x14ac:dyDescent="0.25">
      <c r="A159" s="1115"/>
      <c r="B159" s="883" t="s">
        <v>1175</v>
      </c>
      <c r="C159" s="871">
        <f>C166</f>
        <v>32.131175319335235</v>
      </c>
      <c r="D159" s="935">
        <f>C159*$D$7</f>
        <v>6.4904974145057182</v>
      </c>
      <c r="E159" s="885" t="s">
        <v>1176</v>
      </c>
      <c r="F159" s="886"/>
      <c r="G159" s="887"/>
      <c r="H159" s="887"/>
      <c r="I159" s="749">
        <f>SUM(I160:I166)</f>
        <v>16.202400000000001</v>
      </c>
      <c r="J159" s="888" t="s">
        <v>1176</v>
      </c>
      <c r="K159" s="889"/>
      <c r="L159" s="890"/>
      <c r="M159" s="890"/>
      <c r="N159" s="891">
        <f>SUM(N160:N166)</f>
        <v>9.7177053508634495E-2</v>
      </c>
      <c r="O159" s="890" t="s">
        <v>1176</v>
      </c>
      <c r="P159" s="890"/>
      <c r="Q159" s="928"/>
      <c r="R159" s="893"/>
      <c r="S159" s="891">
        <f>SUM(S160:S166)</f>
        <v>4.1503124387477399</v>
      </c>
      <c r="T159" s="891"/>
      <c r="U159" s="891"/>
      <c r="V159" s="891"/>
      <c r="W159" s="891"/>
      <c r="X159" s="891"/>
      <c r="Y159" s="891">
        <f>SUM(Y160:Y166)</f>
        <v>10.307632433223615</v>
      </c>
      <c r="Z159" s="895">
        <f>(C159+D159+I159+N159+S159+Y159)*$Z$7</f>
        <v>90.205975032062454</v>
      </c>
      <c r="AA159" s="896">
        <f>C159+D159+I159+N159+S159+Y159+Z159</f>
        <v>159.58516969138338</v>
      </c>
      <c r="AB159" s="897">
        <v>0.3</v>
      </c>
      <c r="AC159" s="898">
        <f>AA159*(1+AB159)</f>
        <v>207.46072059879842</v>
      </c>
      <c r="AD159" s="881"/>
      <c r="AF159" s="879"/>
      <c r="AG159" s="878"/>
      <c r="AH159" s="878"/>
      <c r="AI159" s="882"/>
      <c r="AJ159" s="899"/>
      <c r="AK159" s="900"/>
      <c r="AL159" s="880"/>
      <c r="AM159" s="901"/>
      <c r="AN159" s="818"/>
      <c r="AO159" s="901"/>
      <c r="AP159" s="882"/>
      <c r="AQ159" s="882"/>
      <c r="AR159" s="882"/>
      <c r="AS159" s="882"/>
      <c r="AT159" s="882"/>
      <c r="AU159" s="901"/>
      <c r="AV159" s="901"/>
      <c r="AW159" s="902"/>
      <c r="AX159" s="878"/>
      <c r="AY159" s="878"/>
      <c r="AZ159" s="878"/>
      <c r="BA159" s="878"/>
    </row>
    <row r="160" spans="1:53" s="690" customFormat="1" ht="16.5" customHeight="1" x14ac:dyDescent="0.25">
      <c r="A160" s="1115"/>
      <c r="B160" s="903" t="s">
        <v>830</v>
      </c>
      <c r="C160" s="871"/>
      <c r="E160" s="904" t="s">
        <v>1437</v>
      </c>
      <c r="F160" s="905" t="s">
        <v>1438</v>
      </c>
      <c r="G160" s="906">
        <v>0.74</v>
      </c>
      <c r="H160" s="905">
        <v>0.3</v>
      </c>
      <c r="I160" s="907">
        <f t="shared" ref="I160:I165" si="14">G160*H160</f>
        <v>0.222</v>
      </c>
      <c r="J160" s="888" t="s">
        <v>1291</v>
      </c>
      <c r="K160" s="908">
        <v>2</v>
      </c>
      <c r="L160" s="909">
        <v>750</v>
      </c>
      <c r="M160" s="908">
        <v>2</v>
      </c>
      <c r="N160" s="891">
        <f>L160/'Исп. коэффициенты'!E28</f>
        <v>8.377332199020214E-2</v>
      </c>
      <c r="O160" s="910" t="s">
        <v>1578</v>
      </c>
      <c r="P160" s="890">
        <v>188900</v>
      </c>
      <c r="Q160" s="892">
        <v>0.19670000000000001</v>
      </c>
      <c r="R160" s="890">
        <f>P160*Q160</f>
        <v>37156.630000000005</v>
      </c>
      <c r="S160" s="890">
        <f>R160/'Исп. коэффициенты'!E28</f>
        <v>4.1503124387477399</v>
      </c>
      <c r="T160" s="830" t="s">
        <v>1435</v>
      </c>
      <c r="U160" s="887">
        <v>6785401.3499999996</v>
      </c>
      <c r="V160" s="894">
        <v>1.3599999999999999E-2</v>
      </c>
      <c r="W160" s="830">
        <f>'Исп. коэффициенты'!E124</f>
        <v>2978.5</v>
      </c>
      <c r="X160" s="891">
        <f>U160*V160</f>
        <v>92281.45835999999</v>
      </c>
      <c r="Y160" s="890">
        <f>X160/'Исп. коэффициенты'!E28</f>
        <v>10.307632433223615</v>
      </c>
      <c r="Z160" s="890"/>
      <c r="AA160" s="830"/>
      <c r="AB160" s="897"/>
      <c r="AC160" s="830"/>
      <c r="AD160" s="878"/>
      <c r="AF160" s="911"/>
      <c r="AG160" s="878"/>
      <c r="AH160" s="878"/>
      <c r="AI160" s="878"/>
      <c r="AJ160" s="912"/>
      <c r="AK160" s="878"/>
      <c r="AL160" s="880"/>
      <c r="AM160" s="878"/>
      <c r="AN160" s="878"/>
      <c r="AO160" s="881"/>
      <c r="AP160" s="878"/>
      <c r="AQ160" s="878"/>
      <c r="AR160" s="881"/>
      <c r="AS160" s="881"/>
      <c r="AT160" s="878"/>
      <c r="AU160" s="878"/>
      <c r="AV160" s="881"/>
      <c r="AW160" s="878"/>
      <c r="AX160" s="878"/>
      <c r="AY160" s="878"/>
      <c r="AZ160" s="878"/>
      <c r="BA160" s="878"/>
    </row>
    <row r="161" spans="1:53" s="690" customFormat="1" ht="16.5" customHeight="1" x14ac:dyDescent="0.25">
      <c r="A161" s="1115"/>
      <c r="B161" s="913" t="s">
        <v>1178</v>
      </c>
      <c r="C161" s="929">
        <f>C152</f>
        <v>43.888814515309463</v>
      </c>
      <c r="D161" s="884"/>
      <c r="E161" s="904" t="s">
        <v>1439</v>
      </c>
      <c r="F161" s="905" t="s">
        <v>1438</v>
      </c>
      <c r="G161" s="906">
        <v>0.27</v>
      </c>
      <c r="H161" s="905">
        <v>0.02</v>
      </c>
      <c r="I161" s="907">
        <f t="shared" si="14"/>
        <v>5.4000000000000003E-3</v>
      </c>
      <c r="J161" s="888" t="s">
        <v>1445</v>
      </c>
      <c r="K161" s="891">
        <v>2</v>
      </c>
      <c r="L161" s="915">
        <v>95</v>
      </c>
      <c r="M161" s="908">
        <v>2</v>
      </c>
      <c r="N161" s="891">
        <f>L161/'Исп. коэффициенты'!E28</f>
        <v>1.0611287452092272E-2</v>
      </c>
      <c r="O161" s="890"/>
      <c r="P161" s="890"/>
      <c r="Q161" s="892"/>
      <c r="R161" s="890"/>
      <c r="S161" s="890"/>
      <c r="T161" s="890"/>
      <c r="U161" s="890"/>
      <c r="V161" s="890"/>
      <c r="W161" s="892"/>
      <c r="X161" s="890"/>
      <c r="Y161" s="890"/>
      <c r="Z161" s="890"/>
      <c r="AA161" s="830"/>
      <c r="AB161" s="897"/>
      <c r="AC161" s="830"/>
      <c r="AD161" s="878"/>
      <c r="AF161" s="911"/>
      <c r="AG161" s="878"/>
      <c r="AH161" s="878"/>
      <c r="AI161" s="878"/>
      <c r="AJ161" s="912"/>
      <c r="AK161" s="878"/>
      <c r="AL161" s="880"/>
      <c r="AM161" s="902"/>
      <c r="AN161" s="878"/>
      <c r="AO161" s="881"/>
      <c r="AP161" s="878"/>
      <c r="AQ161" s="878"/>
      <c r="AR161" s="881"/>
      <c r="AS161" s="881"/>
      <c r="AT161" s="878"/>
      <c r="AU161" s="878"/>
      <c r="AV161" s="881"/>
      <c r="AW161" s="878"/>
      <c r="AX161" s="878"/>
      <c r="AY161" s="878"/>
      <c r="AZ161" s="878"/>
      <c r="BA161" s="878"/>
    </row>
    <row r="162" spans="1:53" s="690" customFormat="1" ht="16.5" customHeight="1" x14ac:dyDescent="0.25">
      <c r="A162" s="1115"/>
      <c r="B162" s="885" t="s">
        <v>1179</v>
      </c>
      <c r="C162" s="924">
        <f>C153</f>
        <v>19.495759833054819</v>
      </c>
      <c r="D162" s="884"/>
      <c r="E162" s="904" t="s">
        <v>1440</v>
      </c>
      <c r="F162" s="905" t="s">
        <v>1441</v>
      </c>
      <c r="G162" s="906">
        <v>5.92</v>
      </c>
      <c r="H162" s="916">
        <v>1</v>
      </c>
      <c r="I162" s="907">
        <f t="shared" si="14"/>
        <v>5.92</v>
      </c>
      <c r="J162" s="888" t="s">
        <v>1513</v>
      </c>
      <c r="K162" s="891">
        <v>2</v>
      </c>
      <c r="L162" s="891">
        <v>25</v>
      </c>
      <c r="M162" s="908">
        <v>0.5</v>
      </c>
      <c r="N162" s="891">
        <f>L162/'Исп. коэффициенты'!E28</f>
        <v>2.7924440663400717E-3</v>
      </c>
      <c r="O162" s="890"/>
      <c r="P162" s="890"/>
      <c r="Q162" s="892"/>
      <c r="R162" s="890"/>
      <c r="S162" s="890"/>
      <c r="T162" s="890"/>
      <c r="U162" s="890"/>
      <c r="V162" s="890"/>
      <c r="W162" s="892"/>
      <c r="X162" s="890"/>
      <c r="Y162" s="890"/>
      <c r="Z162" s="890"/>
      <c r="AA162" s="830"/>
      <c r="AB162" s="897"/>
      <c r="AC162" s="830"/>
      <c r="AD162" s="878"/>
      <c r="AF162" s="911"/>
      <c r="AG162" s="878"/>
      <c r="AH162" s="878"/>
      <c r="AI162" s="878"/>
      <c r="AJ162" s="912"/>
      <c r="AK162" s="878"/>
      <c r="AL162" s="880"/>
      <c r="AM162" s="878"/>
      <c r="AN162" s="878"/>
      <c r="AO162" s="881"/>
      <c r="AP162" s="878"/>
      <c r="AQ162" s="878"/>
      <c r="AR162" s="881"/>
      <c r="AS162" s="881"/>
      <c r="AT162" s="878"/>
      <c r="AU162" s="878"/>
      <c r="AV162" s="881"/>
      <c r="AW162" s="878"/>
      <c r="AX162" s="878"/>
      <c r="AY162" s="878"/>
      <c r="AZ162" s="878"/>
      <c r="BA162" s="878"/>
    </row>
    <row r="163" spans="1:53" s="690" customFormat="1" ht="16.5" customHeight="1" x14ac:dyDescent="0.25">
      <c r="A163" s="1115"/>
      <c r="B163" s="885" t="s">
        <v>831</v>
      </c>
      <c r="C163" s="930"/>
      <c r="D163" s="884"/>
      <c r="E163" s="904" t="s">
        <v>1442</v>
      </c>
      <c r="F163" s="905" t="s">
        <v>1443</v>
      </c>
      <c r="G163" s="906">
        <v>419.5</v>
      </c>
      <c r="H163" s="905">
        <v>0.01</v>
      </c>
      <c r="I163" s="907">
        <f t="shared" si="14"/>
        <v>4.1950000000000003</v>
      </c>
      <c r="J163" s="888"/>
      <c r="K163" s="918"/>
      <c r="L163" s="891"/>
      <c r="M163" s="891"/>
      <c r="N163" s="891"/>
      <c r="O163" s="890"/>
      <c r="P163" s="890"/>
      <c r="Q163" s="892"/>
      <c r="R163" s="890"/>
      <c r="S163" s="890"/>
      <c r="T163" s="890"/>
      <c r="U163" s="890"/>
      <c r="V163" s="890"/>
      <c r="W163" s="892"/>
      <c r="X163" s="890"/>
      <c r="Y163" s="890"/>
      <c r="Z163" s="890"/>
      <c r="AA163" s="830"/>
      <c r="AB163" s="897"/>
      <c r="AC163" s="830"/>
      <c r="AD163" s="878"/>
      <c r="AF163" s="911"/>
      <c r="AG163" s="878"/>
      <c r="AH163" s="878"/>
      <c r="AI163" s="878"/>
      <c r="AJ163" s="912"/>
      <c r="AK163" s="878"/>
      <c r="AL163" s="880"/>
      <c r="AM163" s="878"/>
      <c r="AN163" s="878"/>
      <c r="AO163" s="881"/>
      <c r="AP163" s="878"/>
      <c r="AQ163" s="878"/>
      <c r="AR163" s="881"/>
      <c r="AS163" s="881"/>
      <c r="AT163" s="878"/>
      <c r="AU163" s="878"/>
      <c r="AV163" s="881"/>
      <c r="AW163" s="878"/>
      <c r="AX163" s="878"/>
      <c r="AY163" s="878"/>
      <c r="AZ163" s="878"/>
      <c r="BA163" s="878"/>
    </row>
    <row r="164" spans="1:53" s="690" customFormat="1" ht="16.5" customHeight="1" x14ac:dyDescent="0.25">
      <c r="A164" s="1115"/>
      <c r="B164" s="913" t="s">
        <v>1178</v>
      </c>
      <c r="C164" s="931">
        <v>0.51</v>
      </c>
      <c r="D164" s="884"/>
      <c r="E164" s="904" t="s">
        <v>1444</v>
      </c>
      <c r="F164" s="905" t="s">
        <v>1443</v>
      </c>
      <c r="G164" s="906">
        <v>872</v>
      </c>
      <c r="H164" s="905">
        <v>5.0000000000000001E-3</v>
      </c>
      <c r="I164" s="907">
        <f t="shared" si="14"/>
        <v>4.3600000000000003</v>
      </c>
      <c r="J164" s="888"/>
      <c r="K164" s="918"/>
      <c r="L164" s="891"/>
      <c r="M164" s="891"/>
      <c r="N164" s="891"/>
      <c r="O164" s="890"/>
      <c r="P164" s="890"/>
      <c r="Q164" s="890"/>
      <c r="R164" s="890"/>
      <c r="S164" s="890"/>
      <c r="T164" s="890"/>
      <c r="U164" s="890"/>
      <c r="V164" s="890"/>
      <c r="W164" s="890"/>
      <c r="X164" s="890"/>
      <c r="Y164" s="890"/>
      <c r="Z164" s="890"/>
      <c r="AA164" s="830"/>
      <c r="AB164" s="897"/>
      <c r="AC164" s="830"/>
      <c r="AD164" s="878"/>
      <c r="AF164" s="911"/>
      <c r="AG164" s="878"/>
      <c r="AH164" s="878"/>
      <c r="AI164" s="878"/>
      <c r="AJ164" s="920"/>
      <c r="AK164" s="878"/>
      <c r="AL164" s="880"/>
      <c r="AM164" s="878"/>
      <c r="AN164" s="878"/>
      <c r="AO164" s="881"/>
      <c r="AP164" s="878"/>
      <c r="AQ164" s="878"/>
      <c r="AR164" s="881"/>
      <c r="AS164" s="881"/>
      <c r="AT164" s="878"/>
      <c r="AU164" s="878"/>
      <c r="AV164" s="881"/>
      <c r="AW164" s="878"/>
      <c r="AX164" s="878"/>
      <c r="AY164" s="878"/>
      <c r="AZ164" s="878"/>
      <c r="BA164" s="878"/>
    </row>
    <row r="165" spans="1:53" s="690" customFormat="1" ht="16.5" customHeight="1" x14ac:dyDescent="0.25">
      <c r="A165" s="1115"/>
      <c r="B165" s="885" t="s">
        <v>1179</v>
      </c>
      <c r="C165" s="931">
        <v>0.5</v>
      </c>
      <c r="D165" s="884"/>
      <c r="E165" s="932" t="s">
        <v>13</v>
      </c>
      <c r="F165" s="921" t="s">
        <v>1441</v>
      </c>
      <c r="G165" s="906">
        <v>1.5</v>
      </c>
      <c r="H165" s="905">
        <v>1</v>
      </c>
      <c r="I165" s="907">
        <f t="shared" si="14"/>
        <v>1.5</v>
      </c>
      <c r="J165" s="888"/>
      <c r="K165" s="918"/>
      <c r="L165" s="909"/>
      <c r="M165" s="908"/>
      <c r="N165" s="891"/>
      <c r="O165" s="890"/>
      <c r="P165" s="890"/>
      <c r="Q165" s="890"/>
      <c r="R165" s="890"/>
      <c r="S165" s="890"/>
      <c r="T165" s="890"/>
      <c r="U165" s="890"/>
      <c r="V165" s="890"/>
      <c r="W165" s="890"/>
      <c r="X165" s="890"/>
      <c r="Y165" s="890"/>
      <c r="Z165" s="890"/>
      <c r="AA165" s="830"/>
      <c r="AB165" s="897"/>
      <c r="AC165" s="830"/>
      <c r="AD165" s="878"/>
      <c r="AF165" s="911"/>
      <c r="AG165" s="878"/>
      <c r="AH165" s="878"/>
      <c r="AI165" s="878"/>
      <c r="AJ165" s="920"/>
      <c r="AK165" s="878"/>
      <c r="AL165" s="880"/>
      <c r="AM165" s="878"/>
      <c r="AN165" s="878"/>
      <c r="AO165" s="881"/>
      <c r="AP165" s="878"/>
      <c r="AQ165" s="878"/>
      <c r="AR165" s="881"/>
      <c r="AS165" s="881"/>
      <c r="AT165" s="878"/>
      <c r="AU165" s="878"/>
      <c r="AV165" s="881"/>
      <c r="AW165" s="878"/>
      <c r="AX165" s="878"/>
      <c r="AY165" s="878"/>
      <c r="AZ165" s="878"/>
      <c r="BA165" s="878"/>
    </row>
    <row r="166" spans="1:53" s="690" customFormat="1" ht="16.5" customHeight="1" x14ac:dyDescent="0.25">
      <c r="A166" s="1116"/>
      <c r="B166" s="922" t="s">
        <v>1181</v>
      </c>
      <c r="C166" s="924">
        <f>C161*C164+C162*C165</f>
        <v>32.131175319335235</v>
      </c>
      <c r="D166" s="884"/>
      <c r="E166" s="932"/>
      <c r="F166" s="921"/>
      <c r="G166" s="906"/>
      <c r="H166" s="905"/>
      <c r="I166" s="907"/>
      <c r="J166" s="888"/>
      <c r="K166" s="918"/>
      <c r="L166" s="915"/>
      <c r="M166" s="908"/>
      <c r="N166" s="891"/>
      <c r="O166" s="890"/>
      <c r="P166" s="890"/>
      <c r="Q166" s="890"/>
      <c r="R166" s="890"/>
      <c r="S166" s="890"/>
      <c r="T166" s="890"/>
      <c r="U166" s="890"/>
      <c r="V166" s="890"/>
      <c r="W166" s="890"/>
      <c r="X166" s="890"/>
      <c r="Y166" s="890"/>
      <c r="Z166" s="890"/>
      <c r="AA166" s="830"/>
      <c r="AB166" s="897"/>
      <c r="AC166" s="830"/>
      <c r="AD166" s="878"/>
      <c r="AF166" s="911"/>
      <c r="AG166" s="878"/>
      <c r="AH166" s="878"/>
      <c r="AI166" s="878"/>
      <c r="AJ166" s="912"/>
      <c r="AK166" s="878"/>
      <c r="AL166" s="880"/>
      <c r="AM166" s="878"/>
      <c r="AN166" s="878"/>
      <c r="AO166" s="881"/>
      <c r="AP166" s="878"/>
      <c r="AQ166" s="878"/>
      <c r="AR166" s="881"/>
      <c r="AS166" s="881"/>
      <c r="AT166" s="878"/>
      <c r="AU166" s="878"/>
      <c r="AV166" s="881"/>
      <c r="AW166" s="878"/>
      <c r="AX166" s="878"/>
      <c r="AY166" s="878"/>
      <c r="AZ166" s="878"/>
      <c r="BA166" s="878"/>
    </row>
    <row r="167" spans="1:53" ht="37.5" customHeight="1" x14ac:dyDescent="0.25">
      <c r="A167" s="1137" t="s">
        <v>1570</v>
      </c>
      <c r="B167" s="439" t="s">
        <v>538</v>
      </c>
      <c r="C167" s="487"/>
      <c r="D167" s="495"/>
      <c r="E167" s="441" t="s">
        <v>488</v>
      </c>
      <c r="F167" s="442" t="s">
        <v>837</v>
      </c>
      <c r="G167" s="439" t="s">
        <v>489</v>
      </c>
      <c r="H167" s="441" t="s">
        <v>1170</v>
      </c>
      <c r="I167" s="442" t="s">
        <v>838</v>
      </c>
      <c r="J167" s="280" t="s">
        <v>1171</v>
      </c>
      <c r="K167" s="280" t="s">
        <v>490</v>
      </c>
      <c r="L167" s="281" t="s">
        <v>489</v>
      </c>
      <c r="M167" s="280" t="s">
        <v>1172</v>
      </c>
      <c r="N167" s="442" t="s">
        <v>838</v>
      </c>
      <c r="O167" s="280" t="s">
        <v>1171</v>
      </c>
      <c r="P167" s="280" t="s">
        <v>826</v>
      </c>
      <c r="Q167" s="280" t="s">
        <v>1173</v>
      </c>
      <c r="R167" s="280" t="s">
        <v>1174</v>
      </c>
      <c r="S167" s="280" t="s">
        <v>839</v>
      </c>
      <c r="T167" s="280" t="s">
        <v>1171</v>
      </c>
      <c r="U167" s="280" t="s">
        <v>1392</v>
      </c>
      <c r="V167" s="280" t="s">
        <v>841</v>
      </c>
      <c r="W167" s="280" t="s">
        <v>841</v>
      </c>
      <c r="X167" s="280" t="s">
        <v>1394</v>
      </c>
      <c r="Y167" s="280" t="s">
        <v>839</v>
      </c>
      <c r="Z167" s="283"/>
      <c r="AA167" s="440"/>
      <c r="AB167" s="460"/>
      <c r="AC167" s="440"/>
      <c r="AD167" s="444"/>
      <c r="AQ167" s="449"/>
      <c r="AR167" s="449"/>
      <c r="AS167" s="449"/>
    </row>
    <row r="168" spans="1:53" ht="16.5" customHeight="1" x14ac:dyDescent="0.25">
      <c r="A168" s="1138"/>
      <c r="B168" s="450" t="s">
        <v>1175</v>
      </c>
      <c r="C168" s="439">
        <f>C175</f>
        <v>38.991519666109639</v>
      </c>
      <c r="D168" s="496">
        <f>C168*$D$7</f>
        <v>7.8762869725541478</v>
      </c>
      <c r="E168" s="452" t="s">
        <v>1176</v>
      </c>
      <c r="F168" s="453"/>
      <c r="G168" s="454"/>
      <c r="H168" s="454"/>
      <c r="I168" s="455">
        <f>SUM(I169:I175)</f>
        <v>16.0517</v>
      </c>
      <c r="J168" s="290" t="s">
        <v>1176</v>
      </c>
      <c r="K168" s="357"/>
      <c r="L168" s="291"/>
      <c r="M168" s="291"/>
      <c r="N168" s="292">
        <f>SUM(N169:N175)</f>
        <v>4.4213899999999997</v>
      </c>
      <c r="O168" s="291" t="s">
        <v>1176</v>
      </c>
      <c r="P168" s="291"/>
      <c r="Q168" s="293"/>
      <c r="R168" s="294"/>
      <c r="S168" s="292">
        <f>SUM(S169:S175)</f>
        <v>8.1902000000000008</v>
      </c>
      <c r="T168" s="292"/>
      <c r="U168" s="292"/>
      <c r="V168" s="292"/>
      <c r="W168" s="292"/>
      <c r="X168" s="292"/>
      <c r="Y168" s="292">
        <f>SUM(Y169:Y175)</f>
        <v>9.1999999999999998E-3</v>
      </c>
      <c r="Z168" s="296">
        <f>(C168+D168+I168+N168+S168+Y168)*$Z$7</f>
        <v>98.216563999657595</v>
      </c>
      <c r="AA168" s="459">
        <f>C168+D168+I168+N168+S168+Y168+Z168</f>
        <v>173.7568606383214</v>
      </c>
      <c r="AB168" s="460">
        <v>0.3</v>
      </c>
      <c r="AC168" s="461">
        <f>AA168*(1+AB168)</f>
        <v>225.88391882981782</v>
      </c>
      <c r="AD168" s="448"/>
      <c r="AI168" s="449"/>
      <c r="AJ168" s="462"/>
      <c r="AK168" s="463"/>
      <c r="AM168" s="464"/>
      <c r="AN168" s="143"/>
      <c r="AO168" s="464"/>
      <c r="AP168" s="449"/>
      <c r="AQ168" s="449"/>
      <c r="AR168" s="449"/>
      <c r="AS168" s="449"/>
      <c r="AT168" s="449"/>
      <c r="AU168" s="464"/>
      <c r="AV168" s="464"/>
      <c r="AW168" s="465"/>
    </row>
    <row r="169" spans="1:53" ht="16.5" customHeight="1" x14ac:dyDescent="0.25">
      <c r="A169" s="1138"/>
      <c r="B169" s="466" t="s">
        <v>830</v>
      </c>
      <c r="C169" s="439"/>
      <c r="E169" s="300" t="s">
        <v>1437</v>
      </c>
      <c r="F169" s="301" t="s">
        <v>1438</v>
      </c>
      <c r="G169" s="302">
        <v>0.74</v>
      </c>
      <c r="H169" s="301">
        <v>0.1</v>
      </c>
      <c r="I169" s="303">
        <f t="shared" ref="I169:I174" si="15">G169*H169</f>
        <v>7.3999999999999996E-2</v>
      </c>
      <c r="J169" s="290" t="s">
        <v>1291</v>
      </c>
      <c r="K169" s="304">
        <v>2</v>
      </c>
      <c r="L169" s="305">
        <v>750</v>
      </c>
      <c r="M169" s="304">
        <v>2</v>
      </c>
      <c r="N169" s="292">
        <v>1.1745000000000001</v>
      </c>
      <c r="O169" s="467" t="s">
        <v>1578</v>
      </c>
      <c r="P169" s="291">
        <v>188900</v>
      </c>
      <c r="Q169" s="372">
        <v>0.19670000000000001</v>
      </c>
      <c r="R169" s="291">
        <f>P169*Q169</f>
        <v>37156.630000000005</v>
      </c>
      <c r="S169" s="291">
        <v>8.1902000000000008</v>
      </c>
      <c r="T169" s="458" t="s">
        <v>1435</v>
      </c>
      <c r="U169" s="456">
        <v>6785401.3499999996</v>
      </c>
      <c r="V169" s="457">
        <v>1.32E-2</v>
      </c>
      <c r="W169" s="458">
        <v>1508.3</v>
      </c>
      <c r="X169" s="292">
        <v>59.38</v>
      </c>
      <c r="Y169" s="291">
        <v>9.1999999999999998E-3</v>
      </c>
      <c r="Z169" s="291"/>
      <c r="AA169" s="440"/>
      <c r="AB169" s="460"/>
      <c r="AC169" s="440"/>
      <c r="AD169" s="444"/>
      <c r="AF169" s="365"/>
      <c r="AJ169" s="468"/>
    </row>
    <row r="170" spans="1:53" ht="16.5" customHeight="1" x14ac:dyDescent="0.25">
      <c r="A170" s="1138"/>
      <c r="B170" s="469" t="s">
        <v>1178</v>
      </c>
      <c r="C170" s="491">
        <f>C161</f>
        <v>43.888814515309463</v>
      </c>
      <c r="D170" s="451"/>
      <c r="E170" s="300" t="s">
        <v>1439</v>
      </c>
      <c r="F170" s="301" t="s">
        <v>1438</v>
      </c>
      <c r="G170" s="302">
        <v>0.27</v>
      </c>
      <c r="H170" s="301">
        <v>0.01</v>
      </c>
      <c r="I170" s="303">
        <f t="shared" si="15"/>
        <v>2.7000000000000001E-3</v>
      </c>
      <c r="J170" s="290" t="s">
        <v>1445</v>
      </c>
      <c r="K170" s="292">
        <v>2</v>
      </c>
      <c r="L170" s="311">
        <v>95</v>
      </c>
      <c r="M170" s="304">
        <v>2</v>
      </c>
      <c r="N170" s="292">
        <v>3.1146400000000001</v>
      </c>
      <c r="O170" s="291"/>
      <c r="P170" s="291"/>
      <c r="Q170" s="372"/>
      <c r="R170" s="291"/>
      <c r="S170" s="291"/>
      <c r="T170" s="291"/>
      <c r="U170" s="291"/>
      <c r="V170" s="291"/>
      <c r="W170" s="372"/>
      <c r="X170" s="291"/>
      <c r="Y170" s="291"/>
      <c r="Z170" s="291"/>
      <c r="AA170" s="440"/>
      <c r="AB170" s="460"/>
      <c r="AC170" s="440"/>
      <c r="AD170" s="444"/>
      <c r="AF170" s="365"/>
      <c r="AJ170" s="468"/>
      <c r="AM170" s="465"/>
    </row>
    <row r="171" spans="1:53" ht="16.5" customHeight="1" x14ac:dyDescent="0.25">
      <c r="A171" s="1138"/>
      <c r="B171" s="452" t="s">
        <v>1179</v>
      </c>
      <c r="C171" s="487">
        <f>C162</f>
        <v>19.495759833054819</v>
      </c>
      <c r="D171" s="451"/>
      <c r="E171" s="300" t="s">
        <v>1440</v>
      </c>
      <c r="F171" s="301" t="s">
        <v>1441</v>
      </c>
      <c r="G171" s="302">
        <v>5.92</v>
      </c>
      <c r="H171" s="471">
        <v>1</v>
      </c>
      <c r="I171" s="303">
        <f t="shared" si="15"/>
        <v>5.92</v>
      </c>
      <c r="J171" s="290" t="s">
        <v>1513</v>
      </c>
      <c r="K171" s="292">
        <v>2</v>
      </c>
      <c r="L171" s="292">
        <v>25</v>
      </c>
      <c r="M171" s="304">
        <v>0.5</v>
      </c>
      <c r="N171" s="292">
        <v>0.13225000000000001</v>
      </c>
      <c r="O171" s="291"/>
      <c r="P171" s="291"/>
      <c r="Q171" s="372"/>
      <c r="R171" s="291"/>
      <c r="S171" s="291"/>
      <c r="T171" s="291"/>
      <c r="U171" s="291"/>
      <c r="V171" s="291"/>
      <c r="W171" s="372"/>
      <c r="X171" s="291"/>
      <c r="Y171" s="291"/>
      <c r="Z171" s="291"/>
      <c r="AA171" s="440"/>
      <c r="AB171" s="460"/>
      <c r="AC171" s="440"/>
      <c r="AD171" s="444"/>
      <c r="AF171" s="365"/>
      <c r="AJ171" s="468"/>
    </row>
    <row r="172" spans="1:53" ht="16.5" customHeight="1" x14ac:dyDescent="0.25">
      <c r="A172" s="1138"/>
      <c r="B172" s="452" t="s">
        <v>831</v>
      </c>
      <c r="C172" s="492"/>
      <c r="D172" s="451"/>
      <c r="E172" s="300" t="s">
        <v>1442</v>
      </c>
      <c r="F172" s="301" t="s">
        <v>1443</v>
      </c>
      <c r="G172" s="302">
        <v>419.5</v>
      </c>
      <c r="H172" s="301">
        <v>0.01</v>
      </c>
      <c r="I172" s="303">
        <f t="shared" si="15"/>
        <v>4.1950000000000003</v>
      </c>
      <c r="J172" s="290"/>
      <c r="K172" s="374"/>
      <c r="L172" s="292"/>
      <c r="M172" s="292"/>
      <c r="N172" s="292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440"/>
      <c r="AB172" s="460"/>
      <c r="AC172" s="440"/>
      <c r="AD172" s="444"/>
      <c r="AF172" s="365"/>
      <c r="AJ172" s="468"/>
    </row>
    <row r="173" spans="1:53" ht="16.5" customHeight="1" x14ac:dyDescent="0.25">
      <c r="A173" s="1138"/>
      <c r="B173" s="469" t="s">
        <v>1178</v>
      </c>
      <c r="C173" s="493">
        <v>0</v>
      </c>
      <c r="D173" s="451"/>
      <c r="E173" s="300" t="s">
        <v>1444</v>
      </c>
      <c r="F173" s="301" t="s">
        <v>1443</v>
      </c>
      <c r="G173" s="302">
        <v>872</v>
      </c>
      <c r="H173" s="301">
        <v>5.0000000000000001E-3</v>
      </c>
      <c r="I173" s="303">
        <f t="shared" si="15"/>
        <v>4.3600000000000003</v>
      </c>
      <c r="J173" s="290"/>
      <c r="K173" s="374"/>
      <c r="L173" s="292"/>
      <c r="M173" s="292"/>
      <c r="N173" s="292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1"/>
      <c r="AA173" s="440"/>
      <c r="AB173" s="460"/>
      <c r="AC173" s="440"/>
      <c r="AD173" s="444"/>
      <c r="AF173" s="365"/>
      <c r="AJ173" s="472"/>
    </row>
    <row r="174" spans="1:53" ht="16.5" customHeight="1" x14ac:dyDescent="0.25">
      <c r="A174" s="1138"/>
      <c r="B174" s="452" t="s">
        <v>1179</v>
      </c>
      <c r="C174" s="493">
        <v>2</v>
      </c>
      <c r="D174" s="451"/>
      <c r="E174" s="494" t="s">
        <v>13</v>
      </c>
      <c r="F174" s="376" t="s">
        <v>1441</v>
      </c>
      <c r="G174" s="302">
        <v>1.5</v>
      </c>
      <c r="H174" s="301">
        <v>1</v>
      </c>
      <c r="I174" s="303">
        <f t="shared" si="15"/>
        <v>1.5</v>
      </c>
      <c r="J174" s="290"/>
      <c r="K174" s="374"/>
      <c r="L174" s="305"/>
      <c r="M174" s="304"/>
      <c r="N174" s="292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1"/>
      <c r="AA174" s="440"/>
      <c r="AB174" s="460"/>
      <c r="AC174" s="440"/>
      <c r="AD174" s="444"/>
      <c r="AF174" s="365"/>
      <c r="AJ174" s="472"/>
    </row>
    <row r="175" spans="1:53" ht="16.5" customHeight="1" x14ac:dyDescent="0.25">
      <c r="A175" s="1139"/>
      <c r="B175" s="474" t="s">
        <v>1181</v>
      </c>
      <c r="C175" s="487">
        <f>C170*C173+C171*C174</f>
        <v>38.991519666109639</v>
      </c>
      <c r="D175" s="451"/>
      <c r="E175" s="494"/>
      <c r="F175" s="376"/>
      <c r="G175" s="302"/>
      <c r="H175" s="301"/>
      <c r="I175" s="303"/>
      <c r="J175" s="290"/>
      <c r="K175" s="374"/>
      <c r="L175" s="311"/>
      <c r="M175" s="304"/>
      <c r="N175" s="292"/>
      <c r="O175" s="291"/>
      <c r="P175" s="291"/>
      <c r="Q175" s="291"/>
      <c r="R175" s="291"/>
      <c r="S175" s="291"/>
      <c r="T175" s="291"/>
      <c r="U175" s="291"/>
      <c r="V175" s="291"/>
      <c r="W175" s="291"/>
      <c r="X175" s="291"/>
      <c r="Y175" s="291"/>
      <c r="Z175" s="291"/>
      <c r="AA175" s="440"/>
      <c r="AB175" s="460"/>
      <c r="AC175" s="440"/>
      <c r="AD175" s="444"/>
      <c r="AF175" s="365"/>
      <c r="AJ175" s="468"/>
    </row>
    <row r="176" spans="1:53" s="690" customFormat="1" ht="37.5" customHeight="1" x14ac:dyDescent="0.25">
      <c r="A176" s="1114" t="s">
        <v>1810</v>
      </c>
      <c r="B176" s="871" t="s">
        <v>1808</v>
      </c>
      <c r="C176" s="924"/>
      <c r="D176" s="934"/>
      <c r="E176" s="872" t="s">
        <v>488</v>
      </c>
      <c r="F176" s="873" t="s">
        <v>837</v>
      </c>
      <c r="G176" s="871" t="s">
        <v>489</v>
      </c>
      <c r="H176" s="872" t="s">
        <v>1170</v>
      </c>
      <c r="I176" s="873" t="s">
        <v>838</v>
      </c>
      <c r="J176" s="874" t="s">
        <v>1171</v>
      </c>
      <c r="K176" s="874" t="s">
        <v>490</v>
      </c>
      <c r="L176" s="875" t="s">
        <v>489</v>
      </c>
      <c r="M176" s="874" t="s">
        <v>1172</v>
      </c>
      <c r="N176" s="873" t="s">
        <v>838</v>
      </c>
      <c r="O176" s="874" t="s">
        <v>1171</v>
      </c>
      <c r="P176" s="874" t="s">
        <v>826</v>
      </c>
      <c r="Q176" s="874" t="s">
        <v>1173</v>
      </c>
      <c r="R176" s="874" t="s">
        <v>1174</v>
      </c>
      <c r="S176" s="874" t="s">
        <v>839</v>
      </c>
      <c r="T176" s="874" t="s">
        <v>1171</v>
      </c>
      <c r="U176" s="874" t="s">
        <v>1392</v>
      </c>
      <c r="V176" s="874" t="s">
        <v>841</v>
      </c>
      <c r="W176" s="874" t="s">
        <v>841</v>
      </c>
      <c r="X176" s="874" t="s">
        <v>1394</v>
      </c>
      <c r="Y176" s="874" t="s">
        <v>839</v>
      </c>
      <c r="Z176" s="877"/>
      <c r="AA176" s="830"/>
      <c r="AB176" s="897"/>
      <c r="AC176" s="830"/>
      <c r="AD176" s="878"/>
      <c r="AF176" s="879"/>
      <c r="AG176" s="878"/>
      <c r="AH176" s="878"/>
      <c r="AI176" s="878"/>
      <c r="AJ176" s="878"/>
      <c r="AK176" s="878"/>
      <c r="AL176" s="880"/>
      <c r="AM176" s="878"/>
      <c r="AN176" s="878"/>
      <c r="AO176" s="881"/>
      <c r="AP176" s="878"/>
      <c r="AQ176" s="882"/>
      <c r="AR176" s="882"/>
      <c r="AS176" s="882"/>
      <c r="AT176" s="878"/>
      <c r="AU176" s="878"/>
      <c r="AV176" s="881"/>
      <c r="AW176" s="878"/>
      <c r="AX176" s="878"/>
      <c r="AY176" s="878"/>
      <c r="AZ176" s="878"/>
      <c r="BA176" s="878"/>
    </row>
    <row r="177" spans="1:53" s="690" customFormat="1" ht="16.5" customHeight="1" x14ac:dyDescent="0.25">
      <c r="A177" s="1115"/>
      <c r="B177" s="883" t="s">
        <v>1175</v>
      </c>
      <c r="C177" s="871">
        <f>C184</f>
        <v>15.846143587091071</v>
      </c>
      <c r="D177" s="935">
        <f>C177*$D$7</f>
        <v>3.2009210045923964</v>
      </c>
      <c r="E177" s="885" t="s">
        <v>1176</v>
      </c>
      <c r="F177" s="886"/>
      <c r="G177" s="887"/>
      <c r="H177" s="887"/>
      <c r="I177" s="749">
        <f>SUM(I178:I185)</f>
        <v>40.551699999999997</v>
      </c>
      <c r="J177" s="888" t="s">
        <v>1176</v>
      </c>
      <c r="K177" s="889"/>
      <c r="L177" s="890"/>
      <c r="M177" s="890"/>
      <c r="N177" s="891">
        <f>SUM(N178:N184)</f>
        <v>9.7177053508634495E-2</v>
      </c>
      <c r="O177" s="890" t="s">
        <v>1176</v>
      </c>
      <c r="P177" s="890"/>
      <c r="Q177" s="928"/>
      <c r="R177" s="893"/>
      <c r="S177" s="891">
        <f>SUM(S178:S184)</f>
        <v>4.1503124387477399</v>
      </c>
      <c r="T177" s="891"/>
      <c r="U177" s="891"/>
      <c r="V177" s="891"/>
      <c r="W177" s="891"/>
      <c r="X177" s="891"/>
      <c r="Y177" s="891">
        <f>SUM(Y178:Y184)</f>
        <v>10.307632433223615</v>
      </c>
      <c r="Z177" s="895">
        <f>(C177+D177+I177+N177+S177+Y177)*$Z$7</f>
        <v>96.413970622516729</v>
      </c>
      <c r="AA177" s="896">
        <f>C177+D177+I177+N177+S177+Y177+Z177</f>
        <v>170.5678571396802</v>
      </c>
      <c r="AB177" s="897">
        <v>0.3</v>
      </c>
      <c r="AC177" s="898">
        <f>AA177*(1+AB177)</f>
        <v>221.73821428158428</v>
      </c>
      <c r="AD177" s="881"/>
      <c r="AF177" s="879"/>
      <c r="AG177" s="878"/>
      <c r="AH177" s="878"/>
      <c r="AI177" s="882"/>
      <c r="AJ177" s="899"/>
      <c r="AK177" s="900"/>
      <c r="AL177" s="880"/>
      <c r="AM177" s="901"/>
      <c r="AN177" s="818"/>
      <c r="AO177" s="901"/>
      <c r="AP177" s="882"/>
      <c r="AQ177" s="882"/>
      <c r="AR177" s="882"/>
      <c r="AS177" s="882"/>
      <c r="AT177" s="882"/>
      <c r="AU177" s="901"/>
      <c r="AV177" s="901"/>
      <c r="AW177" s="902"/>
      <c r="AX177" s="878"/>
      <c r="AY177" s="878"/>
      <c r="AZ177" s="878"/>
      <c r="BA177" s="878"/>
    </row>
    <row r="178" spans="1:53" s="690" customFormat="1" ht="16.5" customHeight="1" x14ac:dyDescent="0.25">
      <c r="A178" s="1115"/>
      <c r="B178" s="903" t="s">
        <v>830</v>
      </c>
      <c r="C178" s="871"/>
      <c r="E178" s="904" t="s">
        <v>1437</v>
      </c>
      <c r="F178" s="905" t="s">
        <v>1438</v>
      </c>
      <c r="G178" s="906">
        <v>0.74</v>
      </c>
      <c r="H178" s="905">
        <v>0.1</v>
      </c>
      <c r="I178" s="907">
        <f t="shared" ref="I178:I185" si="16">G178*H178</f>
        <v>7.3999999999999996E-2</v>
      </c>
      <c r="J178" s="888" t="s">
        <v>1291</v>
      </c>
      <c r="K178" s="908">
        <v>2</v>
      </c>
      <c r="L178" s="909">
        <v>750</v>
      </c>
      <c r="M178" s="908">
        <v>2</v>
      </c>
      <c r="N178" s="891">
        <f>L178/'Исп. коэффициенты'!E28</f>
        <v>8.377332199020214E-2</v>
      </c>
      <c r="O178" s="910" t="s">
        <v>1578</v>
      </c>
      <c r="P178" s="890">
        <v>188900</v>
      </c>
      <c r="Q178" s="892">
        <v>0.19670000000000001</v>
      </c>
      <c r="R178" s="890">
        <f>P178*Q178</f>
        <v>37156.630000000005</v>
      </c>
      <c r="S178" s="890">
        <f>R178/'Исп. коэффициенты'!E28</f>
        <v>4.1503124387477399</v>
      </c>
      <c r="T178" s="830" t="s">
        <v>1435</v>
      </c>
      <c r="U178" s="887">
        <v>6785401.3499999996</v>
      </c>
      <c r="V178" s="894">
        <v>1.3599999999999999E-2</v>
      </c>
      <c r="W178" s="830">
        <f>'Исп. коэффициенты'!E124</f>
        <v>2978.5</v>
      </c>
      <c r="X178" s="891">
        <f>U178*V178</f>
        <v>92281.45835999999</v>
      </c>
      <c r="Y178" s="890">
        <f>X178/'Исп. коэффициенты'!E28</f>
        <v>10.307632433223615</v>
      </c>
      <c r="Z178" s="890"/>
      <c r="AA178" s="830"/>
      <c r="AB178" s="897"/>
      <c r="AC178" s="830"/>
      <c r="AD178" s="878"/>
      <c r="AF178" s="911"/>
      <c r="AG178" s="878"/>
      <c r="AH178" s="878"/>
      <c r="AI178" s="878"/>
      <c r="AJ178" s="912"/>
      <c r="AK178" s="878"/>
      <c r="AL178" s="880"/>
      <c r="AM178" s="878"/>
      <c r="AN178" s="878"/>
      <c r="AO178" s="881"/>
      <c r="AP178" s="878"/>
      <c r="AQ178" s="878"/>
      <c r="AR178" s="881"/>
      <c r="AS178" s="881"/>
      <c r="AT178" s="878"/>
      <c r="AU178" s="878"/>
      <c r="AV178" s="881"/>
      <c r="AW178" s="878"/>
      <c r="AX178" s="878"/>
      <c r="AY178" s="878"/>
      <c r="AZ178" s="878"/>
      <c r="BA178" s="878"/>
    </row>
    <row r="179" spans="1:53" s="690" customFormat="1" ht="16.5" customHeight="1" x14ac:dyDescent="0.25">
      <c r="A179" s="1115"/>
      <c r="B179" s="913" t="s">
        <v>1178</v>
      </c>
      <c r="C179" s="929">
        <f>C170</f>
        <v>43.888814515309463</v>
      </c>
      <c r="D179" s="884"/>
      <c r="E179" s="904" t="s">
        <v>1439</v>
      </c>
      <c r="F179" s="905" t="s">
        <v>1438</v>
      </c>
      <c r="G179" s="906">
        <v>0.27</v>
      </c>
      <c r="H179" s="905">
        <v>0.01</v>
      </c>
      <c r="I179" s="907">
        <f t="shared" si="16"/>
        <v>2.7000000000000001E-3</v>
      </c>
      <c r="J179" s="888" t="s">
        <v>1445</v>
      </c>
      <c r="K179" s="891">
        <v>2</v>
      </c>
      <c r="L179" s="915">
        <v>95</v>
      </c>
      <c r="M179" s="908">
        <v>2</v>
      </c>
      <c r="N179" s="891">
        <f>L179/'Исп. коэффициенты'!E28</f>
        <v>1.0611287452092272E-2</v>
      </c>
      <c r="O179" s="890"/>
      <c r="P179" s="890"/>
      <c r="Q179" s="892"/>
      <c r="R179" s="890"/>
      <c r="S179" s="890"/>
      <c r="T179" s="890"/>
      <c r="U179" s="890"/>
      <c r="V179" s="890"/>
      <c r="W179" s="892"/>
      <c r="X179" s="890"/>
      <c r="Y179" s="890"/>
      <c r="Z179" s="890"/>
      <c r="AA179" s="830"/>
      <c r="AB179" s="897"/>
      <c r="AC179" s="830"/>
      <c r="AD179" s="878"/>
      <c r="AF179" s="911"/>
      <c r="AG179" s="878"/>
      <c r="AH179" s="878"/>
      <c r="AI179" s="878"/>
      <c r="AJ179" s="912"/>
      <c r="AK179" s="878"/>
      <c r="AL179" s="880"/>
      <c r="AM179" s="902"/>
      <c r="AN179" s="878"/>
      <c r="AO179" s="881"/>
      <c r="AP179" s="878"/>
      <c r="AQ179" s="878"/>
      <c r="AR179" s="881"/>
      <c r="AS179" s="881"/>
      <c r="AT179" s="878"/>
      <c r="AU179" s="878"/>
      <c r="AV179" s="881"/>
      <c r="AW179" s="878"/>
      <c r="AX179" s="878"/>
      <c r="AY179" s="878"/>
      <c r="AZ179" s="878"/>
      <c r="BA179" s="878"/>
    </row>
    <row r="180" spans="1:53" s="690" customFormat="1" ht="16.5" customHeight="1" x14ac:dyDescent="0.25">
      <c r="A180" s="1115"/>
      <c r="B180" s="885" t="s">
        <v>1179</v>
      </c>
      <c r="C180" s="924">
        <f>C171</f>
        <v>19.495759833054819</v>
      </c>
      <c r="D180" s="884"/>
      <c r="E180" s="904" t="s">
        <v>1440</v>
      </c>
      <c r="F180" s="905" t="s">
        <v>1441</v>
      </c>
      <c r="G180" s="906">
        <v>5.92</v>
      </c>
      <c r="H180" s="916">
        <v>1</v>
      </c>
      <c r="I180" s="907">
        <f t="shared" si="16"/>
        <v>5.92</v>
      </c>
      <c r="J180" s="888" t="s">
        <v>1513</v>
      </c>
      <c r="K180" s="891">
        <v>2</v>
      </c>
      <c r="L180" s="891">
        <v>25</v>
      </c>
      <c r="M180" s="908">
        <v>0.5</v>
      </c>
      <c r="N180" s="891">
        <f>L180/'Исп. коэффициенты'!E28</f>
        <v>2.7924440663400717E-3</v>
      </c>
      <c r="O180" s="890"/>
      <c r="P180" s="890"/>
      <c r="Q180" s="892"/>
      <c r="R180" s="890"/>
      <c r="S180" s="890"/>
      <c r="T180" s="890"/>
      <c r="U180" s="890"/>
      <c r="V180" s="890"/>
      <c r="W180" s="892"/>
      <c r="X180" s="890"/>
      <c r="Y180" s="890"/>
      <c r="Z180" s="890"/>
      <c r="AA180" s="830"/>
      <c r="AB180" s="897"/>
      <c r="AC180" s="830"/>
      <c r="AD180" s="878"/>
      <c r="AF180" s="911"/>
      <c r="AG180" s="878"/>
      <c r="AH180" s="878"/>
      <c r="AI180" s="878"/>
      <c r="AJ180" s="912"/>
      <c r="AK180" s="878"/>
      <c r="AL180" s="880"/>
      <c r="AM180" s="878"/>
      <c r="AN180" s="878"/>
      <c r="AO180" s="881"/>
      <c r="AP180" s="878"/>
      <c r="AQ180" s="878"/>
      <c r="AR180" s="881"/>
      <c r="AS180" s="881"/>
      <c r="AT180" s="878"/>
      <c r="AU180" s="878"/>
      <c r="AV180" s="881"/>
      <c r="AW180" s="878"/>
      <c r="AX180" s="878"/>
      <c r="AY180" s="878"/>
      <c r="AZ180" s="878"/>
      <c r="BA180" s="878"/>
    </row>
    <row r="181" spans="1:53" s="690" customFormat="1" ht="16.5" customHeight="1" x14ac:dyDescent="0.25">
      <c r="A181" s="1115"/>
      <c r="B181" s="885" t="s">
        <v>831</v>
      </c>
      <c r="C181" s="930"/>
      <c r="D181" s="884"/>
      <c r="E181" s="904" t="s">
        <v>1442</v>
      </c>
      <c r="F181" s="905" t="s">
        <v>1443</v>
      </c>
      <c r="G181" s="906">
        <v>419.5</v>
      </c>
      <c r="H181" s="905">
        <v>0.01</v>
      </c>
      <c r="I181" s="907">
        <f t="shared" si="16"/>
        <v>4.1950000000000003</v>
      </c>
      <c r="J181" s="888"/>
      <c r="K181" s="918"/>
      <c r="L181" s="891"/>
      <c r="M181" s="891"/>
      <c r="N181" s="891"/>
      <c r="O181" s="890"/>
      <c r="P181" s="890"/>
      <c r="Q181" s="892"/>
      <c r="R181" s="890"/>
      <c r="S181" s="890"/>
      <c r="T181" s="890"/>
      <c r="U181" s="890"/>
      <c r="V181" s="890"/>
      <c r="W181" s="892"/>
      <c r="X181" s="890"/>
      <c r="Y181" s="890"/>
      <c r="Z181" s="890"/>
      <c r="AA181" s="830"/>
      <c r="AB181" s="897"/>
      <c r="AC181" s="830"/>
      <c r="AD181" s="878"/>
      <c r="AF181" s="911"/>
      <c r="AG181" s="878"/>
      <c r="AH181" s="878"/>
      <c r="AI181" s="878"/>
      <c r="AJ181" s="912"/>
      <c r="AK181" s="878"/>
      <c r="AL181" s="880"/>
      <c r="AM181" s="878"/>
      <c r="AN181" s="878"/>
      <c r="AO181" s="881"/>
      <c r="AP181" s="878"/>
      <c r="AQ181" s="878"/>
      <c r="AR181" s="881"/>
      <c r="AS181" s="881"/>
      <c r="AT181" s="878"/>
      <c r="AU181" s="878"/>
      <c r="AV181" s="881"/>
      <c r="AW181" s="878"/>
      <c r="AX181" s="878"/>
      <c r="AY181" s="878"/>
      <c r="AZ181" s="878"/>
      <c r="BA181" s="878"/>
    </row>
    <row r="182" spans="1:53" s="690" customFormat="1" ht="16.5" customHeight="1" x14ac:dyDescent="0.25">
      <c r="A182" s="1115"/>
      <c r="B182" s="913" t="s">
        <v>1178</v>
      </c>
      <c r="C182" s="929">
        <v>0.25</v>
      </c>
      <c r="D182" s="884"/>
      <c r="E182" s="904" t="s">
        <v>1444</v>
      </c>
      <c r="F182" s="905" t="s">
        <v>1443</v>
      </c>
      <c r="G182" s="906">
        <v>872</v>
      </c>
      <c r="H182" s="905">
        <v>5.0000000000000001E-3</v>
      </c>
      <c r="I182" s="907">
        <f t="shared" si="16"/>
        <v>4.3600000000000003</v>
      </c>
      <c r="J182" s="888"/>
      <c r="K182" s="918"/>
      <c r="L182" s="891"/>
      <c r="M182" s="891"/>
      <c r="N182" s="891"/>
      <c r="O182" s="890"/>
      <c r="P182" s="890"/>
      <c r="Q182" s="890"/>
      <c r="R182" s="890"/>
      <c r="S182" s="890"/>
      <c r="T182" s="890"/>
      <c r="U182" s="890"/>
      <c r="V182" s="890"/>
      <c r="W182" s="890"/>
      <c r="X182" s="890"/>
      <c r="Y182" s="890"/>
      <c r="Z182" s="890"/>
      <c r="AA182" s="830"/>
      <c r="AB182" s="897"/>
      <c r="AC182" s="830"/>
      <c r="AD182" s="878"/>
      <c r="AF182" s="911"/>
      <c r="AG182" s="878"/>
      <c r="AH182" s="878"/>
      <c r="AI182" s="878"/>
      <c r="AJ182" s="920"/>
      <c r="AK182" s="878"/>
      <c r="AL182" s="880"/>
      <c r="AM182" s="878"/>
      <c r="AN182" s="878"/>
      <c r="AO182" s="881"/>
      <c r="AP182" s="878"/>
      <c r="AQ182" s="878"/>
      <c r="AR182" s="881"/>
      <c r="AS182" s="881"/>
      <c r="AT182" s="878"/>
      <c r="AU182" s="878"/>
      <c r="AV182" s="881"/>
      <c r="AW182" s="878"/>
      <c r="AX182" s="878"/>
      <c r="AY182" s="878"/>
      <c r="AZ182" s="878"/>
      <c r="BA182" s="878"/>
    </row>
    <row r="183" spans="1:53" s="690" customFormat="1" ht="16.5" customHeight="1" x14ac:dyDescent="0.25">
      <c r="A183" s="1115"/>
      <c r="B183" s="885" t="s">
        <v>1179</v>
      </c>
      <c r="C183" s="929">
        <v>0.25</v>
      </c>
      <c r="D183" s="884"/>
      <c r="E183" s="932" t="s">
        <v>16</v>
      </c>
      <c r="F183" s="921" t="s">
        <v>1438</v>
      </c>
      <c r="G183" s="906">
        <v>7.1</v>
      </c>
      <c r="H183" s="905">
        <v>1</v>
      </c>
      <c r="I183" s="907">
        <f t="shared" si="16"/>
        <v>7.1</v>
      </c>
      <c r="J183" s="888"/>
      <c r="K183" s="918"/>
      <c r="L183" s="909"/>
      <c r="M183" s="908"/>
      <c r="N183" s="891"/>
      <c r="O183" s="890"/>
      <c r="P183" s="890"/>
      <c r="Q183" s="890"/>
      <c r="R183" s="890"/>
      <c r="S183" s="890"/>
      <c r="T183" s="890"/>
      <c r="U183" s="890"/>
      <c r="V183" s="890"/>
      <c r="W183" s="890"/>
      <c r="X183" s="890"/>
      <c r="Y183" s="890"/>
      <c r="Z183" s="890"/>
      <c r="AA183" s="830"/>
      <c r="AB183" s="897"/>
      <c r="AC183" s="830"/>
      <c r="AD183" s="878"/>
      <c r="AF183" s="911"/>
      <c r="AG183" s="878"/>
      <c r="AH183" s="878"/>
      <c r="AI183" s="878"/>
      <c r="AJ183" s="920"/>
      <c r="AK183" s="878"/>
      <c r="AL183" s="880"/>
      <c r="AM183" s="878"/>
      <c r="AN183" s="878"/>
      <c r="AO183" s="881"/>
      <c r="AP183" s="878"/>
      <c r="AQ183" s="878"/>
      <c r="AR183" s="881"/>
      <c r="AS183" s="881"/>
      <c r="AT183" s="878"/>
      <c r="AU183" s="878"/>
      <c r="AV183" s="881"/>
      <c r="AW183" s="878"/>
      <c r="AX183" s="878"/>
      <c r="AY183" s="878"/>
      <c r="AZ183" s="878"/>
      <c r="BA183" s="878"/>
    </row>
    <row r="184" spans="1:53" s="690" customFormat="1" ht="16.5" customHeight="1" x14ac:dyDescent="0.25">
      <c r="A184" s="1115"/>
      <c r="B184" s="922" t="s">
        <v>1181</v>
      </c>
      <c r="C184" s="924">
        <f>C179*C182+C180*C183</f>
        <v>15.846143587091071</v>
      </c>
      <c r="D184" s="884"/>
      <c r="E184" s="932" t="s">
        <v>13</v>
      </c>
      <c r="F184" s="921" t="s">
        <v>1441</v>
      </c>
      <c r="G184" s="906">
        <v>1.5</v>
      </c>
      <c r="H184" s="905">
        <v>1</v>
      </c>
      <c r="I184" s="907">
        <f t="shared" si="16"/>
        <v>1.5</v>
      </c>
      <c r="J184" s="888"/>
      <c r="K184" s="918"/>
      <c r="L184" s="915"/>
      <c r="M184" s="908"/>
      <c r="N184" s="891"/>
      <c r="O184" s="890"/>
      <c r="P184" s="890"/>
      <c r="Q184" s="890"/>
      <c r="R184" s="890"/>
      <c r="S184" s="890"/>
      <c r="T184" s="890"/>
      <c r="U184" s="890"/>
      <c r="V184" s="890"/>
      <c r="W184" s="890"/>
      <c r="X184" s="890"/>
      <c r="Y184" s="890"/>
      <c r="Z184" s="890"/>
      <c r="AA184" s="830"/>
      <c r="AB184" s="897"/>
      <c r="AC184" s="830"/>
      <c r="AD184" s="878"/>
      <c r="AF184" s="911"/>
      <c r="AG184" s="878"/>
      <c r="AH184" s="878"/>
      <c r="AI184" s="878"/>
      <c r="AJ184" s="912"/>
      <c r="AK184" s="878"/>
      <c r="AL184" s="880"/>
      <c r="AM184" s="878"/>
      <c r="AN184" s="878"/>
      <c r="AO184" s="881"/>
      <c r="AP184" s="878"/>
      <c r="AQ184" s="878"/>
      <c r="AR184" s="881"/>
      <c r="AS184" s="881"/>
      <c r="AT184" s="878"/>
      <c r="AU184" s="878"/>
      <c r="AV184" s="881"/>
      <c r="AW184" s="878"/>
      <c r="AX184" s="878"/>
      <c r="AY184" s="878"/>
      <c r="AZ184" s="878"/>
      <c r="BA184" s="878"/>
    </row>
    <row r="185" spans="1:53" s="690" customFormat="1" ht="16.5" customHeight="1" x14ac:dyDescent="0.25">
      <c r="A185" s="1116"/>
      <c r="B185" s="922"/>
      <c r="C185" s="924"/>
      <c r="D185" s="936"/>
      <c r="E185" s="904" t="s">
        <v>15</v>
      </c>
      <c r="F185" s="921" t="s">
        <v>1438</v>
      </c>
      <c r="G185" s="906">
        <v>0.57999999999999996</v>
      </c>
      <c r="H185" s="905">
        <v>30</v>
      </c>
      <c r="I185" s="907">
        <f t="shared" si="16"/>
        <v>17.399999999999999</v>
      </c>
      <c r="J185" s="888"/>
      <c r="K185" s="918"/>
      <c r="L185" s="915"/>
      <c r="M185" s="908"/>
      <c r="N185" s="891"/>
      <c r="O185" s="890"/>
      <c r="P185" s="890"/>
      <c r="Q185" s="890"/>
      <c r="R185" s="890"/>
      <c r="S185" s="890"/>
      <c r="T185" s="890"/>
      <c r="U185" s="890"/>
      <c r="V185" s="890"/>
      <c r="W185" s="890"/>
      <c r="X185" s="890"/>
      <c r="Y185" s="890"/>
      <c r="Z185" s="890"/>
      <c r="AA185" s="830"/>
      <c r="AB185" s="897"/>
      <c r="AC185" s="830"/>
      <c r="AD185" s="878"/>
      <c r="AF185" s="911"/>
      <c r="AG185" s="878"/>
      <c r="AH185" s="878"/>
      <c r="AI185" s="878"/>
      <c r="AJ185" s="912"/>
      <c r="AK185" s="878"/>
      <c r="AL185" s="880"/>
      <c r="AM185" s="878"/>
      <c r="AN185" s="878"/>
      <c r="AO185" s="881"/>
      <c r="AP185" s="878"/>
      <c r="AQ185" s="878"/>
      <c r="AR185" s="881"/>
      <c r="AS185" s="881"/>
      <c r="AT185" s="878"/>
      <c r="AU185" s="878"/>
      <c r="AV185" s="881"/>
      <c r="AW185" s="878"/>
      <c r="AX185" s="878"/>
      <c r="AY185" s="878"/>
      <c r="AZ185" s="878"/>
      <c r="BA185" s="878"/>
    </row>
    <row r="186" spans="1:53" ht="37.5" customHeight="1" x14ac:dyDescent="0.25">
      <c r="A186" s="1137" t="s">
        <v>1571</v>
      </c>
      <c r="B186" s="439" t="s">
        <v>539</v>
      </c>
      <c r="C186" s="487"/>
      <c r="D186" s="495"/>
      <c r="E186" s="441" t="s">
        <v>488</v>
      </c>
      <c r="F186" s="442" t="s">
        <v>837</v>
      </c>
      <c r="G186" s="439" t="s">
        <v>489</v>
      </c>
      <c r="H186" s="441" t="s">
        <v>1170</v>
      </c>
      <c r="I186" s="442" t="s">
        <v>838</v>
      </c>
      <c r="J186" s="280" t="s">
        <v>1171</v>
      </c>
      <c r="K186" s="280" t="s">
        <v>490</v>
      </c>
      <c r="L186" s="281" t="s">
        <v>489</v>
      </c>
      <c r="M186" s="280" t="s">
        <v>1172</v>
      </c>
      <c r="N186" s="442" t="s">
        <v>838</v>
      </c>
      <c r="O186" s="280" t="s">
        <v>1171</v>
      </c>
      <c r="P186" s="280" t="s">
        <v>826</v>
      </c>
      <c r="Q186" s="280" t="s">
        <v>1173</v>
      </c>
      <c r="R186" s="280" t="s">
        <v>1174</v>
      </c>
      <c r="S186" s="280" t="s">
        <v>839</v>
      </c>
      <c r="T186" s="280" t="s">
        <v>1171</v>
      </c>
      <c r="U186" s="280" t="s">
        <v>1392</v>
      </c>
      <c r="V186" s="280" t="s">
        <v>841</v>
      </c>
      <c r="W186" s="280" t="s">
        <v>841</v>
      </c>
      <c r="X186" s="280" t="s">
        <v>1394</v>
      </c>
      <c r="Y186" s="280" t="s">
        <v>839</v>
      </c>
      <c r="Z186" s="283"/>
      <c r="AA186" s="440"/>
      <c r="AB186" s="460"/>
      <c r="AC186" s="440"/>
      <c r="AD186" s="444"/>
      <c r="AQ186" s="449"/>
      <c r="AR186" s="449"/>
      <c r="AS186" s="449"/>
    </row>
    <row r="187" spans="1:53" ht="16.5" customHeight="1" x14ac:dyDescent="0.25">
      <c r="A187" s="1138"/>
      <c r="B187" s="450" t="s">
        <v>1175</v>
      </c>
      <c r="C187" s="439">
        <f>C194</f>
        <v>126.76914869672856</v>
      </c>
      <c r="D187" s="496">
        <f>C187*$D$7</f>
        <v>25.607368036739171</v>
      </c>
      <c r="E187" s="452" t="s">
        <v>1176</v>
      </c>
      <c r="F187" s="453"/>
      <c r="G187" s="454"/>
      <c r="H187" s="454"/>
      <c r="I187" s="455">
        <f>SUM(I188:I194)</f>
        <v>49.045699999999997</v>
      </c>
      <c r="J187" s="290" t="s">
        <v>1176</v>
      </c>
      <c r="K187" s="357"/>
      <c r="L187" s="291"/>
      <c r="M187" s="291"/>
      <c r="N187" s="292">
        <f>SUM(N188:N194)</f>
        <v>4.4213899999999997</v>
      </c>
      <c r="O187" s="291" t="s">
        <v>1176</v>
      </c>
      <c r="P187" s="291"/>
      <c r="Q187" s="293"/>
      <c r="R187" s="294"/>
      <c r="S187" s="292">
        <f>SUM(S188:S194)</f>
        <v>8.1902000000000008</v>
      </c>
      <c r="T187" s="292"/>
      <c r="U187" s="292"/>
      <c r="V187" s="292"/>
      <c r="W187" s="292"/>
      <c r="X187" s="292"/>
      <c r="Y187" s="292">
        <f>SUM(Y188:Y194)</f>
        <v>9.1999999999999998E-3</v>
      </c>
      <c r="Z187" s="296">
        <f>(C187+D187+I187+N187+S187+Y187)*$Z$7</f>
        <v>278.29608308364504</v>
      </c>
      <c r="AA187" s="459">
        <f>C187+D187+I187+N187+S187+Y187+Z187</f>
        <v>492.33908981711278</v>
      </c>
      <c r="AB187" s="460">
        <v>0.3</v>
      </c>
      <c r="AC187" s="461">
        <f>AA187*(1+AB187)</f>
        <v>640.04081676224666</v>
      </c>
      <c r="AD187" s="448"/>
      <c r="AI187" s="449"/>
      <c r="AJ187" s="462"/>
      <c r="AK187" s="463"/>
      <c r="AM187" s="464"/>
      <c r="AN187" s="143"/>
      <c r="AO187" s="464"/>
      <c r="AP187" s="449"/>
      <c r="AQ187" s="449"/>
      <c r="AR187" s="449"/>
      <c r="AS187" s="449"/>
      <c r="AT187" s="449"/>
      <c r="AU187" s="464"/>
      <c r="AV187" s="464"/>
      <c r="AW187" s="465"/>
    </row>
    <row r="188" spans="1:53" ht="16.5" customHeight="1" x14ac:dyDescent="0.25">
      <c r="A188" s="1138"/>
      <c r="B188" s="466" t="s">
        <v>830</v>
      </c>
      <c r="C188" s="439"/>
      <c r="E188" s="300" t="s">
        <v>1437</v>
      </c>
      <c r="F188" s="301" t="s">
        <v>1438</v>
      </c>
      <c r="G188" s="302">
        <v>0.74</v>
      </c>
      <c r="H188" s="301">
        <v>0.1</v>
      </c>
      <c r="I188" s="303">
        <f t="shared" ref="I188:I194" si="17">G188*H188</f>
        <v>7.3999999999999996E-2</v>
      </c>
      <c r="J188" s="290" t="s">
        <v>1291</v>
      </c>
      <c r="K188" s="304">
        <v>2</v>
      </c>
      <c r="L188" s="305">
        <v>750</v>
      </c>
      <c r="M188" s="304">
        <v>2</v>
      </c>
      <c r="N188" s="292">
        <v>1.1745000000000001</v>
      </c>
      <c r="O188" s="467" t="s">
        <v>1578</v>
      </c>
      <c r="P188" s="291">
        <v>188900</v>
      </c>
      <c r="Q188" s="372">
        <v>0.19670000000000001</v>
      </c>
      <c r="R188" s="291">
        <f>P188*Q188</f>
        <v>37156.630000000005</v>
      </c>
      <c r="S188" s="291">
        <v>8.1902000000000008</v>
      </c>
      <c r="T188" s="458" t="s">
        <v>1435</v>
      </c>
      <c r="U188" s="456">
        <v>6785401.3499999996</v>
      </c>
      <c r="V188" s="457">
        <v>1.32E-2</v>
      </c>
      <c r="W188" s="458">
        <v>1508.3</v>
      </c>
      <c r="X188" s="292">
        <v>59.38</v>
      </c>
      <c r="Y188" s="291">
        <v>9.1999999999999998E-3</v>
      </c>
      <c r="Z188" s="291"/>
      <c r="AA188" s="440"/>
      <c r="AB188" s="460"/>
      <c r="AC188" s="440"/>
      <c r="AD188" s="444"/>
      <c r="AF188" s="365"/>
      <c r="AJ188" s="468"/>
    </row>
    <row r="189" spans="1:53" ht="16.5" customHeight="1" x14ac:dyDescent="0.25">
      <c r="A189" s="1138"/>
      <c r="B189" s="469" t="s">
        <v>1178</v>
      </c>
      <c r="C189" s="491">
        <f>C179</f>
        <v>43.888814515309463</v>
      </c>
      <c r="D189" s="451"/>
      <c r="E189" s="300" t="s">
        <v>1439</v>
      </c>
      <c r="F189" s="301" t="s">
        <v>1438</v>
      </c>
      <c r="G189" s="302">
        <v>0.27</v>
      </c>
      <c r="H189" s="301">
        <v>0.01</v>
      </c>
      <c r="I189" s="303">
        <f t="shared" si="17"/>
        <v>2.7000000000000001E-3</v>
      </c>
      <c r="J189" s="290" t="s">
        <v>1445</v>
      </c>
      <c r="K189" s="292">
        <v>2</v>
      </c>
      <c r="L189" s="311">
        <v>95</v>
      </c>
      <c r="M189" s="304">
        <v>2</v>
      </c>
      <c r="N189" s="292">
        <v>3.1146400000000001</v>
      </c>
      <c r="O189" s="291"/>
      <c r="P189" s="291"/>
      <c r="Q189" s="372"/>
      <c r="R189" s="291"/>
      <c r="S189" s="291"/>
      <c r="T189" s="291"/>
      <c r="U189" s="291"/>
      <c r="V189" s="291"/>
      <c r="W189" s="372"/>
      <c r="X189" s="291"/>
      <c r="Y189" s="291"/>
      <c r="Z189" s="291"/>
      <c r="AA189" s="440"/>
      <c r="AB189" s="460"/>
      <c r="AC189" s="440"/>
      <c r="AD189" s="444"/>
      <c r="AF189" s="365"/>
      <c r="AJ189" s="468"/>
      <c r="AM189" s="465"/>
    </row>
    <row r="190" spans="1:53" ht="16.5" customHeight="1" x14ac:dyDescent="0.25">
      <c r="A190" s="1138"/>
      <c r="B190" s="452" t="s">
        <v>1179</v>
      </c>
      <c r="C190" s="487">
        <f>C180</f>
        <v>19.495759833054819</v>
      </c>
      <c r="D190" s="451"/>
      <c r="E190" s="300" t="s">
        <v>1440</v>
      </c>
      <c r="F190" s="301" t="s">
        <v>1441</v>
      </c>
      <c r="G190" s="302">
        <v>5.92</v>
      </c>
      <c r="H190" s="471">
        <v>1</v>
      </c>
      <c r="I190" s="303">
        <f t="shared" si="17"/>
        <v>5.92</v>
      </c>
      <c r="J190" s="290" t="s">
        <v>1513</v>
      </c>
      <c r="K190" s="292">
        <v>2</v>
      </c>
      <c r="L190" s="292">
        <v>25</v>
      </c>
      <c r="M190" s="304">
        <v>0.5</v>
      </c>
      <c r="N190" s="292">
        <v>0.13225000000000001</v>
      </c>
      <c r="O190" s="291"/>
      <c r="P190" s="291"/>
      <c r="Q190" s="372"/>
      <c r="R190" s="291"/>
      <c r="S190" s="291"/>
      <c r="T190" s="291"/>
      <c r="U190" s="291"/>
      <c r="V190" s="291"/>
      <c r="W190" s="372"/>
      <c r="X190" s="291"/>
      <c r="Y190" s="291"/>
      <c r="Z190" s="291"/>
      <c r="AA190" s="440"/>
      <c r="AB190" s="460"/>
      <c r="AC190" s="440"/>
      <c r="AD190" s="444"/>
      <c r="AF190" s="365"/>
      <c r="AJ190" s="468"/>
    </row>
    <row r="191" spans="1:53" ht="16.5" customHeight="1" x14ac:dyDescent="0.25">
      <c r="A191" s="1138"/>
      <c r="B191" s="452" t="s">
        <v>831</v>
      </c>
      <c r="C191" s="492"/>
      <c r="D191" s="451"/>
      <c r="E191" s="300" t="s">
        <v>1442</v>
      </c>
      <c r="F191" s="301" t="s">
        <v>1443</v>
      </c>
      <c r="G191" s="302">
        <v>419.5</v>
      </c>
      <c r="H191" s="301">
        <v>0.01</v>
      </c>
      <c r="I191" s="303">
        <f t="shared" si="17"/>
        <v>4.1950000000000003</v>
      </c>
      <c r="J191" s="290"/>
      <c r="K191" s="374"/>
      <c r="L191" s="292"/>
      <c r="M191" s="292"/>
      <c r="N191" s="292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1"/>
      <c r="AA191" s="440"/>
      <c r="AB191" s="460"/>
      <c r="AC191" s="440"/>
      <c r="AD191" s="444"/>
      <c r="AF191" s="365"/>
      <c r="AJ191" s="468"/>
    </row>
    <row r="192" spans="1:53" ht="16.5" customHeight="1" x14ac:dyDescent="0.25">
      <c r="A192" s="1138"/>
      <c r="B192" s="469" t="s">
        <v>1178</v>
      </c>
      <c r="C192" s="493">
        <v>2</v>
      </c>
      <c r="D192" s="451"/>
      <c r="E192" s="300" t="s">
        <v>1444</v>
      </c>
      <c r="F192" s="301" t="s">
        <v>1443</v>
      </c>
      <c r="G192" s="302">
        <v>872</v>
      </c>
      <c r="H192" s="301">
        <v>5.0000000000000001E-3</v>
      </c>
      <c r="I192" s="303">
        <f t="shared" si="17"/>
        <v>4.3600000000000003</v>
      </c>
      <c r="J192" s="290"/>
      <c r="K192" s="374"/>
      <c r="L192" s="292"/>
      <c r="M192" s="292"/>
      <c r="N192" s="292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1"/>
      <c r="AA192" s="440"/>
      <c r="AB192" s="460"/>
      <c r="AC192" s="440"/>
      <c r="AD192" s="444"/>
      <c r="AF192" s="365"/>
      <c r="AJ192" s="472"/>
    </row>
    <row r="193" spans="1:53" ht="16.5" customHeight="1" x14ac:dyDescent="0.25">
      <c r="A193" s="1138"/>
      <c r="B193" s="452" t="s">
        <v>1179</v>
      </c>
      <c r="C193" s="493">
        <v>2</v>
      </c>
      <c r="D193" s="451"/>
      <c r="E193" s="494" t="s">
        <v>579</v>
      </c>
      <c r="F193" s="376" t="s">
        <v>1438</v>
      </c>
      <c r="G193" s="302">
        <v>25.38</v>
      </c>
      <c r="H193" s="301">
        <v>1.3</v>
      </c>
      <c r="I193" s="303">
        <f t="shared" si="17"/>
        <v>32.994</v>
      </c>
      <c r="J193" s="290"/>
      <c r="K193" s="374"/>
      <c r="L193" s="305"/>
      <c r="M193" s="304"/>
      <c r="N193" s="292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440"/>
      <c r="AB193" s="460"/>
      <c r="AC193" s="440"/>
      <c r="AD193" s="444"/>
      <c r="AF193" s="365"/>
      <c r="AJ193" s="472"/>
    </row>
    <row r="194" spans="1:53" ht="16.5" customHeight="1" x14ac:dyDescent="0.25">
      <c r="A194" s="1139"/>
      <c r="B194" s="474" t="s">
        <v>1181</v>
      </c>
      <c r="C194" s="487">
        <f>C189*C192+C190*C193</f>
        <v>126.76914869672856</v>
      </c>
      <c r="D194" s="451"/>
      <c r="E194" s="494" t="s">
        <v>13</v>
      </c>
      <c r="F194" s="376" t="s">
        <v>1441</v>
      </c>
      <c r="G194" s="302">
        <v>1.5</v>
      </c>
      <c r="H194" s="301">
        <v>1</v>
      </c>
      <c r="I194" s="303">
        <f t="shared" si="17"/>
        <v>1.5</v>
      </c>
      <c r="J194" s="290"/>
      <c r="K194" s="374"/>
      <c r="L194" s="311"/>
      <c r="M194" s="304"/>
      <c r="N194" s="292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440"/>
      <c r="AB194" s="460"/>
      <c r="AC194" s="440"/>
      <c r="AD194" s="444"/>
      <c r="AF194" s="365"/>
      <c r="AJ194" s="468"/>
    </row>
    <row r="195" spans="1:53" s="690" customFormat="1" ht="37.5" customHeight="1" x14ac:dyDescent="0.25">
      <c r="A195" s="1114" t="s">
        <v>1572</v>
      </c>
      <c r="B195" s="871" t="s">
        <v>540</v>
      </c>
      <c r="C195" s="924"/>
      <c r="D195" s="934"/>
      <c r="E195" s="872" t="s">
        <v>488</v>
      </c>
      <c r="F195" s="873" t="s">
        <v>837</v>
      </c>
      <c r="G195" s="871" t="s">
        <v>489</v>
      </c>
      <c r="H195" s="872" t="s">
        <v>1170</v>
      </c>
      <c r="I195" s="873" t="s">
        <v>838</v>
      </c>
      <c r="J195" s="874" t="s">
        <v>1171</v>
      </c>
      <c r="K195" s="874" t="s">
        <v>490</v>
      </c>
      <c r="L195" s="875" t="s">
        <v>489</v>
      </c>
      <c r="M195" s="874" t="s">
        <v>1172</v>
      </c>
      <c r="N195" s="873" t="s">
        <v>838</v>
      </c>
      <c r="O195" s="874" t="s">
        <v>1171</v>
      </c>
      <c r="P195" s="874" t="s">
        <v>826</v>
      </c>
      <c r="Q195" s="874" t="s">
        <v>1173</v>
      </c>
      <c r="R195" s="874" t="s">
        <v>1174</v>
      </c>
      <c r="S195" s="874" t="s">
        <v>839</v>
      </c>
      <c r="T195" s="874" t="s">
        <v>1171</v>
      </c>
      <c r="U195" s="874" t="s">
        <v>1392</v>
      </c>
      <c r="V195" s="874" t="s">
        <v>841</v>
      </c>
      <c r="W195" s="874" t="s">
        <v>841</v>
      </c>
      <c r="X195" s="874" t="s">
        <v>1394</v>
      </c>
      <c r="Y195" s="874" t="s">
        <v>839</v>
      </c>
      <c r="Z195" s="877"/>
      <c r="AA195" s="830"/>
      <c r="AB195" s="897"/>
      <c r="AC195" s="830"/>
      <c r="AD195" s="878"/>
      <c r="AF195" s="879"/>
      <c r="AG195" s="878"/>
      <c r="AH195" s="878"/>
      <c r="AI195" s="878"/>
      <c r="AJ195" s="878"/>
      <c r="AK195" s="878"/>
      <c r="AL195" s="880"/>
      <c r="AM195" s="878"/>
      <c r="AN195" s="878"/>
      <c r="AO195" s="881"/>
      <c r="AP195" s="878"/>
      <c r="AQ195" s="882"/>
      <c r="AR195" s="882"/>
      <c r="AS195" s="882"/>
      <c r="AT195" s="878"/>
      <c r="AU195" s="878"/>
      <c r="AV195" s="881"/>
      <c r="AW195" s="878"/>
      <c r="AX195" s="878"/>
      <c r="AY195" s="878"/>
      <c r="AZ195" s="878"/>
      <c r="BA195" s="878"/>
    </row>
    <row r="196" spans="1:53" s="690" customFormat="1" ht="16.5" customHeight="1" x14ac:dyDescent="0.25">
      <c r="A196" s="1115"/>
      <c r="B196" s="883" t="s">
        <v>1175</v>
      </c>
      <c r="C196" s="871">
        <f>C203</f>
        <v>31.692287174182141</v>
      </c>
      <c r="D196" s="935">
        <f>C196*$D$7</f>
        <v>6.4018420091847927</v>
      </c>
      <c r="E196" s="885" t="s">
        <v>1176</v>
      </c>
      <c r="F196" s="886"/>
      <c r="G196" s="887"/>
      <c r="H196" s="887"/>
      <c r="I196" s="749">
        <f>SUM(I197:I204)</f>
        <v>40.551700000000004</v>
      </c>
      <c r="J196" s="888" t="s">
        <v>1176</v>
      </c>
      <c r="K196" s="889"/>
      <c r="L196" s="890"/>
      <c r="M196" s="890"/>
      <c r="N196" s="891">
        <f>SUM(N197:N203)</f>
        <v>9.7177053508634495E-2</v>
      </c>
      <c r="O196" s="890" t="s">
        <v>1176</v>
      </c>
      <c r="P196" s="890"/>
      <c r="Q196" s="928"/>
      <c r="R196" s="893"/>
      <c r="S196" s="891">
        <f>SUM(S197:S203)</f>
        <v>4.1503124387477399</v>
      </c>
      <c r="T196" s="891"/>
      <c r="U196" s="891"/>
      <c r="V196" s="891"/>
      <c r="W196" s="891"/>
      <c r="X196" s="891"/>
      <c r="Y196" s="891">
        <f>SUM(Y197:Y203)</f>
        <v>10.307632433223615</v>
      </c>
      <c r="Z196" s="895">
        <f>(C196+D196+I196+N196+S196+Y196)*$Z$7</f>
        <v>121.17872958849081</v>
      </c>
      <c r="AA196" s="896">
        <f>C196+D196+I196+N196+S196+Y196+Z196</f>
        <v>214.37968069733773</v>
      </c>
      <c r="AB196" s="897">
        <v>0.3</v>
      </c>
      <c r="AC196" s="898">
        <f>AA196*(1+AB196)</f>
        <v>278.69358490653906</v>
      </c>
      <c r="AD196" s="881"/>
      <c r="AF196" s="879"/>
      <c r="AG196" s="878"/>
      <c r="AH196" s="878"/>
      <c r="AI196" s="882"/>
      <c r="AJ196" s="899"/>
      <c r="AK196" s="900"/>
      <c r="AL196" s="880"/>
      <c r="AM196" s="901"/>
      <c r="AN196" s="818"/>
      <c r="AO196" s="901"/>
      <c r="AP196" s="882"/>
      <c r="AQ196" s="882"/>
      <c r="AR196" s="882"/>
      <c r="AS196" s="882"/>
      <c r="AT196" s="882"/>
      <c r="AU196" s="901"/>
      <c r="AV196" s="901"/>
      <c r="AW196" s="902"/>
      <c r="AX196" s="878"/>
      <c r="AY196" s="878"/>
      <c r="AZ196" s="878"/>
      <c r="BA196" s="878"/>
    </row>
    <row r="197" spans="1:53" s="690" customFormat="1" ht="16.5" customHeight="1" x14ac:dyDescent="0.25">
      <c r="A197" s="1115"/>
      <c r="B197" s="903" t="s">
        <v>830</v>
      </c>
      <c r="C197" s="871"/>
      <c r="E197" s="904" t="s">
        <v>1437</v>
      </c>
      <c r="F197" s="905" t="s">
        <v>1438</v>
      </c>
      <c r="G197" s="906">
        <v>0.74</v>
      </c>
      <c r="H197" s="905">
        <v>0.1</v>
      </c>
      <c r="I197" s="907">
        <f t="shared" ref="I197:I204" si="18">G197*H197</f>
        <v>7.3999999999999996E-2</v>
      </c>
      <c r="J197" s="888" t="s">
        <v>1291</v>
      </c>
      <c r="K197" s="908">
        <v>2</v>
      </c>
      <c r="L197" s="909">
        <v>750</v>
      </c>
      <c r="M197" s="908">
        <v>2</v>
      </c>
      <c r="N197" s="891">
        <f>L197/'Исп. коэффициенты'!E28</f>
        <v>8.377332199020214E-2</v>
      </c>
      <c r="O197" s="910" t="s">
        <v>1578</v>
      </c>
      <c r="P197" s="890">
        <v>188900</v>
      </c>
      <c r="Q197" s="892">
        <v>0.19670000000000001</v>
      </c>
      <c r="R197" s="890">
        <f>P197*Q197</f>
        <v>37156.630000000005</v>
      </c>
      <c r="S197" s="890">
        <f>R197/'Исп. коэффициенты'!E28</f>
        <v>4.1503124387477399</v>
      </c>
      <c r="T197" s="830" t="s">
        <v>1435</v>
      </c>
      <c r="U197" s="887">
        <v>6785401.3499999996</v>
      </c>
      <c r="V197" s="894">
        <v>1.3599999999999999E-2</v>
      </c>
      <c r="W197" s="830">
        <f>'Исп. коэффициенты'!E124</f>
        <v>2978.5</v>
      </c>
      <c r="X197" s="891">
        <f>U197*V197</f>
        <v>92281.45835999999</v>
      </c>
      <c r="Y197" s="890">
        <f>X197/'Исп. коэффициенты'!E28</f>
        <v>10.307632433223615</v>
      </c>
      <c r="Z197" s="890"/>
      <c r="AA197" s="830"/>
      <c r="AB197" s="897"/>
      <c r="AC197" s="830"/>
      <c r="AD197" s="878"/>
      <c r="AF197" s="911"/>
      <c r="AG197" s="878"/>
      <c r="AH197" s="878"/>
      <c r="AI197" s="878"/>
      <c r="AJ197" s="912"/>
      <c r="AK197" s="878"/>
      <c r="AL197" s="880"/>
      <c r="AM197" s="878"/>
      <c r="AN197" s="878"/>
      <c r="AO197" s="881"/>
      <c r="AP197" s="878"/>
      <c r="AQ197" s="878"/>
      <c r="AR197" s="881"/>
      <c r="AS197" s="881"/>
      <c r="AT197" s="878"/>
      <c r="AU197" s="878"/>
      <c r="AV197" s="881"/>
      <c r="AW197" s="878"/>
      <c r="AX197" s="878"/>
      <c r="AY197" s="878"/>
      <c r="AZ197" s="878"/>
      <c r="BA197" s="878"/>
    </row>
    <row r="198" spans="1:53" s="690" customFormat="1" ht="16.5" customHeight="1" x14ac:dyDescent="0.25">
      <c r="A198" s="1115"/>
      <c r="B198" s="913" t="s">
        <v>1178</v>
      </c>
      <c r="C198" s="929">
        <f>C189</f>
        <v>43.888814515309463</v>
      </c>
      <c r="D198" s="884"/>
      <c r="E198" s="904" t="s">
        <v>1439</v>
      </c>
      <c r="F198" s="905" t="s">
        <v>1438</v>
      </c>
      <c r="G198" s="906">
        <v>0.27</v>
      </c>
      <c r="H198" s="905">
        <v>0.01</v>
      </c>
      <c r="I198" s="907">
        <f t="shared" si="18"/>
        <v>2.7000000000000001E-3</v>
      </c>
      <c r="J198" s="888" t="s">
        <v>1445</v>
      </c>
      <c r="K198" s="891">
        <v>2</v>
      </c>
      <c r="L198" s="915">
        <v>95</v>
      </c>
      <c r="M198" s="908">
        <v>2</v>
      </c>
      <c r="N198" s="891">
        <f>L198/'Исп. коэффициенты'!E28</f>
        <v>1.0611287452092272E-2</v>
      </c>
      <c r="O198" s="890"/>
      <c r="P198" s="890"/>
      <c r="Q198" s="892"/>
      <c r="R198" s="890"/>
      <c r="S198" s="890"/>
      <c r="T198" s="890"/>
      <c r="U198" s="890"/>
      <c r="V198" s="890"/>
      <c r="W198" s="892"/>
      <c r="X198" s="890"/>
      <c r="Y198" s="890"/>
      <c r="Z198" s="890"/>
      <c r="AA198" s="830"/>
      <c r="AB198" s="897"/>
      <c r="AC198" s="830"/>
      <c r="AD198" s="878"/>
      <c r="AF198" s="911"/>
      <c r="AG198" s="878"/>
      <c r="AH198" s="878"/>
      <c r="AI198" s="878"/>
      <c r="AJ198" s="912"/>
      <c r="AK198" s="878"/>
      <c r="AL198" s="880"/>
      <c r="AM198" s="902"/>
      <c r="AN198" s="878"/>
      <c r="AO198" s="881"/>
      <c r="AP198" s="878"/>
      <c r="AQ198" s="878"/>
      <c r="AR198" s="881"/>
      <c r="AS198" s="881"/>
      <c r="AT198" s="878"/>
      <c r="AU198" s="878"/>
      <c r="AV198" s="881"/>
      <c r="AW198" s="878"/>
      <c r="AX198" s="878"/>
      <c r="AY198" s="878"/>
      <c r="AZ198" s="878"/>
      <c r="BA198" s="878"/>
    </row>
    <row r="199" spans="1:53" s="690" customFormat="1" ht="16.5" customHeight="1" x14ac:dyDescent="0.25">
      <c r="A199" s="1115"/>
      <c r="B199" s="885" t="s">
        <v>1179</v>
      </c>
      <c r="C199" s="924">
        <f>C190</f>
        <v>19.495759833054819</v>
      </c>
      <c r="D199" s="884"/>
      <c r="E199" s="904" t="s">
        <v>1440</v>
      </c>
      <c r="F199" s="905" t="s">
        <v>1441</v>
      </c>
      <c r="G199" s="906">
        <v>5.92</v>
      </c>
      <c r="H199" s="916">
        <v>1</v>
      </c>
      <c r="I199" s="907">
        <f t="shared" si="18"/>
        <v>5.92</v>
      </c>
      <c r="J199" s="888" t="s">
        <v>1513</v>
      </c>
      <c r="K199" s="891">
        <v>2</v>
      </c>
      <c r="L199" s="891">
        <v>25</v>
      </c>
      <c r="M199" s="908">
        <v>0.5</v>
      </c>
      <c r="N199" s="891">
        <f>L199/'Исп. коэффициенты'!E28</f>
        <v>2.7924440663400717E-3</v>
      </c>
      <c r="O199" s="890"/>
      <c r="P199" s="890"/>
      <c r="Q199" s="892"/>
      <c r="R199" s="890"/>
      <c r="S199" s="890"/>
      <c r="T199" s="890"/>
      <c r="U199" s="890"/>
      <c r="V199" s="890"/>
      <c r="W199" s="892"/>
      <c r="X199" s="890"/>
      <c r="Y199" s="890"/>
      <c r="Z199" s="890"/>
      <c r="AA199" s="830"/>
      <c r="AB199" s="897"/>
      <c r="AC199" s="830"/>
      <c r="AD199" s="878"/>
      <c r="AF199" s="911"/>
      <c r="AG199" s="878"/>
      <c r="AH199" s="878"/>
      <c r="AI199" s="878"/>
      <c r="AJ199" s="912"/>
      <c r="AK199" s="878"/>
      <c r="AL199" s="880"/>
      <c r="AM199" s="878"/>
      <c r="AN199" s="878"/>
      <c r="AO199" s="881"/>
      <c r="AP199" s="878"/>
      <c r="AQ199" s="878"/>
      <c r="AR199" s="881"/>
      <c r="AS199" s="881"/>
      <c r="AT199" s="878"/>
      <c r="AU199" s="878"/>
      <c r="AV199" s="881"/>
      <c r="AW199" s="878"/>
      <c r="AX199" s="878"/>
      <c r="AY199" s="878"/>
      <c r="AZ199" s="878"/>
      <c r="BA199" s="878"/>
    </row>
    <row r="200" spans="1:53" s="690" customFormat="1" ht="16.5" customHeight="1" x14ac:dyDescent="0.25">
      <c r="A200" s="1115"/>
      <c r="B200" s="885" t="s">
        <v>831</v>
      </c>
      <c r="C200" s="930"/>
      <c r="D200" s="884"/>
      <c r="E200" s="904" t="s">
        <v>1442</v>
      </c>
      <c r="F200" s="905" t="s">
        <v>1443</v>
      </c>
      <c r="G200" s="906">
        <v>419.5</v>
      </c>
      <c r="H200" s="905">
        <v>0.01</v>
      </c>
      <c r="I200" s="907">
        <f t="shared" si="18"/>
        <v>4.1950000000000003</v>
      </c>
      <c r="J200" s="888"/>
      <c r="K200" s="918"/>
      <c r="L200" s="891"/>
      <c r="M200" s="891"/>
      <c r="N200" s="891"/>
      <c r="O200" s="890"/>
      <c r="P200" s="890"/>
      <c r="Q200" s="890"/>
      <c r="R200" s="890"/>
      <c r="S200" s="890"/>
      <c r="T200" s="890"/>
      <c r="U200" s="890"/>
      <c r="V200" s="890"/>
      <c r="W200" s="890"/>
      <c r="X200" s="890"/>
      <c r="Y200" s="890"/>
      <c r="Z200" s="890"/>
      <c r="AA200" s="830"/>
      <c r="AB200" s="897"/>
      <c r="AC200" s="830"/>
      <c r="AD200" s="878"/>
      <c r="AF200" s="911"/>
      <c r="AG200" s="878"/>
      <c r="AH200" s="878"/>
      <c r="AI200" s="878"/>
      <c r="AJ200" s="912"/>
      <c r="AK200" s="878"/>
      <c r="AL200" s="880"/>
      <c r="AM200" s="878"/>
      <c r="AN200" s="878"/>
      <c r="AO200" s="881"/>
      <c r="AP200" s="878"/>
      <c r="AQ200" s="878"/>
      <c r="AR200" s="881"/>
      <c r="AS200" s="881"/>
      <c r="AT200" s="878"/>
      <c r="AU200" s="878"/>
      <c r="AV200" s="881"/>
      <c r="AW200" s="878"/>
      <c r="AX200" s="878"/>
      <c r="AY200" s="878"/>
      <c r="AZ200" s="878"/>
      <c r="BA200" s="878"/>
    </row>
    <row r="201" spans="1:53" s="690" customFormat="1" ht="16.5" customHeight="1" x14ac:dyDescent="0.25">
      <c r="A201" s="1115"/>
      <c r="B201" s="913" t="s">
        <v>1178</v>
      </c>
      <c r="C201" s="931">
        <v>0.5</v>
      </c>
      <c r="D201" s="884"/>
      <c r="E201" s="904" t="s">
        <v>1444</v>
      </c>
      <c r="F201" s="905" t="s">
        <v>1443</v>
      </c>
      <c r="G201" s="906">
        <v>872</v>
      </c>
      <c r="H201" s="905">
        <v>5.0000000000000001E-3</v>
      </c>
      <c r="I201" s="907">
        <f t="shared" si="18"/>
        <v>4.3600000000000003</v>
      </c>
      <c r="J201" s="888"/>
      <c r="K201" s="918"/>
      <c r="L201" s="891"/>
      <c r="M201" s="891"/>
      <c r="N201" s="891"/>
      <c r="O201" s="890"/>
      <c r="P201" s="890"/>
      <c r="Q201" s="890"/>
      <c r="R201" s="890"/>
      <c r="S201" s="890"/>
      <c r="T201" s="890"/>
      <c r="U201" s="890"/>
      <c r="V201" s="890"/>
      <c r="W201" s="890"/>
      <c r="X201" s="890"/>
      <c r="Y201" s="890"/>
      <c r="Z201" s="890"/>
      <c r="AA201" s="830"/>
      <c r="AB201" s="897"/>
      <c r="AC201" s="830"/>
      <c r="AD201" s="878"/>
      <c r="AF201" s="911"/>
      <c r="AG201" s="878"/>
      <c r="AH201" s="878"/>
      <c r="AI201" s="878"/>
      <c r="AJ201" s="920"/>
      <c r="AK201" s="878"/>
      <c r="AL201" s="880"/>
      <c r="AM201" s="878"/>
      <c r="AN201" s="878"/>
      <c r="AO201" s="881"/>
      <c r="AP201" s="878"/>
      <c r="AQ201" s="878"/>
      <c r="AR201" s="881"/>
      <c r="AS201" s="881"/>
      <c r="AT201" s="878"/>
      <c r="AU201" s="878"/>
      <c r="AV201" s="881"/>
      <c r="AW201" s="878"/>
      <c r="AX201" s="878"/>
      <c r="AY201" s="878"/>
      <c r="AZ201" s="878"/>
      <c r="BA201" s="878"/>
    </row>
    <row r="202" spans="1:53" s="690" customFormat="1" ht="16.5" customHeight="1" x14ac:dyDescent="0.25">
      <c r="A202" s="1115"/>
      <c r="B202" s="885" t="s">
        <v>1179</v>
      </c>
      <c r="C202" s="931">
        <v>0.5</v>
      </c>
      <c r="D202" s="884"/>
      <c r="E202" s="932" t="s">
        <v>580</v>
      </c>
      <c r="F202" s="921" t="s">
        <v>1438</v>
      </c>
      <c r="G202" s="906">
        <v>0.57999999999999996</v>
      </c>
      <c r="H202" s="905">
        <v>30</v>
      </c>
      <c r="I202" s="907">
        <f t="shared" si="18"/>
        <v>17.399999999999999</v>
      </c>
      <c r="J202" s="888"/>
      <c r="K202" s="918"/>
      <c r="L202" s="909"/>
      <c r="M202" s="908"/>
      <c r="N202" s="891"/>
      <c r="O202" s="890"/>
      <c r="P202" s="890"/>
      <c r="Q202" s="890"/>
      <c r="R202" s="890"/>
      <c r="S202" s="890"/>
      <c r="T202" s="890"/>
      <c r="U202" s="890"/>
      <c r="V202" s="890"/>
      <c r="W202" s="890"/>
      <c r="X202" s="890"/>
      <c r="Y202" s="890"/>
      <c r="Z202" s="890"/>
      <c r="AA202" s="830"/>
      <c r="AB202" s="897"/>
      <c r="AC202" s="830"/>
      <c r="AD202" s="878"/>
      <c r="AF202" s="911"/>
      <c r="AG202" s="878"/>
      <c r="AH202" s="878"/>
      <c r="AI202" s="878"/>
      <c r="AJ202" s="920"/>
      <c r="AK202" s="878"/>
      <c r="AL202" s="880"/>
      <c r="AM202" s="878"/>
      <c r="AN202" s="878"/>
      <c r="AO202" s="881"/>
      <c r="AP202" s="878"/>
      <c r="AQ202" s="878"/>
      <c r="AR202" s="881"/>
      <c r="AS202" s="881"/>
      <c r="AT202" s="878"/>
      <c r="AU202" s="878"/>
      <c r="AV202" s="881"/>
      <c r="AW202" s="878"/>
      <c r="AX202" s="878"/>
      <c r="AY202" s="878"/>
      <c r="AZ202" s="878"/>
      <c r="BA202" s="878"/>
    </row>
    <row r="203" spans="1:53" s="690" customFormat="1" ht="16.5" customHeight="1" x14ac:dyDescent="0.25">
      <c r="A203" s="1115"/>
      <c r="B203" s="922" t="s">
        <v>1181</v>
      </c>
      <c r="C203" s="924">
        <f>C198*C201+C199*C202</f>
        <v>31.692287174182141</v>
      </c>
      <c r="D203" s="884"/>
      <c r="E203" s="932" t="s">
        <v>13</v>
      </c>
      <c r="F203" s="921" t="s">
        <v>1441</v>
      </c>
      <c r="G203" s="906">
        <v>1.5</v>
      </c>
      <c r="H203" s="905">
        <v>1</v>
      </c>
      <c r="I203" s="907">
        <f t="shared" si="18"/>
        <v>1.5</v>
      </c>
      <c r="J203" s="888"/>
      <c r="K203" s="918"/>
      <c r="L203" s="915"/>
      <c r="M203" s="908"/>
      <c r="N203" s="891"/>
      <c r="O203" s="890"/>
      <c r="P203" s="890"/>
      <c r="Q203" s="890"/>
      <c r="R203" s="890"/>
      <c r="S203" s="890"/>
      <c r="T203" s="890"/>
      <c r="U203" s="890"/>
      <c r="V203" s="890"/>
      <c r="W203" s="890"/>
      <c r="X203" s="890"/>
      <c r="Y203" s="890"/>
      <c r="Z203" s="890"/>
      <c r="AA203" s="830"/>
      <c r="AB203" s="897"/>
      <c r="AC203" s="830"/>
      <c r="AD203" s="878"/>
      <c r="AF203" s="911"/>
      <c r="AG203" s="878"/>
      <c r="AH203" s="878"/>
      <c r="AI203" s="878"/>
      <c r="AJ203" s="912"/>
      <c r="AK203" s="878"/>
      <c r="AL203" s="880"/>
      <c r="AM203" s="878"/>
      <c r="AN203" s="878"/>
      <c r="AO203" s="881"/>
      <c r="AP203" s="878"/>
      <c r="AQ203" s="878"/>
      <c r="AR203" s="881"/>
      <c r="AS203" s="881"/>
      <c r="AT203" s="878"/>
      <c r="AU203" s="878"/>
      <c r="AV203" s="881"/>
      <c r="AW203" s="878"/>
      <c r="AX203" s="878"/>
      <c r="AY203" s="878"/>
      <c r="AZ203" s="878"/>
      <c r="BA203" s="878"/>
    </row>
    <row r="204" spans="1:53" s="690" customFormat="1" ht="16.5" customHeight="1" x14ac:dyDescent="0.25">
      <c r="A204" s="1116"/>
      <c r="B204" s="922"/>
      <c r="C204" s="924"/>
      <c r="D204" s="936"/>
      <c r="E204" s="904" t="s">
        <v>16</v>
      </c>
      <c r="F204" s="921" t="s">
        <v>1438</v>
      </c>
      <c r="G204" s="906">
        <v>7.1</v>
      </c>
      <c r="H204" s="905">
        <v>1</v>
      </c>
      <c r="I204" s="907">
        <f t="shared" si="18"/>
        <v>7.1</v>
      </c>
      <c r="J204" s="888"/>
      <c r="K204" s="918"/>
      <c r="L204" s="915"/>
      <c r="M204" s="908"/>
      <c r="N204" s="891"/>
      <c r="O204" s="890"/>
      <c r="P204" s="890"/>
      <c r="Q204" s="890"/>
      <c r="R204" s="890"/>
      <c r="S204" s="890"/>
      <c r="T204" s="890"/>
      <c r="U204" s="890"/>
      <c r="V204" s="890"/>
      <c r="W204" s="890"/>
      <c r="X204" s="890"/>
      <c r="Y204" s="890"/>
      <c r="Z204" s="890"/>
      <c r="AA204" s="830"/>
      <c r="AB204" s="897"/>
      <c r="AC204" s="830"/>
      <c r="AD204" s="878"/>
      <c r="AF204" s="911"/>
      <c r="AG204" s="878"/>
      <c r="AH204" s="878"/>
      <c r="AI204" s="878"/>
      <c r="AJ204" s="912"/>
      <c r="AK204" s="878"/>
      <c r="AL204" s="880"/>
      <c r="AM204" s="878"/>
      <c r="AN204" s="878"/>
      <c r="AO204" s="881"/>
      <c r="AP204" s="878"/>
      <c r="AQ204" s="878"/>
      <c r="AR204" s="881"/>
      <c r="AS204" s="881"/>
      <c r="AT204" s="878"/>
      <c r="AU204" s="878"/>
      <c r="AV204" s="881"/>
      <c r="AW204" s="878"/>
      <c r="AX204" s="878"/>
      <c r="AY204" s="878"/>
      <c r="AZ204" s="878"/>
      <c r="BA204" s="878"/>
    </row>
    <row r="205" spans="1:53" ht="37.5" customHeight="1" x14ac:dyDescent="0.25">
      <c r="A205" s="1137" t="s">
        <v>1573</v>
      </c>
      <c r="B205" s="439" t="s">
        <v>541</v>
      </c>
      <c r="C205" s="487"/>
      <c r="D205" s="495"/>
      <c r="E205" s="441" t="s">
        <v>488</v>
      </c>
      <c r="F205" s="442" t="s">
        <v>837</v>
      </c>
      <c r="G205" s="439" t="s">
        <v>489</v>
      </c>
      <c r="H205" s="441" t="s">
        <v>1170</v>
      </c>
      <c r="I205" s="442" t="s">
        <v>838</v>
      </c>
      <c r="J205" s="280" t="s">
        <v>1171</v>
      </c>
      <c r="K205" s="280" t="s">
        <v>490</v>
      </c>
      <c r="L205" s="281" t="s">
        <v>489</v>
      </c>
      <c r="M205" s="280" t="s">
        <v>1172</v>
      </c>
      <c r="N205" s="442" t="s">
        <v>838</v>
      </c>
      <c r="O205" s="280" t="s">
        <v>1171</v>
      </c>
      <c r="P205" s="280" t="s">
        <v>826</v>
      </c>
      <c r="Q205" s="280" t="s">
        <v>1173</v>
      </c>
      <c r="R205" s="280" t="s">
        <v>1174</v>
      </c>
      <c r="S205" s="280" t="s">
        <v>839</v>
      </c>
      <c r="T205" s="280" t="s">
        <v>1171</v>
      </c>
      <c r="U205" s="280" t="s">
        <v>1392</v>
      </c>
      <c r="V205" s="280" t="s">
        <v>841</v>
      </c>
      <c r="W205" s="280" t="s">
        <v>841</v>
      </c>
      <c r="X205" s="280" t="s">
        <v>1394</v>
      </c>
      <c r="Y205" s="280" t="s">
        <v>839</v>
      </c>
      <c r="Z205" s="283"/>
      <c r="AA205" s="440"/>
      <c r="AB205" s="460"/>
      <c r="AC205" s="440"/>
      <c r="AD205" s="444"/>
      <c r="AQ205" s="449"/>
      <c r="AR205" s="449"/>
      <c r="AS205" s="449"/>
    </row>
    <row r="206" spans="1:53" ht="16.5" customHeight="1" x14ac:dyDescent="0.25">
      <c r="A206" s="1138"/>
      <c r="B206" s="450" t="s">
        <v>1175</v>
      </c>
      <c r="C206" s="439">
        <f>C213</f>
        <v>31.692287174182141</v>
      </c>
      <c r="D206" s="496">
        <f>C206*$D$7</f>
        <v>6.4018420091847927</v>
      </c>
      <c r="E206" s="452" t="s">
        <v>1176</v>
      </c>
      <c r="F206" s="453"/>
      <c r="G206" s="454"/>
      <c r="H206" s="454"/>
      <c r="I206" s="455">
        <f>SUM(I207:I213)</f>
        <v>16.9237</v>
      </c>
      <c r="J206" s="290" t="s">
        <v>1176</v>
      </c>
      <c r="K206" s="357"/>
      <c r="L206" s="291"/>
      <c r="M206" s="291"/>
      <c r="N206" s="292">
        <f>SUM(N207:N213)</f>
        <v>4.4213899999999997</v>
      </c>
      <c r="O206" s="291" t="s">
        <v>1176</v>
      </c>
      <c r="P206" s="291"/>
      <c r="Q206" s="293"/>
      <c r="R206" s="294"/>
      <c r="S206" s="292">
        <f>SUM(S207:S213)</f>
        <v>8.1902000000000008</v>
      </c>
      <c r="T206" s="292"/>
      <c r="U206" s="292"/>
      <c r="V206" s="292"/>
      <c r="W206" s="292"/>
      <c r="X206" s="292"/>
      <c r="Y206" s="292">
        <f>SUM(Y207:Y213)</f>
        <v>9.1999999999999998E-3</v>
      </c>
      <c r="Z206" s="296">
        <f>(C206+D206+I206+N206+S206+Y206)*$Z$7</f>
        <v>87.942900219846635</v>
      </c>
      <c r="AA206" s="459">
        <f>C206+D206+I206+N206+S206+Y206+Z206</f>
        <v>155.58151940321358</v>
      </c>
      <c r="AB206" s="460">
        <v>0.3</v>
      </c>
      <c r="AC206" s="461">
        <f>AA206*(1+AB206)</f>
        <v>202.25597522417766</v>
      </c>
      <c r="AD206" s="448"/>
      <c r="AI206" s="449"/>
      <c r="AJ206" s="462"/>
      <c r="AK206" s="463"/>
      <c r="AM206" s="464"/>
      <c r="AN206" s="143"/>
      <c r="AO206" s="464"/>
      <c r="AP206" s="449"/>
      <c r="AQ206" s="449"/>
      <c r="AR206" s="449"/>
      <c r="AS206" s="449"/>
      <c r="AT206" s="449"/>
      <c r="AU206" s="464"/>
      <c r="AV206" s="464"/>
      <c r="AW206" s="465"/>
    </row>
    <row r="207" spans="1:53" ht="16.5" customHeight="1" x14ac:dyDescent="0.25">
      <c r="A207" s="1138"/>
      <c r="B207" s="466" t="s">
        <v>830</v>
      </c>
      <c r="C207" s="439"/>
      <c r="E207" s="300" t="s">
        <v>1437</v>
      </c>
      <c r="F207" s="301" t="s">
        <v>1438</v>
      </c>
      <c r="G207" s="302">
        <v>0.74</v>
      </c>
      <c r="H207" s="301">
        <v>0.1</v>
      </c>
      <c r="I207" s="303">
        <f t="shared" ref="I207:I212" si="19">G207*H207</f>
        <v>7.3999999999999996E-2</v>
      </c>
      <c r="J207" s="290" t="s">
        <v>1291</v>
      </c>
      <c r="K207" s="304">
        <v>2</v>
      </c>
      <c r="L207" s="305">
        <v>750</v>
      </c>
      <c r="M207" s="304">
        <v>2</v>
      </c>
      <c r="N207" s="292">
        <v>1.1745000000000001</v>
      </c>
      <c r="O207" s="467" t="s">
        <v>1578</v>
      </c>
      <c r="P207" s="291">
        <v>188900</v>
      </c>
      <c r="Q207" s="372">
        <v>0.19670000000000001</v>
      </c>
      <c r="R207" s="291">
        <f>P207*Q207</f>
        <v>37156.630000000005</v>
      </c>
      <c r="S207" s="291">
        <v>8.1902000000000008</v>
      </c>
      <c r="T207" s="458" t="s">
        <v>1435</v>
      </c>
      <c r="U207" s="456">
        <v>6785401.3499999996</v>
      </c>
      <c r="V207" s="457">
        <v>1.32E-2</v>
      </c>
      <c r="W207" s="458">
        <v>1508.3</v>
      </c>
      <c r="X207" s="292">
        <v>59.38</v>
      </c>
      <c r="Y207" s="291">
        <v>9.1999999999999998E-3</v>
      </c>
      <c r="Z207" s="291"/>
      <c r="AA207" s="440"/>
      <c r="AB207" s="460"/>
      <c r="AC207" s="440"/>
      <c r="AD207" s="444"/>
      <c r="AF207" s="365"/>
      <c r="AJ207" s="468"/>
    </row>
    <row r="208" spans="1:53" ht="16.5" customHeight="1" x14ac:dyDescent="0.25">
      <c r="A208" s="1138"/>
      <c r="B208" s="469" t="s">
        <v>1178</v>
      </c>
      <c r="C208" s="491">
        <f>C198</f>
        <v>43.888814515309463</v>
      </c>
      <c r="D208" s="451"/>
      <c r="E208" s="300" t="s">
        <v>1439</v>
      </c>
      <c r="F208" s="301" t="s">
        <v>1438</v>
      </c>
      <c r="G208" s="302">
        <v>0.27</v>
      </c>
      <c r="H208" s="301">
        <v>0.01</v>
      </c>
      <c r="I208" s="303">
        <f t="shared" si="19"/>
        <v>2.7000000000000001E-3</v>
      </c>
      <c r="J208" s="290" t="s">
        <v>1445</v>
      </c>
      <c r="K208" s="292">
        <v>2</v>
      </c>
      <c r="L208" s="311">
        <v>95</v>
      </c>
      <c r="M208" s="304">
        <v>2</v>
      </c>
      <c r="N208" s="292">
        <v>3.1146400000000001</v>
      </c>
      <c r="O208" s="291"/>
      <c r="P208" s="291"/>
      <c r="Q208" s="372"/>
      <c r="R208" s="291"/>
      <c r="S208" s="291"/>
      <c r="T208" s="291"/>
      <c r="U208" s="291"/>
      <c r="V208" s="291"/>
      <c r="W208" s="372"/>
      <c r="X208" s="291"/>
      <c r="Y208" s="291"/>
      <c r="Z208" s="291"/>
      <c r="AA208" s="440"/>
      <c r="AB208" s="460"/>
      <c r="AC208" s="440"/>
      <c r="AD208" s="444"/>
      <c r="AF208" s="365"/>
      <c r="AJ208" s="468"/>
      <c r="AM208" s="465"/>
    </row>
    <row r="209" spans="1:49" ht="16.5" customHeight="1" x14ac:dyDescent="0.25">
      <c r="A209" s="1138"/>
      <c r="B209" s="452" t="s">
        <v>1179</v>
      </c>
      <c r="C209" s="487">
        <f>C199</f>
        <v>19.495759833054819</v>
      </c>
      <c r="D209" s="451"/>
      <c r="E209" s="300" t="s">
        <v>1440</v>
      </c>
      <c r="F209" s="301" t="s">
        <v>1441</v>
      </c>
      <c r="G209" s="302">
        <v>5.92</v>
      </c>
      <c r="H209" s="471">
        <v>1</v>
      </c>
      <c r="I209" s="303">
        <f t="shared" si="19"/>
        <v>5.92</v>
      </c>
      <c r="J209" s="290" t="s">
        <v>1513</v>
      </c>
      <c r="K209" s="292">
        <v>2</v>
      </c>
      <c r="L209" s="292">
        <v>25</v>
      </c>
      <c r="M209" s="304">
        <v>0.5</v>
      </c>
      <c r="N209" s="292">
        <v>0.13225000000000001</v>
      </c>
      <c r="O209" s="291"/>
      <c r="P209" s="291"/>
      <c r="Q209" s="372"/>
      <c r="R209" s="291"/>
      <c r="S209" s="291"/>
      <c r="T209" s="291"/>
      <c r="U209" s="291"/>
      <c r="V209" s="291"/>
      <c r="W209" s="372"/>
      <c r="X209" s="291"/>
      <c r="Y209" s="291"/>
      <c r="Z209" s="291"/>
      <c r="AA209" s="440"/>
      <c r="AB209" s="460"/>
      <c r="AC209" s="440"/>
      <c r="AD209" s="444"/>
      <c r="AF209" s="365"/>
      <c r="AJ209" s="468"/>
    </row>
    <row r="210" spans="1:49" ht="16.5" customHeight="1" x14ac:dyDescent="0.25">
      <c r="A210" s="1138"/>
      <c r="B210" s="452" t="s">
        <v>831</v>
      </c>
      <c r="C210" s="492"/>
      <c r="D210" s="451"/>
      <c r="E210" s="300" t="s">
        <v>1442</v>
      </c>
      <c r="F210" s="301" t="s">
        <v>1443</v>
      </c>
      <c r="G210" s="302">
        <v>419.5</v>
      </c>
      <c r="H210" s="301">
        <v>0.01</v>
      </c>
      <c r="I210" s="303">
        <f t="shared" si="19"/>
        <v>4.1950000000000003</v>
      </c>
      <c r="J210" s="290"/>
      <c r="K210" s="374"/>
      <c r="L210" s="292"/>
      <c r="M210" s="292"/>
      <c r="N210" s="292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1"/>
      <c r="AA210" s="440"/>
      <c r="AB210" s="460"/>
      <c r="AC210" s="440"/>
      <c r="AD210" s="444"/>
      <c r="AF210" s="365"/>
      <c r="AJ210" s="468"/>
    </row>
    <row r="211" spans="1:49" ht="16.5" customHeight="1" x14ac:dyDescent="0.25">
      <c r="A211" s="1138"/>
      <c r="B211" s="469" t="s">
        <v>1178</v>
      </c>
      <c r="C211" s="493">
        <v>0.5</v>
      </c>
      <c r="D211" s="451"/>
      <c r="E211" s="300" t="s">
        <v>1444</v>
      </c>
      <c r="F211" s="301" t="s">
        <v>1443</v>
      </c>
      <c r="G211" s="302">
        <v>872</v>
      </c>
      <c r="H211" s="641">
        <v>6.0000000000000001E-3</v>
      </c>
      <c r="I211" s="303">
        <f t="shared" si="19"/>
        <v>5.2320000000000002</v>
      </c>
      <c r="J211" s="290"/>
      <c r="K211" s="374"/>
      <c r="L211" s="292"/>
      <c r="M211" s="292"/>
      <c r="N211" s="292"/>
      <c r="O211" s="291"/>
      <c r="P211" s="291"/>
      <c r="Q211" s="291"/>
      <c r="R211" s="291"/>
      <c r="S211" s="291"/>
      <c r="T211" s="291"/>
      <c r="U211" s="291"/>
      <c r="V211" s="291"/>
      <c r="W211" s="291"/>
      <c r="X211" s="291"/>
      <c r="Y211" s="291"/>
      <c r="Z211" s="291"/>
      <c r="AA211" s="440"/>
      <c r="AB211" s="460"/>
      <c r="AC211" s="440"/>
      <c r="AD211" s="444"/>
      <c r="AF211" s="365"/>
      <c r="AJ211" s="472"/>
    </row>
    <row r="212" spans="1:49" ht="16.5" customHeight="1" x14ac:dyDescent="0.25">
      <c r="A212" s="1138"/>
      <c r="B212" s="452" t="s">
        <v>1179</v>
      </c>
      <c r="C212" s="493">
        <v>0.5</v>
      </c>
      <c r="D212" s="451"/>
      <c r="E212" s="494" t="s">
        <v>13</v>
      </c>
      <c r="F212" s="376" t="s">
        <v>1441</v>
      </c>
      <c r="G212" s="302">
        <v>1.5</v>
      </c>
      <c r="H212" s="301">
        <v>1</v>
      </c>
      <c r="I212" s="303">
        <f t="shared" si="19"/>
        <v>1.5</v>
      </c>
      <c r="J212" s="290"/>
      <c r="K212" s="374"/>
      <c r="L212" s="305"/>
      <c r="M212" s="304"/>
      <c r="N212" s="292"/>
      <c r="O212" s="291"/>
      <c r="P212" s="291"/>
      <c r="Q212" s="291"/>
      <c r="R212" s="291"/>
      <c r="S212" s="291"/>
      <c r="T212" s="291"/>
      <c r="U212" s="291"/>
      <c r="V212" s="291"/>
      <c r="W212" s="291"/>
      <c r="X212" s="291"/>
      <c r="Y212" s="291"/>
      <c r="Z212" s="291"/>
      <c r="AA212" s="440"/>
      <c r="AB212" s="460"/>
      <c r="AC212" s="440"/>
      <c r="AD212" s="444"/>
      <c r="AF212" s="365"/>
      <c r="AJ212" s="472"/>
    </row>
    <row r="213" spans="1:49" ht="16.5" customHeight="1" x14ac:dyDescent="0.25">
      <c r="A213" s="1139"/>
      <c r="B213" s="474" t="s">
        <v>1181</v>
      </c>
      <c r="C213" s="487">
        <f>C208*C211+C209*C212</f>
        <v>31.692287174182141</v>
      </c>
      <c r="D213" s="451"/>
      <c r="E213" s="494"/>
      <c r="F213" s="376"/>
      <c r="G213" s="302"/>
      <c r="H213" s="301"/>
      <c r="I213" s="303"/>
      <c r="J213" s="290"/>
      <c r="K213" s="374"/>
      <c r="L213" s="311"/>
      <c r="M213" s="304"/>
      <c r="N213" s="292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440"/>
      <c r="AB213" s="460"/>
      <c r="AC213" s="440"/>
      <c r="AD213" s="444"/>
      <c r="AF213" s="365"/>
      <c r="AJ213" s="468"/>
    </row>
    <row r="214" spans="1:49" ht="37.5" customHeight="1" x14ac:dyDescent="0.25">
      <c r="A214" s="1137" t="s">
        <v>1574</v>
      </c>
      <c r="B214" s="439" t="s">
        <v>542</v>
      </c>
      <c r="C214" s="487"/>
      <c r="D214" s="495"/>
      <c r="E214" s="441" t="s">
        <v>488</v>
      </c>
      <c r="F214" s="442" t="s">
        <v>837</v>
      </c>
      <c r="G214" s="439" t="s">
        <v>489</v>
      </c>
      <c r="H214" s="441" t="s">
        <v>1170</v>
      </c>
      <c r="I214" s="442" t="s">
        <v>838</v>
      </c>
      <c r="J214" s="280" t="s">
        <v>1171</v>
      </c>
      <c r="K214" s="280" t="s">
        <v>490</v>
      </c>
      <c r="L214" s="281" t="s">
        <v>489</v>
      </c>
      <c r="M214" s="280" t="s">
        <v>1172</v>
      </c>
      <c r="N214" s="442" t="s">
        <v>838</v>
      </c>
      <c r="O214" s="280" t="s">
        <v>1171</v>
      </c>
      <c r="P214" s="280" t="s">
        <v>826</v>
      </c>
      <c r="Q214" s="280" t="s">
        <v>1173</v>
      </c>
      <c r="R214" s="280" t="s">
        <v>1174</v>
      </c>
      <c r="S214" s="280" t="s">
        <v>839</v>
      </c>
      <c r="T214" s="280" t="s">
        <v>1171</v>
      </c>
      <c r="U214" s="280" t="s">
        <v>1392</v>
      </c>
      <c r="V214" s="280" t="s">
        <v>841</v>
      </c>
      <c r="W214" s="280" t="s">
        <v>841</v>
      </c>
      <c r="X214" s="280" t="s">
        <v>1394</v>
      </c>
      <c r="Y214" s="280" t="s">
        <v>839</v>
      </c>
      <c r="Z214" s="283"/>
      <c r="AA214" s="440"/>
      <c r="AB214" s="460"/>
      <c r="AC214" s="440"/>
      <c r="AD214" s="444"/>
      <c r="AQ214" s="449"/>
      <c r="AR214" s="449"/>
      <c r="AS214" s="449"/>
    </row>
    <row r="215" spans="1:49" ht="16.5" customHeight="1" x14ac:dyDescent="0.25">
      <c r="A215" s="1138"/>
      <c r="B215" s="450" t="s">
        <v>1175</v>
      </c>
      <c r="C215" s="439">
        <f>C222</f>
        <v>43.888814515309463</v>
      </c>
      <c r="D215" s="496">
        <f>C215*$D$7</f>
        <v>8.8655405320925116</v>
      </c>
      <c r="E215" s="452" t="s">
        <v>1176</v>
      </c>
      <c r="F215" s="453"/>
      <c r="G215" s="454"/>
      <c r="H215" s="454"/>
      <c r="I215" s="455">
        <f>SUM(I216:I222)</f>
        <v>18.307700000000001</v>
      </c>
      <c r="J215" s="290" t="s">
        <v>1176</v>
      </c>
      <c r="K215" s="357"/>
      <c r="L215" s="291"/>
      <c r="M215" s="291"/>
      <c r="N215" s="292">
        <f>SUM(N216:N222)</f>
        <v>4.4213899999999997</v>
      </c>
      <c r="O215" s="291" t="s">
        <v>1176</v>
      </c>
      <c r="P215" s="291"/>
      <c r="Q215" s="293"/>
      <c r="R215" s="294"/>
      <c r="S215" s="292">
        <f>SUM(S216:S222)</f>
        <v>8.1902000000000008</v>
      </c>
      <c r="T215" s="292"/>
      <c r="U215" s="292"/>
      <c r="V215" s="292"/>
      <c r="W215" s="292"/>
      <c r="X215" s="292"/>
      <c r="Y215" s="292">
        <f>SUM(Y216:Y222)</f>
        <v>9.1999999999999998E-3</v>
      </c>
      <c r="Z215" s="296">
        <f>(C215+D215+I215+N215+S215+Y215)*$Z$7</f>
        <v>108.8034052286847</v>
      </c>
      <c r="AA215" s="459">
        <f>C215+D215+I215+N215+S215+Y215+Z215</f>
        <v>192.48625027608668</v>
      </c>
      <c r="AB215" s="460">
        <v>0.3</v>
      </c>
      <c r="AC215" s="461">
        <f>AA215*(1+AB215)</f>
        <v>250.2321253589127</v>
      </c>
      <c r="AD215" s="448"/>
      <c r="AI215" s="449"/>
      <c r="AJ215" s="462"/>
      <c r="AK215" s="463"/>
      <c r="AM215" s="464"/>
      <c r="AN215" s="143"/>
      <c r="AO215" s="464"/>
      <c r="AP215" s="449"/>
      <c r="AQ215" s="449"/>
      <c r="AR215" s="449"/>
      <c r="AS215" s="449"/>
      <c r="AT215" s="449"/>
      <c r="AU215" s="464"/>
      <c r="AV215" s="464"/>
      <c r="AW215" s="465"/>
    </row>
    <row r="216" spans="1:49" ht="16.5" customHeight="1" x14ac:dyDescent="0.25">
      <c r="A216" s="1138"/>
      <c r="B216" s="466" t="s">
        <v>830</v>
      </c>
      <c r="C216" s="439"/>
      <c r="E216" s="300" t="s">
        <v>1437</v>
      </c>
      <c r="F216" s="301" t="s">
        <v>1438</v>
      </c>
      <c r="G216" s="302">
        <v>0.74</v>
      </c>
      <c r="H216" s="301">
        <v>0.1</v>
      </c>
      <c r="I216" s="303">
        <f t="shared" ref="I216:I222" si="20">G216*H216</f>
        <v>7.3999999999999996E-2</v>
      </c>
      <c r="J216" s="290" t="s">
        <v>1291</v>
      </c>
      <c r="K216" s="304">
        <v>2</v>
      </c>
      <c r="L216" s="305">
        <v>750</v>
      </c>
      <c r="M216" s="304">
        <v>2</v>
      </c>
      <c r="N216" s="292">
        <v>1.1745000000000001</v>
      </c>
      <c r="O216" s="467" t="s">
        <v>1578</v>
      </c>
      <c r="P216" s="291">
        <v>188900</v>
      </c>
      <c r="Q216" s="372">
        <v>0.19670000000000001</v>
      </c>
      <c r="R216" s="291">
        <f>P216*Q216</f>
        <v>37156.630000000005</v>
      </c>
      <c r="S216" s="291">
        <v>8.1902000000000008</v>
      </c>
      <c r="T216" s="458" t="s">
        <v>1435</v>
      </c>
      <c r="U216" s="456">
        <v>6785401.3499999996</v>
      </c>
      <c r="V216" s="457">
        <v>1.32E-2</v>
      </c>
      <c r="W216" s="458">
        <v>1508.3</v>
      </c>
      <c r="X216" s="292">
        <v>59.38</v>
      </c>
      <c r="Y216" s="291">
        <v>9.1999999999999998E-3</v>
      </c>
      <c r="Z216" s="291"/>
      <c r="AA216" s="440"/>
      <c r="AB216" s="460"/>
      <c r="AC216" s="440"/>
      <c r="AD216" s="444"/>
      <c r="AF216" s="365"/>
      <c r="AJ216" s="468"/>
    </row>
    <row r="217" spans="1:49" ht="16.5" customHeight="1" x14ac:dyDescent="0.25">
      <c r="A217" s="1138"/>
      <c r="B217" s="469" t="s">
        <v>1178</v>
      </c>
      <c r="C217" s="491">
        <f>C208</f>
        <v>43.888814515309463</v>
      </c>
      <c r="D217" s="451"/>
      <c r="E217" s="300" t="s">
        <v>1439</v>
      </c>
      <c r="F217" s="301" t="s">
        <v>1438</v>
      </c>
      <c r="G217" s="302">
        <v>0.27</v>
      </c>
      <c r="H217" s="301">
        <v>0.01</v>
      </c>
      <c r="I217" s="303">
        <f t="shared" si="20"/>
        <v>2.7000000000000001E-3</v>
      </c>
      <c r="J217" s="290" t="s">
        <v>1445</v>
      </c>
      <c r="K217" s="292">
        <v>2</v>
      </c>
      <c r="L217" s="311">
        <v>95</v>
      </c>
      <c r="M217" s="304">
        <v>2</v>
      </c>
      <c r="N217" s="292">
        <v>3.1146400000000001</v>
      </c>
      <c r="O217" s="291"/>
      <c r="P217" s="291"/>
      <c r="Q217" s="372"/>
      <c r="R217" s="291"/>
      <c r="S217" s="291"/>
      <c r="T217" s="291"/>
      <c r="U217" s="291"/>
      <c r="V217" s="291"/>
      <c r="W217" s="372"/>
      <c r="X217" s="291"/>
      <c r="Y217" s="291"/>
      <c r="Z217" s="291"/>
      <c r="AA217" s="440"/>
      <c r="AB217" s="460"/>
      <c r="AC217" s="440"/>
      <c r="AD217" s="444"/>
      <c r="AF217" s="365"/>
      <c r="AJ217" s="468"/>
      <c r="AM217" s="465"/>
    </row>
    <row r="218" spans="1:49" ht="16.5" customHeight="1" x14ac:dyDescent="0.25">
      <c r="A218" s="1138"/>
      <c r="B218" s="452" t="s">
        <v>1179</v>
      </c>
      <c r="C218" s="487">
        <f>C209</f>
        <v>19.495759833054819</v>
      </c>
      <c r="D218" s="451"/>
      <c r="E218" s="300" t="s">
        <v>1440</v>
      </c>
      <c r="F218" s="301" t="s">
        <v>1441</v>
      </c>
      <c r="G218" s="302">
        <v>5.92</v>
      </c>
      <c r="H218" s="471">
        <v>1</v>
      </c>
      <c r="I218" s="303">
        <f t="shared" si="20"/>
        <v>5.92</v>
      </c>
      <c r="J218" s="290" t="s">
        <v>1513</v>
      </c>
      <c r="K218" s="292">
        <v>2</v>
      </c>
      <c r="L218" s="292">
        <v>25</v>
      </c>
      <c r="M218" s="304">
        <v>0.5</v>
      </c>
      <c r="N218" s="292">
        <v>0.13225000000000001</v>
      </c>
      <c r="O218" s="291"/>
      <c r="P218" s="291"/>
      <c r="Q218" s="372"/>
      <c r="R218" s="291"/>
      <c r="S218" s="291"/>
      <c r="T218" s="291"/>
      <c r="U218" s="291"/>
      <c r="V218" s="291"/>
      <c r="W218" s="372"/>
      <c r="X218" s="291"/>
      <c r="Y218" s="291"/>
      <c r="Z218" s="291"/>
      <c r="AA218" s="440"/>
      <c r="AB218" s="460"/>
      <c r="AC218" s="440"/>
      <c r="AD218" s="444"/>
      <c r="AF218" s="365"/>
      <c r="AJ218" s="468"/>
    </row>
    <row r="219" spans="1:49" ht="16.5" customHeight="1" x14ac:dyDescent="0.25">
      <c r="A219" s="1138"/>
      <c r="B219" s="452" t="s">
        <v>831</v>
      </c>
      <c r="C219" s="492"/>
      <c r="D219" s="451"/>
      <c r="E219" s="300" t="s">
        <v>1442</v>
      </c>
      <c r="F219" s="301" t="s">
        <v>1443</v>
      </c>
      <c r="G219" s="302">
        <v>419.5</v>
      </c>
      <c r="H219" s="301">
        <v>0.01</v>
      </c>
      <c r="I219" s="303">
        <f t="shared" si="20"/>
        <v>4.1950000000000003</v>
      </c>
      <c r="J219" s="290"/>
      <c r="K219" s="374"/>
      <c r="L219" s="292"/>
      <c r="M219" s="292"/>
      <c r="N219" s="292"/>
      <c r="O219" s="291"/>
      <c r="P219" s="291"/>
      <c r="Q219" s="291"/>
      <c r="R219" s="291"/>
      <c r="S219" s="291"/>
      <c r="T219" s="291"/>
      <c r="U219" s="291"/>
      <c r="V219" s="291"/>
      <c r="W219" s="291"/>
      <c r="X219" s="291"/>
      <c r="Y219" s="291"/>
      <c r="Z219" s="291"/>
      <c r="AA219" s="440"/>
      <c r="AB219" s="460"/>
      <c r="AC219" s="440"/>
      <c r="AD219" s="444"/>
      <c r="AF219" s="365"/>
      <c r="AJ219" s="468"/>
    </row>
    <row r="220" spans="1:49" ht="16.5" customHeight="1" x14ac:dyDescent="0.25">
      <c r="A220" s="1138"/>
      <c r="B220" s="469" t="s">
        <v>1178</v>
      </c>
      <c r="C220" s="493">
        <v>1</v>
      </c>
      <c r="D220" s="451"/>
      <c r="E220" s="300" t="s">
        <v>1444</v>
      </c>
      <c r="F220" s="301" t="s">
        <v>1443</v>
      </c>
      <c r="G220" s="302">
        <v>872</v>
      </c>
      <c r="H220" s="301">
        <v>3.0000000000000001E-3</v>
      </c>
      <c r="I220" s="303">
        <f t="shared" si="20"/>
        <v>2.6160000000000001</v>
      </c>
      <c r="J220" s="290"/>
      <c r="K220" s="374"/>
      <c r="L220" s="292"/>
      <c r="M220" s="292"/>
      <c r="N220" s="292"/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/>
      <c r="AA220" s="440"/>
      <c r="AB220" s="460"/>
      <c r="AC220" s="440"/>
      <c r="AD220" s="444"/>
      <c r="AF220" s="365"/>
      <c r="AJ220" s="472"/>
    </row>
    <row r="221" spans="1:49" ht="16.5" customHeight="1" x14ac:dyDescent="0.25">
      <c r="A221" s="1138"/>
      <c r="B221" s="452" t="s">
        <v>1179</v>
      </c>
      <c r="C221" s="493">
        <v>0</v>
      </c>
      <c r="D221" s="451"/>
      <c r="E221" s="494" t="s">
        <v>585</v>
      </c>
      <c r="F221" s="376" t="s">
        <v>1</v>
      </c>
      <c r="G221" s="302">
        <v>2</v>
      </c>
      <c r="H221" s="301">
        <v>2</v>
      </c>
      <c r="I221" s="303">
        <f t="shared" si="20"/>
        <v>4</v>
      </c>
      <c r="J221" s="290"/>
      <c r="K221" s="374"/>
      <c r="L221" s="305"/>
      <c r="M221" s="304"/>
      <c r="N221" s="292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440"/>
      <c r="AB221" s="460"/>
      <c r="AC221" s="440"/>
      <c r="AD221" s="444"/>
      <c r="AF221" s="365"/>
      <c r="AJ221" s="472"/>
    </row>
    <row r="222" spans="1:49" ht="16.5" customHeight="1" x14ac:dyDescent="0.25">
      <c r="A222" s="1139"/>
      <c r="B222" s="474" t="s">
        <v>1181</v>
      </c>
      <c r="C222" s="487">
        <f>C217*C220+C218*C221</f>
        <v>43.888814515309463</v>
      </c>
      <c r="D222" s="451"/>
      <c r="E222" s="494" t="s">
        <v>13</v>
      </c>
      <c r="F222" s="376" t="s">
        <v>1441</v>
      </c>
      <c r="G222" s="302">
        <v>1.5</v>
      </c>
      <c r="H222" s="301">
        <v>1</v>
      </c>
      <c r="I222" s="303">
        <f t="shared" si="20"/>
        <v>1.5</v>
      </c>
      <c r="J222" s="290"/>
      <c r="K222" s="374"/>
      <c r="L222" s="311"/>
      <c r="M222" s="304"/>
      <c r="N222" s="292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440"/>
      <c r="AB222" s="460"/>
      <c r="AC222" s="440"/>
      <c r="AD222" s="444"/>
      <c r="AF222" s="365"/>
      <c r="AJ222" s="468"/>
    </row>
    <row r="223" spans="1:49" ht="37.5" customHeight="1" x14ac:dyDescent="0.25">
      <c r="A223" s="1137" t="s">
        <v>1575</v>
      </c>
      <c r="B223" s="439" t="s">
        <v>543</v>
      </c>
      <c r="C223" s="487"/>
      <c r="D223" s="495"/>
      <c r="E223" s="441" t="s">
        <v>488</v>
      </c>
      <c r="F223" s="442" t="s">
        <v>837</v>
      </c>
      <c r="G223" s="439" t="s">
        <v>489</v>
      </c>
      <c r="H223" s="441" t="s">
        <v>1170</v>
      </c>
      <c r="I223" s="442" t="s">
        <v>838</v>
      </c>
      <c r="J223" s="280" t="s">
        <v>1171</v>
      </c>
      <c r="K223" s="280" t="s">
        <v>490</v>
      </c>
      <c r="L223" s="281" t="s">
        <v>489</v>
      </c>
      <c r="M223" s="280" t="s">
        <v>1172</v>
      </c>
      <c r="N223" s="442" t="s">
        <v>838</v>
      </c>
      <c r="O223" s="280" t="s">
        <v>1171</v>
      </c>
      <c r="P223" s="280" t="s">
        <v>826</v>
      </c>
      <c r="Q223" s="280" t="s">
        <v>1173</v>
      </c>
      <c r="R223" s="280" t="s">
        <v>1174</v>
      </c>
      <c r="S223" s="280" t="s">
        <v>839</v>
      </c>
      <c r="T223" s="280" t="s">
        <v>1171</v>
      </c>
      <c r="U223" s="280" t="s">
        <v>1392</v>
      </c>
      <c r="V223" s="280" t="s">
        <v>841</v>
      </c>
      <c r="W223" s="280" t="s">
        <v>841</v>
      </c>
      <c r="X223" s="280" t="s">
        <v>1394</v>
      </c>
      <c r="Y223" s="280" t="s">
        <v>839</v>
      </c>
      <c r="Z223" s="283"/>
      <c r="AA223" s="440"/>
      <c r="AB223" s="460"/>
      <c r="AC223" s="440"/>
      <c r="AD223" s="444"/>
      <c r="AQ223" s="449"/>
      <c r="AR223" s="449"/>
      <c r="AS223" s="449"/>
    </row>
    <row r="224" spans="1:49" ht="16.5" customHeight="1" x14ac:dyDescent="0.25">
      <c r="A224" s="1138"/>
      <c r="B224" s="497" t="s">
        <v>1175</v>
      </c>
      <c r="C224" s="439">
        <f>C231</f>
        <v>32.131175319335235</v>
      </c>
      <c r="D224" s="496">
        <f>C224*$D$7</f>
        <v>6.4904974145057182</v>
      </c>
      <c r="E224" s="452" t="s">
        <v>1176</v>
      </c>
      <c r="F224" s="453"/>
      <c r="G224" s="454"/>
      <c r="H224" s="454"/>
      <c r="I224" s="455">
        <f>SUM(I225:I231)</f>
        <v>16.0517</v>
      </c>
      <c r="J224" s="290" t="s">
        <v>1176</v>
      </c>
      <c r="K224" s="357"/>
      <c r="L224" s="291"/>
      <c r="M224" s="291"/>
      <c r="N224" s="292">
        <f>SUM(N225:N231)</f>
        <v>4.4213899999999997</v>
      </c>
      <c r="O224" s="291" t="s">
        <v>1176</v>
      </c>
      <c r="P224" s="291"/>
      <c r="Q224" s="293"/>
      <c r="R224" s="294"/>
      <c r="S224" s="292">
        <f>SUM(S225:S231)</f>
        <v>8.1902000000000008</v>
      </c>
      <c r="T224" s="292"/>
      <c r="U224" s="292"/>
      <c r="V224" s="292"/>
      <c r="W224" s="292"/>
      <c r="X224" s="292"/>
      <c r="Y224" s="292">
        <f>SUM(Y225:Y231)</f>
        <v>9.1999999999999998E-3</v>
      </c>
      <c r="Z224" s="296">
        <f>(C224+D224+I224+N224+S224+Y224)*$Z$7</f>
        <v>87.495042183469181</v>
      </c>
      <c r="AA224" s="459">
        <f>C224+D224+I224+N224+S224+Y224+Z224</f>
        <v>154.78920491731014</v>
      </c>
      <c r="AB224" s="460">
        <v>0.3</v>
      </c>
      <c r="AC224" s="461">
        <f>AA224*(1+AB224)</f>
        <v>201.22596639250318</v>
      </c>
      <c r="AD224" s="448"/>
      <c r="AI224" s="449"/>
      <c r="AJ224" s="462"/>
      <c r="AK224" s="463"/>
      <c r="AM224" s="464"/>
      <c r="AN224" s="143"/>
      <c r="AO224" s="464"/>
      <c r="AP224" s="449"/>
      <c r="AQ224" s="449"/>
      <c r="AR224" s="449"/>
      <c r="AS224" s="449"/>
      <c r="AT224" s="449"/>
      <c r="AU224" s="464"/>
      <c r="AV224" s="464"/>
      <c r="AW224" s="465"/>
    </row>
    <row r="225" spans="1:49" ht="16.5" customHeight="1" x14ac:dyDescent="0.25">
      <c r="A225" s="1138"/>
      <c r="B225" s="466" t="s">
        <v>830</v>
      </c>
      <c r="C225" s="439"/>
      <c r="D225" s="444"/>
      <c r="E225" s="300" t="s">
        <v>1437</v>
      </c>
      <c r="F225" s="301" t="s">
        <v>1438</v>
      </c>
      <c r="G225" s="302">
        <v>0.74</v>
      </c>
      <c r="H225" s="301">
        <v>0.1</v>
      </c>
      <c r="I225" s="303">
        <f t="shared" ref="I225:I230" si="21">G225*H225</f>
        <v>7.3999999999999996E-2</v>
      </c>
      <c r="J225" s="290" t="s">
        <v>1291</v>
      </c>
      <c r="K225" s="304">
        <v>2</v>
      </c>
      <c r="L225" s="305">
        <v>750</v>
      </c>
      <c r="M225" s="304">
        <v>2</v>
      </c>
      <c r="N225" s="292">
        <v>1.1745000000000001</v>
      </c>
      <c r="O225" s="467" t="s">
        <v>1578</v>
      </c>
      <c r="P225" s="291">
        <v>188900</v>
      </c>
      <c r="Q225" s="372">
        <v>0.19670000000000001</v>
      </c>
      <c r="R225" s="291">
        <f>P225*Q225</f>
        <v>37156.630000000005</v>
      </c>
      <c r="S225" s="291">
        <v>8.1902000000000008</v>
      </c>
      <c r="T225" s="458" t="s">
        <v>1435</v>
      </c>
      <c r="U225" s="456">
        <v>6785401.3499999996</v>
      </c>
      <c r="V225" s="457">
        <v>1.32E-2</v>
      </c>
      <c r="W225" s="458">
        <v>1508.3</v>
      </c>
      <c r="X225" s="292">
        <v>59.38</v>
      </c>
      <c r="Y225" s="291">
        <v>9.1999999999999998E-3</v>
      </c>
      <c r="Z225" s="291"/>
      <c r="AA225" s="440"/>
      <c r="AB225" s="460"/>
      <c r="AC225" s="440"/>
      <c r="AD225" s="444"/>
      <c r="AF225" s="365"/>
      <c r="AJ225" s="468"/>
    </row>
    <row r="226" spans="1:49" ht="16.5" customHeight="1" x14ac:dyDescent="0.25">
      <c r="A226" s="1138"/>
      <c r="B226" s="469" t="s">
        <v>1178</v>
      </c>
      <c r="C226" s="491">
        <f>C217</f>
        <v>43.888814515309463</v>
      </c>
      <c r="D226" s="451"/>
      <c r="E226" s="300" t="s">
        <v>1439</v>
      </c>
      <c r="F226" s="301" t="s">
        <v>1438</v>
      </c>
      <c r="G226" s="302">
        <v>0.27</v>
      </c>
      <c r="H226" s="301">
        <v>0.01</v>
      </c>
      <c r="I226" s="303">
        <f t="shared" si="21"/>
        <v>2.7000000000000001E-3</v>
      </c>
      <c r="J226" s="290" t="s">
        <v>1445</v>
      </c>
      <c r="K226" s="292">
        <v>2</v>
      </c>
      <c r="L226" s="311">
        <v>95</v>
      </c>
      <c r="M226" s="304">
        <v>2</v>
      </c>
      <c r="N226" s="292">
        <v>3.1146400000000001</v>
      </c>
      <c r="O226" s="291"/>
      <c r="P226" s="291"/>
      <c r="Q226" s="372"/>
      <c r="R226" s="291"/>
      <c r="S226" s="291"/>
      <c r="T226" s="291"/>
      <c r="U226" s="291"/>
      <c r="V226" s="291"/>
      <c r="W226" s="372"/>
      <c r="X226" s="291"/>
      <c r="Y226" s="291"/>
      <c r="Z226" s="291"/>
      <c r="AA226" s="440"/>
      <c r="AB226" s="460"/>
      <c r="AC226" s="440"/>
      <c r="AD226" s="444"/>
      <c r="AF226" s="365"/>
      <c r="AJ226" s="468"/>
      <c r="AM226" s="465"/>
    </row>
    <row r="227" spans="1:49" ht="16.5" customHeight="1" x14ac:dyDescent="0.25">
      <c r="A227" s="1138"/>
      <c r="B227" s="452" t="s">
        <v>1179</v>
      </c>
      <c r="C227" s="487">
        <f>C218</f>
        <v>19.495759833054819</v>
      </c>
      <c r="D227" s="451"/>
      <c r="E227" s="300" t="s">
        <v>1440</v>
      </c>
      <c r="F227" s="301" t="s">
        <v>1441</v>
      </c>
      <c r="G227" s="302">
        <v>5.92</v>
      </c>
      <c r="H227" s="471">
        <v>1</v>
      </c>
      <c r="I227" s="303">
        <f t="shared" si="21"/>
        <v>5.92</v>
      </c>
      <c r="J227" s="290" t="s">
        <v>1513</v>
      </c>
      <c r="K227" s="292">
        <v>2</v>
      </c>
      <c r="L227" s="292">
        <v>25</v>
      </c>
      <c r="M227" s="304">
        <v>0.5</v>
      </c>
      <c r="N227" s="292">
        <v>0.13225000000000001</v>
      </c>
      <c r="O227" s="291"/>
      <c r="P227" s="291"/>
      <c r="Q227" s="372"/>
      <c r="R227" s="291"/>
      <c r="S227" s="291"/>
      <c r="T227" s="291"/>
      <c r="U227" s="291"/>
      <c r="V227" s="291"/>
      <c r="W227" s="372"/>
      <c r="X227" s="291"/>
      <c r="Y227" s="291"/>
      <c r="Z227" s="291"/>
      <c r="AA227" s="440"/>
      <c r="AB227" s="460"/>
      <c r="AC227" s="440"/>
      <c r="AD227" s="444"/>
      <c r="AF227" s="365"/>
      <c r="AJ227" s="468"/>
    </row>
    <row r="228" spans="1:49" ht="16.5" customHeight="1" x14ac:dyDescent="0.25">
      <c r="A228" s="1138"/>
      <c r="B228" s="452" t="s">
        <v>831</v>
      </c>
      <c r="C228" s="492"/>
      <c r="D228" s="451"/>
      <c r="E228" s="300" t="s">
        <v>1442</v>
      </c>
      <c r="F228" s="301" t="s">
        <v>1443</v>
      </c>
      <c r="G228" s="302">
        <v>419.5</v>
      </c>
      <c r="H228" s="301">
        <v>0.01</v>
      </c>
      <c r="I228" s="303">
        <f t="shared" si="21"/>
        <v>4.1950000000000003</v>
      </c>
      <c r="J228" s="290"/>
      <c r="K228" s="374"/>
      <c r="L228" s="292"/>
      <c r="M228" s="292"/>
      <c r="N228" s="292"/>
      <c r="O228" s="291"/>
      <c r="P228" s="291"/>
      <c r="Q228" s="291"/>
      <c r="R228" s="291"/>
      <c r="S228" s="291"/>
      <c r="T228" s="291"/>
      <c r="U228" s="291"/>
      <c r="V228" s="291"/>
      <c r="W228" s="291"/>
      <c r="X228" s="291"/>
      <c r="Y228" s="291"/>
      <c r="Z228" s="291"/>
      <c r="AA228" s="440"/>
      <c r="AB228" s="460"/>
      <c r="AC228" s="440"/>
      <c r="AD228" s="444"/>
      <c r="AF228" s="365"/>
      <c r="AJ228" s="468"/>
    </row>
    <row r="229" spans="1:49" ht="16.5" customHeight="1" x14ac:dyDescent="0.25">
      <c r="A229" s="1138"/>
      <c r="B229" s="469" t="s">
        <v>1178</v>
      </c>
      <c r="C229" s="493">
        <v>0.51</v>
      </c>
      <c r="D229" s="451"/>
      <c r="E229" s="300" t="s">
        <v>1444</v>
      </c>
      <c r="F229" s="301" t="s">
        <v>1443</v>
      </c>
      <c r="G229" s="302">
        <v>872</v>
      </c>
      <c r="H229" s="301">
        <v>5.0000000000000001E-3</v>
      </c>
      <c r="I229" s="303">
        <f t="shared" si="21"/>
        <v>4.3600000000000003</v>
      </c>
      <c r="J229" s="290"/>
      <c r="K229" s="374"/>
      <c r="L229" s="292"/>
      <c r="M229" s="292"/>
      <c r="N229" s="292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440"/>
      <c r="AB229" s="460"/>
      <c r="AC229" s="440"/>
      <c r="AD229" s="444"/>
      <c r="AF229" s="365"/>
      <c r="AJ229" s="472"/>
    </row>
    <row r="230" spans="1:49" ht="16.5" customHeight="1" x14ac:dyDescent="0.25">
      <c r="A230" s="1138"/>
      <c r="B230" s="452" t="s">
        <v>1179</v>
      </c>
      <c r="C230" s="493">
        <v>0.5</v>
      </c>
      <c r="D230" s="451"/>
      <c r="E230" s="494" t="s">
        <v>13</v>
      </c>
      <c r="F230" s="376" t="s">
        <v>1441</v>
      </c>
      <c r="G230" s="302">
        <v>1.5</v>
      </c>
      <c r="H230" s="301">
        <v>1</v>
      </c>
      <c r="I230" s="303">
        <f t="shared" si="21"/>
        <v>1.5</v>
      </c>
      <c r="J230" s="290"/>
      <c r="K230" s="374"/>
      <c r="L230" s="305"/>
      <c r="M230" s="304"/>
      <c r="N230" s="292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440"/>
      <c r="AB230" s="460"/>
      <c r="AC230" s="440"/>
      <c r="AD230" s="444"/>
      <c r="AF230" s="365"/>
      <c r="AJ230" s="472"/>
    </row>
    <row r="231" spans="1:49" ht="16.5" customHeight="1" x14ac:dyDescent="0.25">
      <c r="A231" s="1139"/>
      <c r="B231" s="474" t="s">
        <v>1181</v>
      </c>
      <c r="C231" s="487">
        <f>C226*C229+C227*C230</f>
        <v>32.131175319335235</v>
      </c>
      <c r="D231" s="475"/>
      <c r="E231" s="494"/>
      <c r="F231" s="376"/>
      <c r="G231" s="302"/>
      <c r="H231" s="301"/>
      <c r="I231" s="303"/>
      <c r="J231" s="290"/>
      <c r="K231" s="374"/>
      <c r="L231" s="311"/>
      <c r="M231" s="292"/>
      <c r="N231" s="292"/>
      <c r="O231" s="291"/>
      <c r="P231" s="291"/>
      <c r="Q231" s="291"/>
      <c r="R231" s="291"/>
      <c r="S231" s="291"/>
      <c r="T231" s="291"/>
      <c r="U231" s="291"/>
      <c r="V231" s="291"/>
      <c r="W231" s="291"/>
      <c r="X231" s="291"/>
      <c r="Y231" s="291"/>
      <c r="Z231" s="291"/>
      <c r="AA231" s="440"/>
      <c r="AB231" s="460"/>
      <c r="AC231" s="440"/>
      <c r="AD231" s="444"/>
      <c r="AF231" s="365"/>
      <c r="AJ231" s="468"/>
    </row>
    <row r="232" spans="1:49" ht="16.5" customHeight="1" x14ac:dyDescent="0.25">
      <c r="A232" s="1145" t="s">
        <v>1576</v>
      </c>
      <c r="B232" s="1146"/>
      <c r="C232" s="1146"/>
      <c r="D232" s="1146"/>
      <c r="E232" s="1146"/>
      <c r="F232" s="1146"/>
      <c r="G232" s="1146"/>
      <c r="H232" s="1146"/>
      <c r="I232" s="1146"/>
      <c r="J232" s="1146"/>
      <c r="K232" s="1146"/>
      <c r="L232" s="1146"/>
      <c r="M232" s="1146"/>
      <c r="N232" s="1146"/>
      <c r="O232" s="1146"/>
      <c r="P232" s="1146"/>
      <c r="Q232" s="1146"/>
      <c r="R232" s="1146"/>
      <c r="S232" s="1146"/>
      <c r="T232" s="1146"/>
      <c r="U232" s="1146"/>
      <c r="V232" s="1146"/>
      <c r="W232" s="1146"/>
      <c r="X232" s="1146"/>
      <c r="Y232" s="1147"/>
      <c r="Z232" s="291"/>
      <c r="AA232" s="440"/>
      <c r="AB232" s="460"/>
      <c r="AC232" s="440"/>
      <c r="AD232" s="444"/>
      <c r="AF232" s="365"/>
      <c r="AJ232" s="468"/>
    </row>
    <row r="233" spans="1:49" ht="12.75" customHeight="1" x14ac:dyDescent="0.25">
      <c r="A233" s="1140" t="s">
        <v>1577</v>
      </c>
      <c r="B233" s="1141"/>
      <c r="C233" s="1141"/>
      <c r="D233" s="1141"/>
      <c r="E233" s="1141"/>
      <c r="F233" s="1141"/>
      <c r="G233" s="1141"/>
      <c r="H233" s="1141"/>
      <c r="I233" s="1141"/>
      <c r="J233" s="1141"/>
      <c r="K233" s="1141"/>
      <c r="L233" s="1141"/>
      <c r="M233" s="1141"/>
      <c r="N233" s="1141"/>
      <c r="O233" s="1141"/>
      <c r="P233" s="1141"/>
      <c r="Q233" s="1141"/>
      <c r="R233" s="1141"/>
      <c r="S233" s="1141"/>
      <c r="T233" s="1141"/>
      <c r="U233" s="1141"/>
      <c r="V233" s="1141"/>
      <c r="W233" s="1141"/>
      <c r="X233" s="1141"/>
      <c r="Y233" s="1141"/>
      <c r="Z233" s="1141"/>
      <c r="AA233" s="1141"/>
      <c r="AB233" s="1141"/>
      <c r="AC233" s="1142"/>
      <c r="AD233" s="444"/>
      <c r="AF233" s="365"/>
      <c r="AJ233" s="468"/>
    </row>
    <row r="234" spans="1:49" ht="56.25" customHeight="1" x14ac:dyDescent="0.25">
      <c r="A234" s="1136" t="s">
        <v>545</v>
      </c>
      <c r="B234" s="439" t="s">
        <v>544</v>
      </c>
      <c r="C234" s="487"/>
      <c r="D234" s="440"/>
      <c r="E234" s="488" t="s">
        <v>488</v>
      </c>
      <c r="F234" s="442" t="s">
        <v>837</v>
      </c>
      <c r="G234" s="439" t="s">
        <v>489</v>
      </c>
      <c r="H234" s="441" t="s">
        <v>1170</v>
      </c>
      <c r="I234" s="442" t="s">
        <v>838</v>
      </c>
      <c r="J234" s="280" t="s">
        <v>1171</v>
      </c>
      <c r="K234" s="280" t="s">
        <v>490</v>
      </c>
      <c r="L234" s="281" t="s">
        <v>489</v>
      </c>
      <c r="M234" s="280" t="s">
        <v>1172</v>
      </c>
      <c r="N234" s="442" t="s">
        <v>838</v>
      </c>
      <c r="O234" s="280" t="s">
        <v>1171</v>
      </c>
      <c r="P234" s="280" t="s">
        <v>826</v>
      </c>
      <c r="Q234" s="280" t="s">
        <v>1173</v>
      </c>
      <c r="R234" s="280" t="s">
        <v>1174</v>
      </c>
      <c r="S234" s="280" t="s">
        <v>839</v>
      </c>
      <c r="T234" s="280" t="s">
        <v>1171</v>
      </c>
      <c r="U234" s="280" t="s">
        <v>1392</v>
      </c>
      <c r="V234" s="280" t="s">
        <v>841</v>
      </c>
      <c r="W234" s="282" t="s">
        <v>1173</v>
      </c>
      <c r="X234" s="280" t="s">
        <v>1394</v>
      </c>
      <c r="Y234" s="280" t="s">
        <v>839</v>
      </c>
      <c r="Z234" s="283"/>
      <c r="AA234" s="440"/>
      <c r="AB234" s="440"/>
      <c r="AC234" s="440"/>
      <c r="AD234" s="444"/>
      <c r="AQ234" s="449"/>
      <c r="AR234" s="449"/>
      <c r="AS234" s="449"/>
    </row>
    <row r="235" spans="1:49" ht="12" customHeight="1" x14ac:dyDescent="0.25">
      <c r="A235" s="1136"/>
      <c r="B235" s="450" t="s">
        <v>1175</v>
      </c>
      <c r="C235" s="439">
        <f>C242</f>
        <v>33.008951609641429</v>
      </c>
      <c r="D235" s="496">
        <f>C235*$D$7</f>
        <v>6.667808225147569</v>
      </c>
      <c r="E235" s="452" t="s">
        <v>1176</v>
      </c>
      <c r="F235" s="498"/>
      <c r="G235" s="454"/>
      <c r="H235" s="454"/>
      <c r="I235" s="455">
        <f>SUM(I236:I243)</f>
        <v>16.372</v>
      </c>
      <c r="J235" s="290" t="s">
        <v>1176</v>
      </c>
      <c r="K235" s="357"/>
      <c r="L235" s="291"/>
      <c r="M235" s="291"/>
      <c r="N235" s="292">
        <f>SUM(N236:N243)</f>
        <v>4.4213899999999997</v>
      </c>
      <c r="O235" s="291" t="s">
        <v>1176</v>
      </c>
      <c r="P235" s="291"/>
      <c r="Q235" s="293"/>
      <c r="R235" s="294"/>
      <c r="S235" s="292">
        <f>SUM(S236:S243)</f>
        <v>9.9028000000000009</v>
      </c>
      <c r="T235" s="292"/>
      <c r="U235" s="292"/>
      <c r="V235" s="292"/>
      <c r="W235" s="292"/>
      <c r="X235" s="292"/>
      <c r="Y235" s="292">
        <f>SUM(Y236:Y243)</f>
        <v>9.1999999999999998E-3</v>
      </c>
      <c r="Z235" s="296">
        <f>(C235+D235+I235+N235+S235+Y235)*$Z$7</f>
        <v>91.510005007630852</v>
      </c>
      <c r="AA235" s="459">
        <f>C235+D235+I235+N235+S235+Y235+Z235</f>
        <v>161.89215484241987</v>
      </c>
      <c r="AB235" s="460">
        <v>0.3</v>
      </c>
      <c r="AC235" s="461">
        <f>AA235*(1+AB235)</f>
        <v>210.45980129514584</v>
      </c>
      <c r="AD235" s="448"/>
      <c r="AI235" s="449"/>
      <c r="AJ235" s="462"/>
      <c r="AK235" s="463"/>
      <c r="AM235" s="464"/>
      <c r="AN235" s="143"/>
      <c r="AO235" s="464"/>
      <c r="AP235" s="449"/>
      <c r="AQ235" s="449"/>
      <c r="AR235" s="449"/>
      <c r="AS235" s="449"/>
      <c r="AT235" s="449"/>
      <c r="AU235" s="464"/>
      <c r="AV235" s="464"/>
      <c r="AW235" s="465"/>
    </row>
    <row r="236" spans="1:49" ht="24.75" customHeight="1" x14ac:dyDescent="0.25">
      <c r="A236" s="1136"/>
      <c r="B236" s="466" t="s">
        <v>830</v>
      </c>
      <c r="C236" s="487"/>
      <c r="D236" s="451"/>
      <c r="E236" s="300" t="s">
        <v>1437</v>
      </c>
      <c r="F236" s="301" t="s">
        <v>1438</v>
      </c>
      <c r="G236" s="302">
        <v>0.74</v>
      </c>
      <c r="H236" s="301">
        <v>0.5</v>
      </c>
      <c r="I236" s="303">
        <f t="shared" ref="I236:I241" si="22">G236*H236</f>
        <v>0.37</v>
      </c>
      <c r="J236" s="290" t="s">
        <v>1291</v>
      </c>
      <c r="K236" s="304">
        <v>2</v>
      </c>
      <c r="L236" s="305">
        <v>750</v>
      </c>
      <c r="M236" s="304">
        <v>2</v>
      </c>
      <c r="N236" s="292">
        <v>1.1745000000000001</v>
      </c>
      <c r="O236" s="467" t="s">
        <v>1578</v>
      </c>
      <c r="P236" s="291">
        <v>188900</v>
      </c>
      <c r="Q236" s="372">
        <v>0.19670000000000001</v>
      </c>
      <c r="R236" s="291">
        <f>P236*Q236</f>
        <v>37156.630000000005</v>
      </c>
      <c r="S236" s="291">
        <v>8.1902000000000008</v>
      </c>
      <c r="T236" s="458" t="s">
        <v>1435</v>
      </c>
      <c r="U236" s="456">
        <v>6785401.3499999996</v>
      </c>
      <c r="V236" s="457">
        <v>1.32E-2</v>
      </c>
      <c r="W236" s="458">
        <v>1508.3</v>
      </c>
      <c r="X236" s="292">
        <v>59.38</v>
      </c>
      <c r="Y236" s="291">
        <v>9.1999999999999998E-3</v>
      </c>
      <c r="Z236" s="291"/>
      <c r="AA236" s="440"/>
      <c r="AB236" s="460"/>
      <c r="AC236" s="440"/>
      <c r="AD236" s="444"/>
      <c r="AF236" s="365"/>
      <c r="AJ236" s="468"/>
      <c r="AT236" s="449"/>
    </row>
    <row r="237" spans="1:49" x14ac:dyDescent="0.25">
      <c r="A237" s="1136"/>
      <c r="B237" s="469" t="s">
        <v>1178</v>
      </c>
      <c r="C237" s="491">
        <f>C226</f>
        <v>43.888814515309463</v>
      </c>
      <c r="D237" s="451"/>
      <c r="E237" s="300" t="s">
        <v>1439</v>
      </c>
      <c r="F237" s="301" t="s">
        <v>1438</v>
      </c>
      <c r="G237" s="302">
        <v>0.27</v>
      </c>
      <c r="H237" s="301">
        <v>0.1</v>
      </c>
      <c r="I237" s="303">
        <f t="shared" si="22"/>
        <v>2.7000000000000003E-2</v>
      </c>
      <c r="J237" s="290" t="s">
        <v>1445</v>
      </c>
      <c r="K237" s="292">
        <v>2</v>
      </c>
      <c r="L237" s="311">
        <v>95</v>
      </c>
      <c r="M237" s="304">
        <v>2</v>
      </c>
      <c r="N237" s="292">
        <v>3.1146400000000001</v>
      </c>
      <c r="O237" s="291" t="s">
        <v>1580</v>
      </c>
      <c r="P237" s="291">
        <v>39500</v>
      </c>
      <c r="Q237" s="372">
        <v>0.19670000000000001</v>
      </c>
      <c r="R237" s="291">
        <f>P237*Q237</f>
        <v>7769.6500000000005</v>
      </c>
      <c r="S237" s="291">
        <v>1.7125999999999999</v>
      </c>
      <c r="T237" s="291"/>
      <c r="U237" s="291"/>
      <c r="V237" s="291"/>
      <c r="W237" s="372"/>
      <c r="X237" s="291"/>
      <c r="Y237" s="291"/>
      <c r="Z237" s="291"/>
      <c r="AA237" s="440"/>
      <c r="AB237" s="460"/>
      <c r="AC237" s="440"/>
      <c r="AD237" s="444"/>
      <c r="AF237" s="365"/>
      <c r="AJ237" s="468"/>
      <c r="AM237" s="465"/>
    </row>
    <row r="238" spans="1:49" ht="12.75" customHeight="1" x14ac:dyDescent="0.25">
      <c r="A238" s="1136"/>
      <c r="B238" s="452" t="s">
        <v>1179</v>
      </c>
      <c r="C238" s="487">
        <f>C227</f>
        <v>19.495759833054819</v>
      </c>
      <c r="D238" s="451"/>
      <c r="E238" s="300" t="s">
        <v>1440</v>
      </c>
      <c r="F238" s="301" t="s">
        <v>1441</v>
      </c>
      <c r="G238" s="302">
        <v>5.92</v>
      </c>
      <c r="H238" s="471">
        <v>1</v>
      </c>
      <c r="I238" s="303">
        <f t="shared" si="22"/>
        <v>5.92</v>
      </c>
      <c r="J238" s="290" t="s">
        <v>1513</v>
      </c>
      <c r="K238" s="292">
        <v>2</v>
      </c>
      <c r="L238" s="292">
        <v>25</v>
      </c>
      <c r="M238" s="304">
        <v>0.5</v>
      </c>
      <c r="N238" s="292">
        <v>0.13225000000000001</v>
      </c>
      <c r="O238" s="291"/>
      <c r="P238" s="291"/>
      <c r="Q238" s="372"/>
      <c r="R238" s="291"/>
      <c r="S238" s="291"/>
      <c r="T238" s="291"/>
      <c r="U238" s="291"/>
      <c r="V238" s="291"/>
      <c r="W238" s="372"/>
      <c r="X238" s="291"/>
      <c r="Y238" s="291"/>
      <c r="Z238" s="291"/>
      <c r="AA238" s="440"/>
      <c r="AB238" s="460"/>
      <c r="AC238" s="440"/>
      <c r="AD238" s="444"/>
      <c r="AF238" s="365"/>
      <c r="AJ238" s="468"/>
    </row>
    <row r="239" spans="1:49" ht="12.75" customHeight="1" x14ac:dyDescent="0.25">
      <c r="A239" s="1136"/>
      <c r="B239" s="452" t="s">
        <v>831</v>
      </c>
      <c r="C239" s="492"/>
      <c r="D239" s="451"/>
      <c r="E239" s="300" t="s">
        <v>1442</v>
      </c>
      <c r="F239" s="301" t="s">
        <v>1443</v>
      </c>
      <c r="G239" s="302">
        <v>419.5</v>
      </c>
      <c r="H239" s="301">
        <v>0.01</v>
      </c>
      <c r="I239" s="303">
        <f t="shared" si="22"/>
        <v>4.1950000000000003</v>
      </c>
      <c r="J239" s="290"/>
      <c r="K239" s="374"/>
      <c r="L239" s="292"/>
      <c r="M239" s="292"/>
      <c r="N239" s="292"/>
      <c r="O239" s="291"/>
      <c r="P239" s="291"/>
      <c r="Q239" s="291"/>
      <c r="R239" s="291"/>
      <c r="S239" s="291"/>
      <c r="T239" s="291"/>
      <c r="U239" s="291"/>
      <c r="V239" s="291"/>
      <c r="W239" s="291"/>
      <c r="X239" s="291"/>
      <c r="Y239" s="291"/>
      <c r="Z239" s="291"/>
      <c r="AA239" s="440"/>
      <c r="AB239" s="460"/>
      <c r="AC239" s="440"/>
      <c r="AD239" s="444"/>
      <c r="AF239" s="365"/>
      <c r="AJ239" s="468"/>
    </row>
    <row r="240" spans="1:49" ht="12.75" customHeight="1" x14ac:dyDescent="0.25">
      <c r="A240" s="1136"/>
      <c r="B240" s="469" t="s">
        <v>1178</v>
      </c>
      <c r="C240" s="493">
        <v>0.53</v>
      </c>
      <c r="D240" s="451"/>
      <c r="E240" s="300" t="s">
        <v>1444</v>
      </c>
      <c r="F240" s="301" t="s">
        <v>1443</v>
      </c>
      <c r="G240" s="302">
        <v>872</v>
      </c>
      <c r="H240" s="301">
        <v>5.0000000000000001E-3</v>
      </c>
      <c r="I240" s="303">
        <f t="shared" si="22"/>
        <v>4.3600000000000003</v>
      </c>
      <c r="J240" s="290"/>
      <c r="K240" s="374"/>
      <c r="L240" s="292"/>
      <c r="M240" s="292"/>
      <c r="N240" s="292"/>
      <c r="O240" s="291"/>
      <c r="P240" s="291"/>
      <c r="Q240" s="291"/>
      <c r="R240" s="291"/>
      <c r="S240" s="291"/>
      <c r="T240" s="291"/>
      <c r="U240" s="291"/>
      <c r="V240" s="291"/>
      <c r="W240" s="291"/>
      <c r="X240" s="291"/>
      <c r="Y240" s="291"/>
      <c r="Z240" s="291"/>
      <c r="AA240" s="440"/>
      <c r="AB240" s="460"/>
      <c r="AC240" s="440"/>
      <c r="AD240" s="444"/>
      <c r="AF240" s="365"/>
      <c r="AJ240" s="472"/>
    </row>
    <row r="241" spans="1:49" ht="12.75" customHeight="1" x14ac:dyDescent="0.25">
      <c r="A241" s="1136"/>
      <c r="B241" s="452" t="s">
        <v>1179</v>
      </c>
      <c r="C241" s="491">
        <v>0.5</v>
      </c>
      <c r="D241" s="451"/>
      <c r="E241" s="494" t="s">
        <v>13</v>
      </c>
      <c r="F241" s="376" t="s">
        <v>1441</v>
      </c>
      <c r="G241" s="302">
        <v>1.5</v>
      </c>
      <c r="H241" s="301">
        <v>1</v>
      </c>
      <c r="I241" s="303">
        <f t="shared" si="22"/>
        <v>1.5</v>
      </c>
      <c r="J241" s="290"/>
      <c r="K241" s="374"/>
      <c r="L241" s="305"/>
      <c r="M241" s="304"/>
      <c r="N241" s="292"/>
      <c r="O241" s="291"/>
      <c r="P241" s="291"/>
      <c r="Q241" s="291"/>
      <c r="R241" s="291"/>
      <c r="S241" s="291"/>
      <c r="T241" s="291"/>
      <c r="U241" s="291"/>
      <c r="V241" s="291"/>
      <c r="W241" s="291"/>
      <c r="X241" s="291"/>
      <c r="Y241" s="291"/>
      <c r="Z241" s="291"/>
      <c r="AA241" s="440"/>
      <c r="AB241" s="460"/>
      <c r="AC241" s="440"/>
      <c r="AD241" s="444"/>
      <c r="AF241" s="365"/>
      <c r="AJ241" s="472"/>
    </row>
    <row r="242" spans="1:49" ht="12.75" customHeight="1" x14ac:dyDescent="0.25">
      <c r="A242" s="1136"/>
      <c r="B242" s="474" t="s">
        <v>1181</v>
      </c>
      <c r="C242" s="487">
        <f>C237*C240+C238*C241</f>
        <v>33.008951609641429</v>
      </c>
      <c r="D242" s="451"/>
      <c r="E242" s="494"/>
      <c r="F242" s="376"/>
      <c r="G242" s="302"/>
      <c r="H242" s="301"/>
      <c r="I242" s="303"/>
      <c r="J242" s="290"/>
      <c r="K242" s="374"/>
      <c r="L242" s="292"/>
      <c r="M242" s="292"/>
      <c r="N242" s="292"/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/>
      <c r="AA242" s="440"/>
      <c r="AB242" s="460"/>
      <c r="AC242" s="440"/>
      <c r="AD242" s="444"/>
      <c r="AF242" s="365"/>
      <c r="AJ242" s="468"/>
    </row>
    <row r="243" spans="1:49" ht="12.75" customHeight="1" x14ac:dyDescent="0.25">
      <c r="A243" s="1136"/>
      <c r="B243" s="474"/>
      <c r="C243" s="493"/>
      <c r="D243" s="451"/>
      <c r="E243" s="494"/>
      <c r="F243" s="376"/>
      <c r="G243" s="302"/>
      <c r="H243" s="301"/>
      <c r="I243" s="303"/>
      <c r="J243" s="290"/>
      <c r="K243" s="374"/>
      <c r="L243" s="292"/>
      <c r="M243" s="292"/>
      <c r="N243" s="292"/>
      <c r="O243" s="291"/>
      <c r="P243" s="291"/>
      <c r="Q243" s="291"/>
      <c r="R243" s="291"/>
      <c r="S243" s="291"/>
      <c r="T243" s="291"/>
      <c r="U243" s="291"/>
      <c r="V243" s="291"/>
      <c r="W243" s="291"/>
      <c r="X243" s="291"/>
      <c r="Y243" s="291"/>
      <c r="Z243" s="291"/>
      <c r="AA243" s="440"/>
      <c r="AB243" s="460"/>
      <c r="AC243" s="440"/>
      <c r="AD243" s="444"/>
      <c r="AF243" s="365"/>
      <c r="AJ243" s="472"/>
    </row>
    <row r="244" spans="1:49" ht="56.25" customHeight="1" x14ac:dyDescent="0.25">
      <c r="A244" s="1136" t="s">
        <v>17</v>
      </c>
      <c r="B244" s="439" t="s">
        <v>546</v>
      </c>
      <c r="C244" s="487"/>
      <c r="D244" s="440"/>
      <c r="E244" s="488" t="s">
        <v>488</v>
      </c>
      <c r="F244" s="442" t="s">
        <v>837</v>
      </c>
      <c r="G244" s="439" t="s">
        <v>489</v>
      </c>
      <c r="H244" s="441" t="s">
        <v>1170</v>
      </c>
      <c r="I244" s="442" t="s">
        <v>838</v>
      </c>
      <c r="J244" s="280" t="s">
        <v>1171</v>
      </c>
      <c r="K244" s="280" t="s">
        <v>490</v>
      </c>
      <c r="L244" s="281" t="s">
        <v>489</v>
      </c>
      <c r="M244" s="280" t="s">
        <v>1172</v>
      </c>
      <c r="N244" s="442" t="s">
        <v>838</v>
      </c>
      <c r="O244" s="280" t="s">
        <v>1171</v>
      </c>
      <c r="P244" s="280" t="s">
        <v>826</v>
      </c>
      <c r="Q244" s="280" t="s">
        <v>1173</v>
      </c>
      <c r="R244" s="280" t="s">
        <v>1174</v>
      </c>
      <c r="S244" s="280" t="s">
        <v>839</v>
      </c>
      <c r="T244" s="280" t="s">
        <v>1171</v>
      </c>
      <c r="U244" s="280" t="s">
        <v>1392</v>
      </c>
      <c r="V244" s="280" t="s">
        <v>841</v>
      </c>
      <c r="W244" s="282" t="s">
        <v>1173</v>
      </c>
      <c r="X244" s="280" t="s">
        <v>1394</v>
      </c>
      <c r="Y244" s="280" t="s">
        <v>839</v>
      </c>
      <c r="Z244" s="283"/>
      <c r="AA244" s="440"/>
      <c r="AB244" s="460"/>
      <c r="AC244" s="440"/>
      <c r="AD244" s="444"/>
      <c r="AQ244" s="449"/>
      <c r="AR244" s="449"/>
      <c r="AS244" s="449"/>
    </row>
    <row r="245" spans="1:49" ht="12" customHeight="1" x14ac:dyDescent="0.25">
      <c r="A245" s="1136"/>
      <c r="B245" s="450" t="s">
        <v>1175</v>
      </c>
      <c r="C245" s="439">
        <f>C252</f>
        <v>63.384574348364282</v>
      </c>
      <c r="D245" s="496">
        <f>C245*$D$7</f>
        <v>12.803684018369585</v>
      </c>
      <c r="E245" s="452" t="s">
        <v>1176</v>
      </c>
      <c r="F245" s="498"/>
      <c r="G245" s="454"/>
      <c r="H245" s="454"/>
      <c r="I245" s="455">
        <f>SUM(I246:I253)</f>
        <v>20.1492</v>
      </c>
      <c r="J245" s="290" t="s">
        <v>1176</v>
      </c>
      <c r="K245" s="357"/>
      <c r="L245" s="291"/>
      <c r="M245" s="291"/>
      <c r="N245" s="292">
        <f>SUM(N246:N253)</f>
        <v>4.4213899999999997</v>
      </c>
      <c r="O245" s="291" t="s">
        <v>1176</v>
      </c>
      <c r="P245" s="291"/>
      <c r="Q245" s="293"/>
      <c r="R245" s="294"/>
      <c r="S245" s="292">
        <f>SUM(S246:S253)</f>
        <v>9.9028000000000009</v>
      </c>
      <c r="T245" s="292"/>
      <c r="U245" s="292"/>
      <c r="V245" s="292"/>
      <c r="W245" s="292"/>
      <c r="X245" s="292"/>
      <c r="Y245" s="292">
        <f>SUM(Y246:Y253)</f>
        <v>9.1999999999999998E-3</v>
      </c>
      <c r="Z245" s="296">
        <f>(C245+D245+I245+N245+S245+Y245)*$Z$7</f>
        <v>143.89287499758473</v>
      </c>
      <c r="AA245" s="459">
        <f>C245+D245+I245+N245+S245+Y245+Z245</f>
        <v>254.56372336431861</v>
      </c>
      <c r="AB245" s="460">
        <v>0.3</v>
      </c>
      <c r="AC245" s="461">
        <f>AA245*(1+AB245)</f>
        <v>330.93284037361417</v>
      </c>
      <c r="AD245" s="448"/>
      <c r="AI245" s="449"/>
      <c r="AJ245" s="462"/>
      <c r="AK245" s="463"/>
      <c r="AM245" s="464"/>
      <c r="AN245" s="143"/>
      <c r="AO245" s="464"/>
      <c r="AP245" s="449"/>
      <c r="AQ245" s="449"/>
      <c r="AR245" s="449"/>
      <c r="AS245" s="449"/>
      <c r="AT245" s="449"/>
      <c r="AU245" s="464"/>
      <c r="AV245" s="464"/>
      <c r="AW245" s="465"/>
    </row>
    <row r="246" spans="1:49" ht="24.75" customHeight="1" x14ac:dyDescent="0.25">
      <c r="A246" s="1136"/>
      <c r="B246" s="466" t="s">
        <v>830</v>
      </c>
      <c r="C246" s="487"/>
      <c r="D246" s="451"/>
      <c r="E246" s="300" t="s">
        <v>1437</v>
      </c>
      <c r="F246" s="301" t="s">
        <v>1438</v>
      </c>
      <c r="G246" s="302">
        <v>0.74</v>
      </c>
      <c r="H246" s="301">
        <v>0.1</v>
      </c>
      <c r="I246" s="303">
        <f t="shared" ref="I246:I252" si="23">G246*H246</f>
        <v>7.3999999999999996E-2</v>
      </c>
      <c r="J246" s="290" t="s">
        <v>1291</v>
      </c>
      <c r="K246" s="304">
        <v>2</v>
      </c>
      <c r="L246" s="305">
        <v>750</v>
      </c>
      <c r="M246" s="304">
        <v>2</v>
      </c>
      <c r="N246" s="292">
        <v>1.1745000000000001</v>
      </c>
      <c r="O246" s="467" t="s">
        <v>1578</v>
      </c>
      <c r="P246" s="291">
        <v>188900</v>
      </c>
      <c r="Q246" s="372">
        <v>0.19670000000000001</v>
      </c>
      <c r="R246" s="291">
        <f>P246*Q246</f>
        <v>37156.630000000005</v>
      </c>
      <c r="S246" s="291">
        <v>8.1902000000000008</v>
      </c>
      <c r="T246" s="458" t="s">
        <v>1435</v>
      </c>
      <c r="U246" s="456">
        <v>6785401.3499999996</v>
      </c>
      <c r="V246" s="457">
        <v>1.32E-2</v>
      </c>
      <c r="W246" s="458">
        <v>1508.3</v>
      </c>
      <c r="X246" s="292">
        <v>59.38</v>
      </c>
      <c r="Y246" s="291">
        <v>9.1999999999999998E-3</v>
      </c>
      <c r="Z246" s="291"/>
      <c r="AA246" s="440"/>
      <c r="AB246" s="460"/>
      <c r="AC246" s="440"/>
      <c r="AD246" s="444"/>
      <c r="AF246" s="365"/>
      <c r="AJ246" s="468"/>
      <c r="AT246" s="449"/>
    </row>
    <row r="247" spans="1:49" x14ac:dyDescent="0.25">
      <c r="A247" s="1136"/>
      <c r="B247" s="469" t="s">
        <v>1178</v>
      </c>
      <c r="C247" s="491">
        <f>C237</f>
        <v>43.888814515309463</v>
      </c>
      <c r="D247" s="451"/>
      <c r="E247" s="300" t="s">
        <v>1439</v>
      </c>
      <c r="F247" s="301" t="s">
        <v>1438</v>
      </c>
      <c r="G247" s="302">
        <v>0.27</v>
      </c>
      <c r="H247" s="301">
        <v>0.01</v>
      </c>
      <c r="I247" s="303">
        <f t="shared" si="23"/>
        <v>2.7000000000000001E-3</v>
      </c>
      <c r="J247" s="290" t="s">
        <v>1445</v>
      </c>
      <c r="K247" s="292">
        <v>2</v>
      </c>
      <c r="L247" s="311">
        <v>95</v>
      </c>
      <c r="M247" s="304">
        <v>2</v>
      </c>
      <c r="N247" s="292">
        <v>3.1146400000000001</v>
      </c>
      <c r="O247" s="291" t="s">
        <v>1580</v>
      </c>
      <c r="P247" s="291">
        <v>39500</v>
      </c>
      <c r="Q247" s="372">
        <v>0.19670000000000001</v>
      </c>
      <c r="R247" s="291">
        <f>P247*Q247</f>
        <v>7769.6500000000005</v>
      </c>
      <c r="S247" s="291">
        <v>1.7125999999999999</v>
      </c>
      <c r="T247" s="291"/>
      <c r="U247" s="291"/>
      <c r="V247" s="291"/>
      <c r="W247" s="372"/>
      <c r="X247" s="291"/>
      <c r="Y247" s="291"/>
      <c r="Z247" s="291"/>
      <c r="AA247" s="440"/>
      <c r="AB247" s="460"/>
      <c r="AC247" s="440"/>
      <c r="AD247" s="444"/>
      <c r="AF247" s="365"/>
      <c r="AJ247" s="468"/>
      <c r="AM247" s="465"/>
    </row>
    <row r="248" spans="1:49" ht="12.75" customHeight="1" x14ac:dyDescent="0.25">
      <c r="A248" s="1136"/>
      <c r="B248" s="452" t="s">
        <v>1179</v>
      </c>
      <c r="C248" s="487">
        <f>C238</f>
        <v>19.495759833054819</v>
      </c>
      <c r="D248" s="451"/>
      <c r="E248" s="300" t="s">
        <v>1440</v>
      </c>
      <c r="F248" s="301" t="s">
        <v>1441</v>
      </c>
      <c r="G248" s="302">
        <v>5.92</v>
      </c>
      <c r="H248" s="471">
        <v>1</v>
      </c>
      <c r="I248" s="303">
        <f t="shared" si="23"/>
        <v>5.92</v>
      </c>
      <c r="J248" s="290" t="s">
        <v>1513</v>
      </c>
      <c r="K248" s="292">
        <v>2</v>
      </c>
      <c r="L248" s="292">
        <v>25</v>
      </c>
      <c r="M248" s="304">
        <v>0.5</v>
      </c>
      <c r="N248" s="292">
        <v>0.13225000000000001</v>
      </c>
      <c r="O248" s="291"/>
      <c r="P248" s="291"/>
      <c r="Q248" s="372"/>
      <c r="R248" s="291"/>
      <c r="S248" s="291"/>
      <c r="T248" s="291"/>
      <c r="U248" s="291"/>
      <c r="V248" s="291"/>
      <c r="W248" s="372"/>
      <c r="X248" s="291"/>
      <c r="Y248" s="291"/>
      <c r="Z248" s="291"/>
      <c r="AA248" s="440"/>
      <c r="AB248" s="460"/>
      <c r="AC248" s="440"/>
      <c r="AD248" s="444"/>
      <c r="AF248" s="365"/>
      <c r="AJ248" s="468"/>
    </row>
    <row r="249" spans="1:49" ht="12.75" customHeight="1" x14ac:dyDescent="0.25">
      <c r="A249" s="1136"/>
      <c r="B249" s="452" t="s">
        <v>831</v>
      </c>
      <c r="C249" s="492"/>
      <c r="D249" s="451"/>
      <c r="E249" s="300" t="s">
        <v>1442</v>
      </c>
      <c r="F249" s="301" t="s">
        <v>1443</v>
      </c>
      <c r="G249" s="302">
        <v>419.5</v>
      </c>
      <c r="H249" s="301">
        <v>0.01</v>
      </c>
      <c r="I249" s="303">
        <f t="shared" si="23"/>
        <v>4.1950000000000003</v>
      </c>
      <c r="J249" s="290"/>
      <c r="K249" s="374"/>
      <c r="L249" s="292"/>
      <c r="M249" s="292"/>
      <c r="N249" s="292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440"/>
      <c r="AB249" s="460"/>
      <c r="AC249" s="440"/>
      <c r="AD249" s="444"/>
      <c r="AF249" s="365"/>
      <c r="AJ249" s="468"/>
    </row>
    <row r="250" spans="1:49" ht="12.75" customHeight="1" x14ac:dyDescent="0.25">
      <c r="A250" s="1136"/>
      <c r="B250" s="469" t="s">
        <v>1178</v>
      </c>
      <c r="C250" s="493">
        <v>1</v>
      </c>
      <c r="D250" s="451"/>
      <c r="E250" s="300" t="s">
        <v>1444</v>
      </c>
      <c r="F250" s="301" t="s">
        <v>1443</v>
      </c>
      <c r="G250" s="302">
        <v>872</v>
      </c>
      <c r="H250" s="301">
        <v>5.0000000000000001E-3</v>
      </c>
      <c r="I250" s="303">
        <f t="shared" si="23"/>
        <v>4.3600000000000003</v>
      </c>
      <c r="J250" s="290"/>
      <c r="K250" s="374"/>
      <c r="L250" s="292"/>
      <c r="M250" s="292"/>
      <c r="N250" s="292"/>
      <c r="O250" s="291"/>
      <c r="P250" s="291"/>
      <c r="Q250" s="291"/>
      <c r="R250" s="291"/>
      <c r="S250" s="291"/>
      <c r="T250" s="291"/>
      <c r="U250" s="291"/>
      <c r="V250" s="291"/>
      <c r="W250" s="291"/>
      <c r="X250" s="291"/>
      <c r="Y250" s="291"/>
      <c r="Z250" s="291"/>
      <c r="AA250" s="440"/>
      <c r="AB250" s="460"/>
      <c r="AC250" s="440"/>
      <c r="AD250" s="444"/>
      <c r="AF250" s="365"/>
      <c r="AJ250" s="472"/>
    </row>
    <row r="251" spans="1:49" ht="12.75" customHeight="1" x14ac:dyDescent="0.25">
      <c r="A251" s="1136"/>
      <c r="B251" s="452" t="s">
        <v>1179</v>
      </c>
      <c r="C251" s="491">
        <v>1</v>
      </c>
      <c r="D251" s="451"/>
      <c r="E251" s="494" t="s">
        <v>581</v>
      </c>
      <c r="F251" s="376" t="s">
        <v>1438</v>
      </c>
      <c r="G251" s="302">
        <v>16.39</v>
      </c>
      <c r="H251" s="301">
        <v>0.25</v>
      </c>
      <c r="I251" s="303">
        <f t="shared" si="23"/>
        <v>4.0975000000000001</v>
      </c>
      <c r="J251" s="290"/>
      <c r="K251" s="374"/>
      <c r="L251" s="305"/>
      <c r="M251" s="304"/>
      <c r="N251" s="292"/>
      <c r="O251" s="291"/>
      <c r="P251" s="291"/>
      <c r="Q251" s="291"/>
      <c r="R251" s="291"/>
      <c r="S251" s="291"/>
      <c r="T251" s="291"/>
      <c r="U251" s="291"/>
      <c r="V251" s="291"/>
      <c r="W251" s="291"/>
      <c r="X251" s="291"/>
      <c r="Y251" s="291"/>
      <c r="Z251" s="291"/>
      <c r="AA251" s="440"/>
      <c r="AB251" s="460"/>
      <c r="AC251" s="440"/>
      <c r="AD251" s="444"/>
      <c r="AF251" s="365"/>
      <c r="AJ251" s="472"/>
    </row>
    <row r="252" spans="1:49" ht="12.75" customHeight="1" x14ac:dyDescent="0.25">
      <c r="A252" s="1136"/>
      <c r="B252" s="474" t="s">
        <v>1181</v>
      </c>
      <c r="C252" s="487">
        <f>C247*C250+C248*C251</f>
        <v>63.384574348364282</v>
      </c>
      <c r="D252" s="451"/>
      <c r="E252" s="494" t="s">
        <v>13</v>
      </c>
      <c r="F252" s="376" t="s">
        <v>1441</v>
      </c>
      <c r="G252" s="302">
        <v>1.5</v>
      </c>
      <c r="H252" s="301">
        <v>1</v>
      </c>
      <c r="I252" s="303">
        <f t="shared" si="23"/>
        <v>1.5</v>
      </c>
      <c r="J252" s="290"/>
      <c r="K252" s="374"/>
      <c r="L252" s="292"/>
      <c r="M252" s="292"/>
      <c r="N252" s="292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440"/>
      <c r="AB252" s="460"/>
      <c r="AC252" s="440"/>
      <c r="AD252" s="444"/>
      <c r="AF252" s="365"/>
      <c r="AJ252" s="468"/>
    </row>
    <row r="253" spans="1:49" ht="12.75" customHeight="1" x14ac:dyDescent="0.25">
      <c r="A253" s="1136"/>
      <c r="B253" s="474"/>
      <c r="C253" s="493"/>
      <c r="D253" s="451"/>
      <c r="E253" s="494"/>
      <c r="F253" s="376"/>
      <c r="G253" s="302"/>
      <c r="H253" s="301"/>
      <c r="I253" s="303"/>
      <c r="J253" s="290"/>
      <c r="K253" s="374"/>
      <c r="L253" s="292"/>
      <c r="M253" s="292"/>
      <c r="N253" s="292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440"/>
      <c r="AB253" s="460"/>
      <c r="AC253" s="440"/>
      <c r="AD253" s="444"/>
      <c r="AF253" s="365"/>
      <c r="AJ253" s="472"/>
    </row>
    <row r="254" spans="1:49" ht="56.25" customHeight="1" x14ac:dyDescent="0.25">
      <c r="A254" s="1136" t="s">
        <v>548</v>
      </c>
      <c r="B254" s="439" t="s">
        <v>547</v>
      </c>
      <c r="C254" s="487"/>
      <c r="D254" s="440"/>
      <c r="E254" s="488" t="s">
        <v>488</v>
      </c>
      <c r="F254" s="442" t="s">
        <v>837</v>
      </c>
      <c r="G254" s="439" t="s">
        <v>489</v>
      </c>
      <c r="H254" s="441" t="s">
        <v>1170</v>
      </c>
      <c r="I254" s="442" t="s">
        <v>838</v>
      </c>
      <c r="J254" s="280" t="s">
        <v>1171</v>
      </c>
      <c r="K254" s="280" t="s">
        <v>490</v>
      </c>
      <c r="L254" s="281" t="s">
        <v>489</v>
      </c>
      <c r="M254" s="280" t="s">
        <v>1172</v>
      </c>
      <c r="N254" s="442" t="s">
        <v>838</v>
      </c>
      <c r="O254" s="280" t="s">
        <v>1171</v>
      </c>
      <c r="P254" s="280" t="s">
        <v>826</v>
      </c>
      <c r="Q254" s="280" t="s">
        <v>1173</v>
      </c>
      <c r="R254" s="280" t="s">
        <v>1174</v>
      </c>
      <c r="S254" s="280" t="s">
        <v>839</v>
      </c>
      <c r="T254" s="280" t="s">
        <v>1171</v>
      </c>
      <c r="U254" s="280" t="s">
        <v>1392</v>
      </c>
      <c r="V254" s="280" t="s">
        <v>841</v>
      </c>
      <c r="W254" s="282" t="s">
        <v>1173</v>
      </c>
      <c r="X254" s="280" t="s">
        <v>1394</v>
      </c>
      <c r="Y254" s="280" t="s">
        <v>839</v>
      </c>
      <c r="Z254" s="283"/>
      <c r="AA254" s="440"/>
      <c r="AB254" s="460"/>
      <c r="AC254" s="440"/>
      <c r="AD254" s="444"/>
      <c r="AQ254" s="449"/>
      <c r="AR254" s="449"/>
      <c r="AS254" s="449"/>
    </row>
    <row r="255" spans="1:49" ht="12" customHeight="1" x14ac:dyDescent="0.25">
      <c r="A255" s="1136"/>
      <c r="B255" s="450" t="s">
        <v>1175</v>
      </c>
      <c r="C255" s="439">
        <f>C262</f>
        <v>109.22296484697922</v>
      </c>
      <c r="D255" s="496">
        <f>C255*$D$7</f>
        <v>22.063038899089804</v>
      </c>
      <c r="E255" s="452" t="s">
        <v>1176</v>
      </c>
      <c r="F255" s="498"/>
      <c r="G255" s="454"/>
      <c r="H255" s="454"/>
      <c r="I255" s="455">
        <f>SUM(I256:I263)</f>
        <v>76.524699999999996</v>
      </c>
      <c r="J255" s="290" t="s">
        <v>1176</v>
      </c>
      <c r="K255" s="357"/>
      <c r="L255" s="291"/>
      <c r="M255" s="291"/>
      <c r="N255" s="292">
        <f>SUM(N256:N263)</f>
        <v>4.4213899999999997</v>
      </c>
      <c r="O255" s="291" t="s">
        <v>1176</v>
      </c>
      <c r="P255" s="291"/>
      <c r="Q255" s="293"/>
      <c r="R255" s="294"/>
      <c r="S255" s="292">
        <f>SUM(S256:S263)</f>
        <v>9.9028000000000009</v>
      </c>
      <c r="T255" s="292"/>
      <c r="U255" s="292"/>
      <c r="V255" s="292"/>
      <c r="W255" s="292"/>
      <c r="X255" s="292"/>
      <c r="Y255" s="292">
        <f>SUM(Y256:Y263)</f>
        <v>9.1999999999999998E-3</v>
      </c>
      <c r="Z255" s="296">
        <f>(C255+D255+I255+N255+S255+Y255)*$Z$7</f>
        <v>288.82901671568891</v>
      </c>
      <c r="AA255" s="459">
        <f>C255+D255+I255+N255+S255+Y255+Z255</f>
        <v>510.97311046175793</v>
      </c>
      <c r="AB255" s="460">
        <v>0.3</v>
      </c>
      <c r="AC255" s="461">
        <f>AA255*(1+AB255)</f>
        <v>664.26504360028537</v>
      </c>
      <c r="AD255" s="448"/>
      <c r="AI255" s="449"/>
      <c r="AJ255" s="462"/>
      <c r="AK255" s="463"/>
      <c r="AM255" s="464"/>
      <c r="AN255" s="143"/>
      <c r="AO255" s="464"/>
      <c r="AP255" s="449"/>
      <c r="AQ255" s="449"/>
      <c r="AR255" s="449"/>
      <c r="AS255" s="449"/>
      <c r="AT255" s="449"/>
      <c r="AU255" s="464"/>
      <c r="AV255" s="464"/>
      <c r="AW255" s="465"/>
    </row>
    <row r="256" spans="1:49" ht="24.75" customHeight="1" x14ac:dyDescent="0.25">
      <c r="A256" s="1136"/>
      <c r="B256" s="466" t="s">
        <v>830</v>
      </c>
      <c r="C256" s="487"/>
      <c r="D256" s="451"/>
      <c r="E256" s="300" t="s">
        <v>1437</v>
      </c>
      <c r="F256" s="301" t="s">
        <v>1438</v>
      </c>
      <c r="G256" s="302">
        <v>0.74</v>
      </c>
      <c r="H256" s="301">
        <v>0.1</v>
      </c>
      <c r="I256" s="303">
        <f t="shared" ref="I256:I263" si="24">G256*H256</f>
        <v>7.3999999999999996E-2</v>
      </c>
      <c r="J256" s="290" t="s">
        <v>1291</v>
      </c>
      <c r="K256" s="304">
        <v>2</v>
      </c>
      <c r="L256" s="305">
        <v>750</v>
      </c>
      <c r="M256" s="304">
        <v>2</v>
      </c>
      <c r="N256" s="292">
        <v>1.1745000000000001</v>
      </c>
      <c r="O256" s="467" t="s">
        <v>1578</v>
      </c>
      <c r="P256" s="291">
        <v>188900</v>
      </c>
      <c r="Q256" s="372">
        <v>0.19670000000000001</v>
      </c>
      <c r="R256" s="291">
        <f>P256*Q256</f>
        <v>37156.630000000005</v>
      </c>
      <c r="S256" s="291">
        <v>8.1902000000000008</v>
      </c>
      <c r="T256" s="458" t="s">
        <v>1435</v>
      </c>
      <c r="U256" s="456">
        <v>6785401.3499999996</v>
      </c>
      <c r="V256" s="457">
        <v>1.32E-2</v>
      </c>
      <c r="W256" s="458">
        <v>1508.3</v>
      </c>
      <c r="X256" s="292">
        <v>59.38</v>
      </c>
      <c r="Y256" s="291">
        <v>9.1999999999999998E-3</v>
      </c>
      <c r="Z256" s="291"/>
      <c r="AA256" s="440"/>
      <c r="AB256" s="460"/>
      <c r="AC256" s="440"/>
      <c r="AD256" s="444"/>
      <c r="AF256" s="365"/>
      <c r="AJ256" s="468"/>
      <c r="AT256" s="449"/>
    </row>
    <row r="257" spans="1:49" x14ac:dyDescent="0.25">
      <c r="A257" s="1136"/>
      <c r="B257" s="469" t="s">
        <v>1178</v>
      </c>
      <c r="C257" s="491">
        <f>C247</f>
        <v>43.888814515309463</v>
      </c>
      <c r="D257" s="451"/>
      <c r="E257" s="300" t="s">
        <v>1439</v>
      </c>
      <c r="F257" s="301" t="s">
        <v>1438</v>
      </c>
      <c r="G257" s="302">
        <v>0.27</v>
      </c>
      <c r="H257" s="301">
        <v>0.01</v>
      </c>
      <c r="I257" s="303">
        <f t="shared" si="24"/>
        <v>2.7000000000000001E-3</v>
      </c>
      <c r="J257" s="290" t="s">
        <v>1445</v>
      </c>
      <c r="K257" s="292">
        <v>2</v>
      </c>
      <c r="L257" s="311">
        <v>95</v>
      </c>
      <c r="M257" s="304">
        <v>2</v>
      </c>
      <c r="N257" s="292">
        <v>3.1146400000000001</v>
      </c>
      <c r="O257" s="291" t="s">
        <v>1580</v>
      </c>
      <c r="P257" s="291">
        <v>39500</v>
      </c>
      <c r="Q257" s="372">
        <v>0.19670000000000001</v>
      </c>
      <c r="R257" s="291">
        <f>P257*Q257</f>
        <v>7769.6500000000005</v>
      </c>
      <c r="S257" s="291">
        <v>1.7125999999999999</v>
      </c>
      <c r="T257" s="291"/>
      <c r="U257" s="291"/>
      <c r="V257" s="291"/>
      <c r="W257" s="372"/>
      <c r="X257" s="291"/>
      <c r="Y257" s="291"/>
      <c r="Z257" s="291"/>
      <c r="AA257" s="440"/>
      <c r="AB257" s="460"/>
      <c r="AC257" s="440"/>
      <c r="AD257" s="444"/>
      <c r="AF257" s="365"/>
      <c r="AJ257" s="468"/>
      <c r="AM257" s="465"/>
    </row>
    <row r="258" spans="1:49" ht="12.75" customHeight="1" x14ac:dyDescent="0.25">
      <c r="A258" s="1136"/>
      <c r="B258" s="452" t="s">
        <v>1179</v>
      </c>
      <c r="C258" s="487">
        <f>C248</f>
        <v>19.495759833054819</v>
      </c>
      <c r="D258" s="451"/>
      <c r="E258" s="300" t="s">
        <v>1440</v>
      </c>
      <c r="F258" s="301" t="s">
        <v>1441</v>
      </c>
      <c r="G258" s="302">
        <v>5.92</v>
      </c>
      <c r="H258" s="471">
        <v>1</v>
      </c>
      <c r="I258" s="303">
        <f t="shared" si="24"/>
        <v>5.92</v>
      </c>
      <c r="J258" s="290" t="s">
        <v>1513</v>
      </c>
      <c r="K258" s="292">
        <v>2</v>
      </c>
      <c r="L258" s="292">
        <v>25</v>
      </c>
      <c r="M258" s="304">
        <v>0.5</v>
      </c>
      <c r="N258" s="292">
        <v>0.13225000000000001</v>
      </c>
      <c r="O258" s="291"/>
      <c r="P258" s="291"/>
      <c r="Q258" s="372"/>
      <c r="R258" s="291"/>
      <c r="S258" s="291"/>
      <c r="T258" s="291"/>
      <c r="U258" s="291"/>
      <c r="V258" s="291"/>
      <c r="W258" s="372"/>
      <c r="X258" s="291"/>
      <c r="Y258" s="291"/>
      <c r="Z258" s="291"/>
      <c r="AA258" s="440"/>
      <c r="AB258" s="460"/>
      <c r="AC258" s="440"/>
      <c r="AD258" s="444"/>
      <c r="AF258" s="365"/>
      <c r="AJ258" s="468"/>
    </row>
    <row r="259" spans="1:49" ht="12.75" customHeight="1" x14ac:dyDescent="0.25">
      <c r="A259" s="1136"/>
      <c r="B259" s="452" t="s">
        <v>831</v>
      </c>
      <c r="C259" s="492"/>
      <c r="D259" s="451"/>
      <c r="E259" s="300" t="s">
        <v>1442</v>
      </c>
      <c r="F259" s="301" t="s">
        <v>1443</v>
      </c>
      <c r="G259" s="302">
        <v>419.5</v>
      </c>
      <c r="H259" s="301">
        <v>0.01</v>
      </c>
      <c r="I259" s="303">
        <f t="shared" si="24"/>
        <v>4.1950000000000003</v>
      </c>
      <c r="J259" s="290"/>
      <c r="K259" s="374"/>
      <c r="L259" s="292"/>
      <c r="M259" s="292"/>
      <c r="N259" s="292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440"/>
      <c r="AB259" s="460"/>
      <c r="AC259" s="440"/>
      <c r="AD259" s="444"/>
      <c r="AF259" s="365"/>
      <c r="AJ259" s="468"/>
    </row>
    <row r="260" spans="1:49" ht="12.75" customHeight="1" x14ac:dyDescent="0.25">
      <c r="A260" s="1136"/>
      <c r="B260" s="469" t="s">
        <v>1178</v>
      </c>
      <c r="C260" s="642">
        <v>2</v>
      </c>
      <c r="D260" s="451"/>
      <c r="E260" s="300" t="s">
        <v>1444</v>
      </c>
      <c r="F260" s="301" t="s">
        <v>1443</v>
      </c>
      <c r="G260" s="302">
        <v>872</v>
      </c>
      <c r="H260" s="301">
        <v>6.4999999999999997E-3</v>
      </c>
      <c r="I260" s="303">
        <f t="shared" si="24"/>
        <v>5.6680000000000001</v>
      </c>
      <c r="J260" s="290"/>
      <c r="K260" s="374"/>
      <c r="L260" s="292"/>
      <c r="M260" s="292"/>
      <c r="N260" s="292"/>
      <c r="O260" s="291"/>
      <c r="P260" s="291"/>
      <c r="Q260" s="291"/>
      <c r="R260" s="291"/>
      <c r="S260" s="291"/>
      <c r="T260" s="291"/>
      <c r="U260" s="291"/>
      <c r="V260" s="291"/>
      <c r="W260" s="291"/>
      <c r="X260" s="291"/>
      <c r="Y260" s="291"/>
      <c r="Z260" s="291"/>
      <c r="AA260" s="440"/>
      <c r="AB260" s="460"/>
      <c r="AC260" s="440"/>
      <c r="AD260" s="444"/>
      <c r="AF260" s="365"/>
      <c r="AJ260" s="472"/>
    </row>
    <row r="261" spans="1:49" ht="12.75" customHeight="1" x14ac:dyDescent="0.25">
      <c r="A261" s="1136"/>
      <c r="B261" s="452" t="s">
        <v>1179</v>
      </c>
      <c r="C261" s="642">
        <v>1.1000000000000001</v>
      </c>
      <c r="D261" s="451"/>
      <c r="E261" s="494" t="s">
        <v>549</v>
      </c>
      <c r="F261" s="376" t="s">
        <v>1438</v>
      </c>
      <c r="G261" s="302">
        <v>234.78</v>
      </c>
      <c r="H261" s="301">
        <v>0.25</v>
      </c>
      <c r="I261" s="303">
        <f t="shared" si="24"/>
        <v>58.695</v>
      </c>
      <c r="J261" s="290"/>
      <c r="K261" s="374"/>
      <c r="L261" s="305"/>
      <c r="M261" s="304"/>
      <c r="N261" s="292"/>
      <c r="O261" s="291"/>
      <c r="P261" s="291"/>
      <c r="Q261" s="291"/>
      <c r="R261" s="291"/>
      <c r="S261" s="291"/>
      <c r="T261" s="291"/>
      <c r="U261" s="291"/>
      <c r="V261" s="291"/>
      <c r="W261" s="291"/>
      <c r="X261" s="291"/>
      <c r="Y261" s="291"/>
      <c r="Z261" s="291"/>
      <c r="AA261" s="440"/>
      <c r="AB261" s="460"/>
      <c r="AC261" s="440"/>
      <c r="AD261" s="444"/>
      <c r="AF261" s="365"/>
      <c r="AJ261" s="472"/>
    </row>
    <row r="262" spans="1:49" ht="12.75" customHeight="1" x14ac:dyDescent="0.25">
      <c r="A262" s="1136"/>
      <c r="B262" s="474" t="s">
        <v>1181</v>
      </c>
      <c r="C262" s="487">
        <f>C257*C260+C258*C261</f>
        <v>109.22296484697922</v>
      </c>
      <c r="D262" s="451"/>
      <c r="E262" s="494" t="s">
        <v>13</v>
      </c>
      <c r="F262" s="376" t="s">
        <v>1441</v>
      </c>
      <c r="G262" s="302">
        <v>1.5</v>
      </c>
      <c r="H262" s="301">
        <v>1</v>
      </c>
      <c r="I262" s="303">
        <f t="shared" si="24"/>
        <v>1.5</v>
      </c>
      <c r="J262" s="290"/>
      <c r="K262" s="374"/>
      <c r="L262" s="292"/>
      <c r="M262" s="292"/>
      <c r="N262" s="292"/>
      <c r="O262" s="291"/>
      <c r="P262" s="291"/>
      <c r="Q262" s="291"/>
      <c r="R262" s="291"/>
      <c r="S262" s="291"/>
      <c r="T262" s="291"/>
      <c r="U262" s="291"/>
      <c r="V262" s="291"/>
      <c r="W262" s="291"/>
      <c r="X262" s="291"/>
      <c r="Y262" s="291"/>
      <c r="Z262" s="291"/>
      <c r="AA262" s="440"/>
      <c r="AB262" s="460"/>
      <c r="AC262" s="440"/>
      <c r="AD262" s="444"/>
      <c r="AF262" s="365"/>
      <c r="AJ262" s="468"/>
    </row>
    <row r="263" spans="1:49" ht="12.75" customHeight="1" x14ac:dyDescent="0.25">
      <c r="A263" s="1136"/>
      <c r="B263" s="474"/>
      <c r="C263" s="493"/>
      <c r="D263" s="451"/>
      <c r="E263" s="494" t="s">
        <v>18</v>
      </c>
      <c r="F263" s="376" t="s">
        <v>1438</v>
      </c>
      <c r="G263" s="302">
        <v>0.94</v>
      </c>
      <c r="H263" s="301">
        <v>0.5</v>
      </c>
      <c r="I263" s="303">
        <f t="shared" si="24"/>
        <v>0.47</v>
      </c>
      <c r="J263" s="290"/>
      <c r="K263" s="374"/>
      <c r="L263" s="292"/>
      <c r="M263" s="292"/>
      <c r="N263" s="292"/>
      <c r="O263" s="291"/>
      <c r="P263" s="291"/>
      <c r="Q263" s="291"/>
      <c r="R263" s="291"/>
      <c r="S263" s="291"/>
      <c r="T263" s="291"/>
      <c r="U263" s="291"/>
      <c r="V263" s="291"/>
      <c r="W263" s="291"/>
      <c r="X263" s="291"/>
      <c r="Y263" s="291"/>
      <c r="Z263" s="291"/>
      <c r="AA263" s="440"/>
      <c r="AB263" s="460"/>
      <c r="AC263" s="440"/>
      <c r="AD263" s="444"/>
      <c r="AF263" s="365"/>
      <c r="AJ263" s="472"/>
    </row>
    <row r="264" spans="1:49" ht="56.25" customHeight="1" x14ac:dyDescent="0.25">
      <c r="A264" s="1136" t="s">
        <v>550</v>
      </c>
      <c r="B264" s="439" t="s">
        <v>551</v>
      </c>
      <c r="C264" s="487"/>
      <c r="D264" s="440"/>
      <c r="E264" s="488" t="s">
        <v>488</v>
      </c>
      <c r="F264" s="442" t="s">
        <v>837</v>
      </c>
      <c r="G264" s="439" t="s">
        <v>489</v>
      </c>
      <c r="H264" s="441" t="s">
        <v>1170</v>
      </c>
      <c r="I264" s="442" t="s">
        <v>838</v>
      </c>
      <c r="J264" s="280" t="s">
        <v>1171</v>
      </c>
      <c r="K264" s="280" t="s">
        <v>490</v>
      </c>
      <c r="L264" s="281" t="s">
        <v>489</v>
      </c>
      <c r="M264" s="280" t="s">
        <v>1172</v>
      </c>
      <c r="N264" s="442" t="s">
        <v>838</v>
      </c>
      <c r="O264" s="280" t="s">
        <v>1171</v>
      </c>
      <c r="P264" s="280" t="s">
        <v>826</v>
      </c>
      <c r="Q264" s="280" t="s">
        <v>1173</v>
      </c>
      <c r="R264" s="280" t="s">
        <v>1174</v>
      </c>
      <c r="S264" s="280" t="s">
        <v>839</v>
      </c>
      <c r="T264" s="280" t="s">
        <v>1171</v>
      </c>
      <c r="U264" s="280" t="s">
        <v>1392</v>
      </c>
      <c r="V264" s="280" t="s">
        <v>841</v>
      </c>
      <c r="W264" s="282" t="s">
        <v>1173</v>
      </c>
      <c r="X264" s="280" t="s">
        <v>1394</v>
      </c>
      <c r="Y264" s="280" t="s">
        <v>839</v>
      </c>
      <c r="Z264" s="283"/>
      <c r="AA264" s="440"/>
      <c r="AB264" s="460"/>
      <c r="AC264" s="440"/>
      <c r="AD264" s="444"/>
      <c r="AQ264" s="449"/>
      <c r="AR264" s="449"/>
      <c r="AS264" s="449"/>
    </row>
    <row r="265" spans="1:49" ht="12" customHeight="1" x14ac:dyDescent="0.25">
      <c r="A265" s="1136"/>
      <c r="B265" s="450" t="s">
        <v>1175</v>
      </c>
      <c r="C265" s="439">
        <f>C272</f>
        <v>15.846143587091071</v>
      </c>
      <c r="D265" s="496">
        <f>C265*$D$7</f>
        <v>3.2009210045923964</v>
      </c>
      <c r="E265" s="452" t="s">
        <v>1176</v>
      </c>
      <c r="F265" s="498"/>
      <c r="G265" s="454"/>
      <c r="H265" s="454"/>
      <c r="I265" s="455">
        <f>SUM(I266:I273)</f>
        <v>38.001100000000001</v>
      </c>
      <c r="J265" s="290" t="s">
        <v>1176</v>
      </c>
      <c r="K265" s="357"/>
      <c r="L265" s="291"/>
      <c r="M265" s="291"/>
      <c r="N265" s="292">
        <f>SUM(N266:N273)</f>
        <v>4.4213899999999997</v>
      </c>
      <c r="O265" s="291" t="s">
        <v>1176</v>
      </c>
      <c r="P265" s="291"/>
      <c r="Q265" s="293"/>
      <c r="R265" s="294"/>
      <c r="S265" s="292">
        <f>SUM(S266:S273)</f>
        <v>9.9028000000000009</v>
      </c>
      <c r="T265" s="292"/>
      <c r="U265" s="292"/>
      <c r="V265" s="292"/>
      <c r="W265" s="292"/>
      <c r="X265" s="292"/>
      <c r="Y265" s="292">
        <f>SUM(Y266:Y273)</f>
        <v>9.1999999999999998E-3</v>
      </c>
      <c r="Z265" s="296">
        <f>(C265+D265+I265+N265+S265+Y265)*$Z$7</f>
        <v>92.809418772665609</v>
      </c>
      <c r="AA265" s="459">
        <f>C265+D265+I265+N265+S265+Y265+Z265</f>
        <v>164.19097336434908</v>
      </c>
      <c r="AB265" s="460">
        <v>0.3</v>
      </c>
      <c r="AC265" s="461">
        <f>AA265*(1+AB265)</f>
        <v>213.44826537365381</v>
      </c>
      <c r="AD265" s="448"/>
      <c r="AI265" s="449"/>
      <c r="AJ265" s="462"/>
      <c r="AK265" s="463"/>
      <c r="AM265" s="464"/>
      <c r="AN265" s="143"/>
      <c r="AO265" s="464"/>
      <c r="AP265" s="449"/>
      <c r="AQ265" s="449"/>
      <c r="AR265" s="449"/>
      <c r="AS265" s="449"/>
      <c r="AT265" s="449"/>
      <c r="AU265" s="464"/>
      <c r="AV265" s="464"/>
      <c r="AW265" s="465"/>
    </row>
    <row r="266" spans="1:49" ht="24.75" customHeight="1" x14ac:dyDescent="0.25">
      <c r="A266" s="1136"/>
      <c r="B266" s="466" t="s">
        <v>830</v>
      </c>
      <c r="C266" s="487"/>
      <c r="D266" s="451"/>
      <c r="E266" s="300" t="s">
        <v>1437</v>
      </c>
      <c r="F266" s="301" t="s">
        <v>1438</v>
      </c>
      <c r="G266" s="302">
        <v>0.74</v>
      </c>
      <c r="H266" s="301">
        <v>0.01</v>
      </c>
      <c r="I266" s="303">
        <f t="shared" ref="I266:I272" si="25">G266*H266</f>
        <v>7.4000000000000003E-3</v>
      </c>
      <c r="J266" s="290" t="s">
        <v>1291</v>
      </c>
      <c r="K266" s="304">
        <v>2</v>
      </c>
      <c r="L266" s="305">
        <v>750</v>
      </c>
      <c r="M266" s="304">
        <v>2</v>
      </c>
      <c r="N266" s="292">
        <v>1.1745000000000001</v>
      </c>
      <c r="O266" s="467" t="s">
        <v>1578</v>
      </c>
      <c r="P266" s="291">
        <v>188900</v>
      </c>
      <c r="Q266" s="372">
        <v>0.19670000000000001</v>
      </c>
      <c r="R266" s="291">
        <f>P266*Q266</f>
        <v>37156.630000000005</v>
      </c>
      <c r="S266" s="291">
        <v>8.1902000000000008</v>
      </c>
      <c r="T266" s="458" t="s">
        <v>1435</v>
      </c>
      <c r="U266" s="456">
        <v>6785401.3499999996</v>
      </c>
      <c r="V266" s="457">
        <v>1.32E-2</v>
      </c>
      <c r="W266" s="458">
        <v>1508.3</v>
      </c>
      <c r="X266" s="292">
        <v>59.38</v>
      </c>
      <c r="Y266" s="291">
        <v>9.1999999999999998E-3</v>
      </c>
      <c r="Z266" s="291"/>
      <c r="AA266" s="440"/>
      <c r="AB266" s="460"/>
      <c r="AC266" s="440"/>
      <c r="AD266" s="444"/>
      <c r="AF266" s="365"/>
      <c r="AJ266" s="468"/>
      <c r="AT266" s="449"/>
    </row>
    <row r="267" spans="1:49" x14ac:dyDescent="0.25">
      <c r="A267" s="1136"/>
      <c r="B267" s="469" t="s">
        <v>1178</v>
      </c>
      <c r="C267" s="491">
        <f>C257</f>
        <v>43.888814515309463</v>
      </c>
      <c r="D267" s="451"/>
      <c r="E267" s="300" t="s">
        <v>1439</v>
      </c>
      <c r="F267" s="301" t="s">
        <v>1438</v>
      </c>
      <c r="G267" s="302">
        <v>0.27</v>
      </c>
      <c r="H267" s="301">
        <v>0.01</v>
      </c>
      <c r="I267" s="303">
        <f t="shared" si="25"/>
        <v>2.7000000000000001E-3</v>
      </c>
      <c r="J267" s="290" t="s">
        <v>1445</v>
      </c>
      <c r="K267" s="292">
        <v>2</v>
      </c>
      <c r="L267" s="311">
        <v>95</v>
      </c>
      <c r="M267" s="304">
        <v>2</v>
      </c>
      <c r="N267" s="292">
        <v>3.1146400000000001</v>
      </c>
      <c r="O267" s="291" t="s">
        <v>1580</v>
      </c>
      <c r="P267" s="291">
        <v>39500</v>
      </c>
      <c r="Q267" s="372">
        <v>0.19670000000000001</v>
      </c>
      <c r="R267" s="291">
        <f>P267*Q267</f>
        <v>7769.6500000000005</v>
      </c>
      <c r="S267" s="291">
        <v>1.7125999999999999</v>
      </c>
      <c r="T267" s="291"/>
      <c r="U267" s="291"/>
      <c r="V267" s="291"/>
      <c r="W267" s="372"/>
      <c r="X267" s="291"/>
      <c r="Y267" s="291"/>
      <c r="Z267" s="291"/>
      <c r="AA267" s="440"/>
      <c r="AB267" s="460"/>
      <c r="AC267" s="440"/>
      <c r="AD267" s="444"/>
      <c r="AF267" s="365"/>
      <c r="AJ267" s="468"/>
      <c r="AM267" s="465"/>
    </row>
    <row r="268" spans="1:49" ht="12.75" customHeight="1" x14ac:dyDescent="0.25">
      <c r="A268" s="1136"/>
      <c r="B268" s="452" t="s">
        <v>1179</v>
      </c>
      <c r="C268" s="487">
        <f>C258</f>
        <v>19.495759833054819</v>
      </c>
      <c r="D268" s="451"/>
      <c r="E268" s="300" t="s">
        <v>1440</v>
      </c>
      <c r="F268" s="301" t="s">
        <v>1441</v>
      </c>
      <c r="G268" s="302">
        <v>5.92</v>
      </c>
      <c r="H268" s="471">
        <v>1</v>
      </c>
      <c r="I268" s="303">
        <f t="shared" si="25"/>
        <v>5.92</v>
      </c>
      <c r="J268" s="290" t="s">
        <v>1513</v>
      </c>
      <c r="K268" s="292">
        <v>2</v>
      </c>
      <c r="L268" s="292">
        <v>25</v>
      </c>
      <c r="M268" s="304">
        <v>0.5</v>
      </c>
      <c r="N268" s="292">
        <v>0.13225000000000001</v>
      </c>
      <c r="O268" s="291"/>
      <c r="P268" s="291"/>
      <c r="Q268" s="372"/>
      <c r="R268" s="291"/>
      <c r="S268" s="291"/>
      <c r="T268" s="291"/>
      <c r="U268" s="291"/>
      <c r="V268" s="291"/>
      <c r="W268" s="372"/>
      <c r="X268" s="291"/>
      <c r="Y268" s="291"/>
      <c r="Z268" s="291"/>
      <c r="AA268" s="440"/>
      <c r="AB268" s="460"/>
      <c r="AC268" s="440"/>
      <c r="AD268" s="444"/>
      <c r="AF268" s="365"/>
      <c r="AJ268" s="468"/>
    </row>
    <row r="269" spans="1:49" ht="12.75" customHeight="1" x14ac:dyDescent="0.25">
      <c r="A269" s="1136"/>
      <c r="B269" s="452" t="s">
        <v>831</v>
      </c>
      <c r="C269" s="492"/>
      <c r="D269" s="451"/>
      <c r="E269" s="300" t="s">
        <v>1442</v>
      </c>
      <c r="F269" s="301" t="s">
        <v>1443</v>
      </c>
      <c r="G269" s="302">
        <v>419.5</v>
      </c>
      <c r="H269" s="301">
        <v>0.01</v>
      </c>
      <c r="I269" s="303">
        <f t="shared" si="25"/>
        <v>4.1950000000000003</v>
      </c>
      <c r="J269" s="290"/>
      <c r="K269" s="374"/>
      <c r="L269" s="292"/>
      <c r="M269" s="292"/>
      <c r="N269" s="292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440"/>
      <c r="AB269" s="460"/>
      <c r="AC269" s="440"/>
      <c r="AD269" s="444"/>
      <c r="AF269" s="365"/>
      <c r="AJ269" s="468"/>
    </row>
    <row r="270" spans="1:49" ht="12.75" customHeight="1" x14ac:dyDescent="0.25">
      <c r="A270" s="1136"/>
      <c r="B270" s="469" t="s">
        <v>1178</v>
      </c>
      <c r="C270" s="491">
        <v>0.25</v>
      </c>
      <c r="D270" s="451"/>
      <c r="E270" s="300" t="s">
        <v>1444</v>
      </c>
      <c r="F270" s="301" t="s">
        <v>1443</v>
      </c>
      <c r="G270" s="302">
        <v>872</v>
      </c>
      <c r="H270" s="301">
        <v>3.0000000000000001E-3</v>
      </c>
      <c r="I270" s="303">
        <f t="shared" si="25"/>
        <v>2.6160000000000001</v>
      </c>
      <c r="J270" s="290"/>
      <c r="K270" s="374"/>
      <c r="L270" s="292"/>
      <c r="M270" s="292"/>
      <c r="N270" s="292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440"/>
      <c r="AB270" s="460"/>
      <c r="AC270" s="440"/>
      <c r="AD270" s="444"/>
      <c r="AF270" s="365"/>
      <c r="AJ270" s="472"/>
    </row>
    <row r="271" spans="1:49" ht="12.75" customHeight="1" x14ac:dyDescent="0.25">
      <c r="A271" s="1136"/>
      <c r="B271" s="452" t="s">
        <v>1179</v>
      </c>
      <c r="C271" s="491">
        <v>0.25</v>
      </c>
      <c r="D271" s="451"/>
      <c r="E271" s="494" t="s">
        <v>13</v>
      </c>
      <c r="F271" s="376" t="s">
        <v>1441</v>
      </c>
      <c r="G271" s="302">
        <v>1.5</v>
      </c>
      <c r="H271" s="301">
        <v>1</v>
      </c>
      <c r="I271" s="303">
        <f t="shared" si="25"/>
        <v>1.5</v>
      </c>
      <c r="J271" s="290"/>
      <c r="K271" s="374"/>
      <c r="L271" s="305"/>
      <c r="M271" s="304"/>
      <c r="N271" s="292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440"/>
      <c r="AB271" s="460"/>
      <c r="AC271" s="440"/>
      <c r="AD271" s="444"/>
      <c r="AF271" s="365"/>
      <c r="AJ271" s="472"/>
    </row>
    <row r="272" spans="1:49" ht="12.75" customHeight="1" x14ac:dyDescent="0.25">
      <c r="A272" s="1136"/>
      <c r="B272" s="474" t="s">
        <v>1181</v>
      </c>
      <c r="C272" s="487">
        <f>C267*C270+C268*C271</f>
        <v>15.846143587091071</v>
      </c>
      <c r="D272" s="451"/>
      <c r="E272" s="494" t="s">
        <v>19</v>
      </c>
      <c r="F272" s="376" t="s">
        <v>20</v>
      </c>
      <c r="G272" s="302">
        <v>2376</v>
      </c>
      <c r="H272" s="302">
        <v>0.01</v>
      </c>
      <c r="I272" s="303">
        <f t="shared" si="25"/>
        <v>23.76</v>
      </c>
      <c r="J272" s="290"/>
      <c r="K272" s="374"/>
      <c r="L272" s="292"/>
      <c r="M272" s="292"/>
      <c r="N272" s="292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440"/>
      <c r="AB272" s="460"/>
      <c r="AC272" s="440"/>
      <c r="AD272" s="444"/>
      <c r="AF272" s="365"/>
      <c r="AJ272" s="468"/>
    </row>
    <row r="273" spans="1:49" ht="12.75" customHeight="1" x14ac:dyDescent="0.25">
      <c r="A273" s="1136"/>
      <c r="B273" s="474"/>
      <c r="C273" s="493"/>
      <c r="D273" s="451"/>
      <c r="E273" s="494"/>
      <c r="F273" s="376"/>
      <c r="G273" s="302"/>
      <c r="H273" s="301"/>
      <c r="I273" s="303"/>
      <c r="J273" s="290"/>
      <c r="K273" s="374"/>
      <c r="L273" s="292"/>
      <c r="M273" s="292"/>
      <c r="N273" s="292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440"/>
      <c r="AB273" s="460"/>
      <c r="AC273" s="440"/>
      <c r="AD273" s="444"/>
      <c r="AF273" s="365"/>
      <c r="AJ273" s="472"/>
    </row>
    <row r="274" spans="1:49" ht="56.25" customHeight="1" x14ac:dyDescent="0.25">
      <c r="A274" s="1136" t="s">
        <v>552</v>
      </c>
      <c r="B274" s="439" t="s">
        <v>1827</v>
      </c>
      <c r="C274" s="487"/>
      <c r="D274" s="440"/>
      <c r="E274" s="488" t="s">
        <v>488</v>
      </c>
      <c r="F274" s="442" t="s">
        <v>837</v>
      </c>
      <c r="G274" s="439" t="s">
        <v>489</v>
      </c>
      <c r="H274" s="441" t="s">
        <v>1170</v>
      </c>
      <c r="I274" s="442" t="s">
        <v>838</v>
      </c>
      <c r="J274" s="280" t="s">
        <v>1171</v>
      </c>
      <c r="K274" s="280" t="s">
        <v>490</v>
      </c>
      <c r="L274" s="281" t="s">
        <v>489</v>
      </c>
      <c r="M274" s="280" t="s">
        <v>1172</v>
      </c>
      <c r="N274" s="442" t="s">
        <v>838</v>
      </c>
      <c r="O274" s="280" t="s">
        <v>1171</v>
      </c>
      <c r="P274" s="280" t="s">
        <v>826</v>
      </c>
      <c r="Q274" s="280" t="s">
        <v>1173</v>
      </c>
      <c r="R274" s="280" t="s">
        <v>1174</v>
      </c>
      <c r="S274" s="280" t="s">
        <v>839</v>
      </c>
      <c r="T274" s="280" t="s">
        <v>1171</v>
      </c>
      <c r="U274" s="280" t="s">
        <v>1392</v>
      </c>
      <c r="V274" s="280" t="s">
        <v>841</v>
      </c>
      <c r="W274" s="282" t="s">
        <v>1173</v>
      </c>
      <c r="X274" s="280" t="s">
        <v>1394</v>
      </c>
      <c r="Y274" s="280" t="s">
        <v>839</v>
      </c>
      <c r="Z274" s="283"/>
      <c r="AA274" s="440"/>
      <c r="AB274" s="460"/>
      <c r="AC274" s="440"/>
      <c r="AD274" s="444"/>
      <c r="AQ274" s="449"/>
      <c r="AR274" s="449"/>
      <c r="AS274" s="449"/>
    </row>
    <row r="275" spans="1:49" ht="12" customHeight="1" x14ac:dyDescent="0.25">
      <c r="A275" s="1136"/>
      <c r="B275" s="450" t="s">
        <v>1175</v>
      </c>
      <c r="C275" s="439">
        <f>C282</f>
        <v>68.748243791547978</v>
      </c>
      <c r="D275" s="496">
        <f>C275*$D$7</f>
        <v>13.887145245892693</v>
      </c>
      <c r="E275" s="452" t="s">
        <v>1176</v>
      </c>
      <c r="F275" s="498"/>
      <c r="G275" s="454"/>
      <c r="H275" s="454"/>
      <c r="I275" s="455">
        <f>SUM(I276:I283)</f>
        <v>17.429500000000001</v>
      </c>
      <c r="J275" s="290" t="s">
        <v>1176</v>
      </c>
      <c r="K275" s="357"/>
      <c r="L275" s="291"/>
      <c r="M275" s="291"/>
      <c r="N275" s="292">
        <f>SUM(N276:N283)</f>
        <v>4.4213899999999997</v>
      </c>
      <c r="O275" s="291" t="s">
        <v>1176</v>
      </c>
      <c r="P275" s="291"/>
      <c r="Q275" s="293"/>
      <c r="R275" s="294"/>
      <c r="S275" s="292">
        <f>SUM(S276:S283)</f>
        <v>9.9028000000000009</v>
      </c>
      <c r="T275" s="292"/>
      <c r="U275" s="292"/>
      <c r="V275" s="292"/>
      <c r="W275" s="292"/>
      <c r="X275" s="292"/>
      <c r="Y275" s="292">
        <f>SUM(Y276:Y283)</f>
        <v>9.1999999999999998E-3</v>
      </c>
      <c r="Z275" s="296">
        <f>(C275+D275+I275+N275+S275+Y275)*$Z$7</f>
        <v>148.73923448138351</v>
      </c>
      <c r="AA275" s="459">
        <f>C275+D275+I275+N275+S275+Y275+Z275</f>
        <v>263.13751351882422</v>
      </c>
      <c r="AB275" s="460">
        <v>0.3</v>
      </c>
      <c r="AC275" s="461">
        <f>AA275*(1+AB275)</f>
        <v>342.0787675744715</v>
      </c>
      <c r="AD275" s="448"/>
      <c r="AI275" s="449"/>
      <c r="AJ275" s="462"/>
      <c r="AK275" s="463"/>
      <c r="AM275" s="464"/>
      <c r="AN275" s="143"/>
      <c r="AO275" s="464"/>
      <c r="AP275" s="449"/>
      <c r="AQ275" s="449"/>
      <c r="AR275" s="449"/>
      <c r="AS275" s="449"/>
      <c r="AT275" s="449"/>
      <c r="AU275" s="464"/>
      <c r="AV275" s="464"/>
      <c r="AW275" s="465"/>
    </row>
    <row r="276" spans="1:49" ht="24.75" customHeight="1" x14ac:dyDescent="0.25">
      <c r="A276" s="1136"/>
      <c r="B276" s="466" t="s">
        <v>830</v>
      </c>
      <c r="C276" s="487"/>
      <c r="D276" s="451"/>
      <c r="E276" s="300" t="s">
        <v>1437</v>
      </c>
      <c r="F276" s="301" t="s">
        <v>1438</v>
      </c>
      <c r="G276" s="302">
        <v>0.74</v>
      </c>
      <c r="H276" s="301">
        <v>1</v>
      </c>
      <c r="I276" s="303">
        <f t="shared" ref="I276:I282" si="26">G276*H276</f>
        <v>0.74</v>
      </c>
      <c r="J276" s="290" t="s">
        <v>1291</v>
      </c>
      <c r="K276" s="304">
        <v>2</v>
      </c>
      <c r="L276" s="305">
        <v>750</v>
      </c>
      <c r="M276" s="304">
        <v>2</v>
      </c>
      <c r="N276" s="292">
        <v>1.1745000000000001</v>
      </c>
      <c r="O276" s="467" t="s">
        <v>1578</v>
      </c>
      <c r="P276" s="291">
        <v>188900</v>
      </c>
      <c r="Q276" s="372">
        <v>0.19670000000000001</v>
      </c>
      <c r="R276" s="291">
        <f>P276*Q276</f>
        <v>37156.630000000005</v>
      </c>
      <c r="S276" s="291">
        <v>8.1902000000000008</v>
      </c>
      <c r="T276" s="458" t="s">
        <v>1435</v>
      </c>
      <c r="U276" s="456">
        <v>6785401.3499999996</v>
      </c>
      <c r="V276" s="457">
        <v>1.32E-2</v>
      </c>
      <c r="W276" s="458">
        <v>1508.3</v>
      </c>
      <c r="X276" s="292">
        <v>59.38</v>
      </c>
      <c r="Y276" s="291">
        <v>9.1999999999999998E-3</v>
      </c>
      <c r="Z276" s="291"/>
      <c r="AA276" s="440"/>
      <c r="AB276" s="460"/>
      <c r="AC276" s="440"/>
      <c r="AD276" s="444"/>
      <c r="AF276" s="365"/>
      <c r="AJ276" s="468"/>
      <c r="AT276" s="449"/>
    </row>
    <row r="277" spans="1:49" x14ac:dyDescent="0.25">
      <c r="A277" s="1136"/>
      <c r="B277" s="469" t="s">
        <v>1178</v>
      </c>
      <c r="C277" s="491">
        <f>C267</f>
        <v>43.888814515309463</v>
      </c>
      <c r="D277" s="451"/>
      <c r="E277" s="300" t="s">
        <v>1439</v>
      </c>
      <c r="F277" s="301" t="s">
        <v>1438</v>
      </c>
      <c r="G277" s="302">
        <v>0.27</v>
      </c>
      <c r="H277" s="301">
        <v>0.1</v>
      </c>
      <c r="I277" s="303">
        <f t="shared" si="26"/>
        <v>2.7000000000000003E-2</v>
      </c>
      <c r="J277" s="290" t="s">
        <v>1445</v>
      </c>
      <c r="K277" s="292">
        <v>2</v>
      </c>
      <c r="L277" s="311">
        <v>95</v>
      </c>
      <c r="M277" s="304">
        <v>2</v>
      </c>
      <c r="N277" s="292">
        <v>3.1146400000000001</v>
      </c>
      <c r="O277" s="291" t="s">
        <v>1580</v>
      </c>
      <c r="P277" s="291">
        <v>39500</v>
      </c>
      <c r="Q277" s="372">
        <v>0.19670000000000001</v>
      </c>
      <c r="R277" s="291">
        <f>P277*Q277</f>
        <v>7769.6500000000005</v>
      </c>
      <c r="S277" s="291">
        <v>1.7125999999999999</v>
      </c>
      <c r="T277" s="291"/>
      <c r="U277" s="291"/>
      <c r="V277" s="291"/>
      <c r="W277" s="372"/>
      <c r="X277" s="291"/>
      <c r="Y277" s="291"/>
      <c r="Z277" s="291"/>
      <c r="AA277" s="440"/>
      <c r="AB277" s="460"/>
      <c r="AC277" s="440"/>
      <c r="AD277" s="444"/>
      <c r="AF277" s="365"/>
      <c r="AJ277" s="468"/>
      <c r="AM277" s="465"/>
    </row>
    <row r="278" spans="1:49" ht="12.75" customHeight="1" x14ac:dyDescent="0.25">
      <c r="A278" s="1136"/>
      <c r="B278" s="452" t="s">
        <v>1179</v>
      </c>
      <c r="C278" s="487">
        <f>C268</f>
        <v>19.495759833054819</v>
      </c>
      <c r="D278" s="451"/>
      <c r="E278" s="300" t="s">
        <v>1440</v>
      </c>
      <c r="F278" s="301" t="s">
        <v>1441</v>
      </c>
      <c r="G278" s="302">
        <v>5.92</v>
      </c>
      <c r="H278" s="471">
        <v>1</v>
      </c>
      <c r="I278" s="303">
        <f t="shared" si="26"/>
        <v>5.92</v>
      </c>
      <c r="J278" s="290" t="s">
        <v>1513</v>
      </c>
      <c r="K278" s="292">
        <v>2</v>
      </c>
      <c r="L278" s="292">
        <v>25</v>
      </c>
      <c r="M278" s="304">
        <v>0.5</v>
      </c>
      <c r="N278" s="292">
        <v>0.13225000000000001</v>
      </c>
      <c r="O278" s="291"/>
      <c r="P278" s="291"/>
      <c r="Q278" s="372"/>
      <c r="R278" s="291"/>
      <c r="S278" s="291"/>
      <c r="T278" s="291"/>
      <c r="U278" s="291"/>
      <c r="V278" s="291"/>
      <c r="W278" s="372"/>
      <c r="X278" s="291"/>
      <c r="Y278" s="291"/>
      <c r="Z278" s="291"/>
      <c r="AA278" s="440"/>
      <c r="AB278" s="460"/>
      <c r="AC278" s="440"/>
      <c r="AD278" s="444"/>
      <c r="AF278" s="365"/>
      <c r="AJ278" s="468"/>
    </row>
    <row r="279" spans="1:49" ht="12.75" customHeight="1" x14ac:dyDescent="0.25">
      <c r="A279" s="1136"/>
      <c r="B279" s="452" t="s">
        <v>831</v>
      </c>
      <c r="C279" s="492"/>
      <c r="D279" s="451"/>
      <c r="E279" s="300" t="s">
        <v>1442</v>
      </c>
      <c r="F279" s="301" t="s">
        <v>1443</v>
      </c>
      <c r="G279" s="302">
        <v>419.5</v>
      </c>
      <c r="H279" s="301">
        <v>0.01</v>
      </c>
      <c r="I279" s="303">
        <f t="shared" si="26"/>
        <v>4.1950000000000003</v>
      </c>
      <c r="J279" s="290"/>
      <c r="K279" s="374"/>
      <c r="L279" s="292"/>
      <c r="M279" s="292"/>
      <c r="N279" s="292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440"/>
      <c r="AB279" s="460"/>
      <c r="AC279" s="440"/>
      <c r="AD279" s="444"/>
      <c r="AF279" s="365"/>
      <c r="AJ279" s="468"/>
    </row>
    <row r="280" spans="1:49" ht="12.75" customHeight="1" x14ac:dyDescent="0.25">
      <c r="A280" s="1136"/>
      <c r="B280" s="469" t="s">
        <v>1178</v>
      </c>
      <c r="C280" s="642">
        <v>1.1000000000000001</v>
      </c>
      <c r="D280" s="451"/>
      <c r="E280" s="300" t="s">
        <v>1444</v>
      </c>
      <c r="F280" s="301" t="s">
        <v>1443</v>
      </c>
      <c r="G280" s="302">
        <v>872</v>
      </c>
      <c r="H280" s="301">
        <v>5.0000000000000001E-3</v>
      </c>
      <c r="I280" s="303">
        <f t="shared" si="26"/>
        <v>4.3600000000000003</v>
      </c>
      <c r="J280" s="290"/>
      <c r="K280" s="374"/>
      <c r="L280" s="292"/>
      <c r="M280" s="292"/>
      <c r="N280" s="292"/>
      <c r="O280" s="291"/>
      <c r="P280" s="291"/>
      <c r="Q280" s="291"/>
      <c r="R280" s="291"/>
      <c r="S280" s="291"/>
      <c r="T280" s="291"/>
      <c r="U280" s="291"/>
      <c r="V280" s="291"/>
      <c r="W280" s="291"/>
      <c r="X280" s="291"/>
      <c r="Y280" s="291"/>
      <c r="Z280" s="291"/>
      <c r="AA280" s="440"/>
      <c r="AB280" s="460"/>
      <c r="AC280" s="440"/>
      <c r="AD280" s="444"/>
      <c r="AF280" s="365"/>
      <c r="AJ280" s="472"/>
    </row>
    <row r="281" spans="1:49" ht="12.75" customHeight="1" x14ac:dyDescent="0.25">
      <c r="A281" s="1136"/>
      <c r="B281" s="452" t="s">
        <v>1179</v>
      </c>
      <c r="C281" s="642">
        <v>1.05</v>
      </c>
      <c r="D281" s="451"/>
      <c r="E281" s="494" t="s">
        <v>21</v>
      </c>
      <c r="F281" s="376" t="s">
        <v>1438</v>
      </c>
      <c r="G281" s="302">
        <v>2.75</v>
      </c>
      <c r="H281" s="301">
        <v>0.25</v>
      </c>
      <c r="I281" s="303">
        <f t="shared" si="26"/>
        <v>0.6875</v>
      </c>
      <c r="J281" s="290"/>
      <c r="K281" s="374"/>
      <c r="L281" s="305"/>
      <c r="M281" s="304"/>
      <c r="N281" s="292"/>
      <c r="O281" s="291"/>
      <c r="P281" s="291"/>
      <c r="Q281" s="291"/>
      <c r="R281" s="291"/>
      <c r="S281" s="291"/>
      <c r="T281" s="291"/>
      <c r="U281" s="291"/>
      <c r="V281" s="291"/>
      <c r="W281" s="291"/>
      <c r="X281" s="291"/>
      <c r="Y281" s="291"/>
      <c r="Z281" s="291"/>
      <c r="AA281" s="440"/>
      <c r="AB281" s="460"/>
      <c r="AC281" s="440"/>
      <c r="AD281" s="444"/>
      <c r="AF281" s="365"/>
      <c r="AJ281" s="472"/>
    </row>
    <row r="282" spans="1:49" ht="12.75" customHeight="1" x14ac:dyDescent="0.25">
      <c r="A282" s="1136"/>
      <c r="B282" s="474" t="s">
        <v>1181</v>
      </c>
      <c r="C282" s="487">
        <f>C277*C280+C278*C281</f>
        <v>68.748243791547978</v>
      </c>
      <c r="D282" s="451"/>
      <c r="E282" s="494" t="s">
        <v>13</v>
      </c>
      <c r="F282" s="376" t="s">
        <v>1441</v>
      </c>
      <c r="G282" s="302">
        <v>1.5</v>
      </c>
      <c r="H282" s="301">
        <v>1</v>
      </c>
      <c r="I282" s="303">
        <f t="shared" si="26"/>
        <v>1.5</v>
      </c>
      <c r="J282" s="290"/>
      <c r="K282" s="374"/>
      <c r="L282" s="292"/>
      <c r="M282" s="292"/>
      <c r="N282" s="292"/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/>
      <c r="AA282" s="440"/>
      <c r="AB282" s="460"/>
      <c r="AC282" s="440"/>
      <c r="AD282" s="444"/>
      <c r="AF282" s="365"/>
      <c r="AJ282" s="468"/>
    </row>
    <row r="283" spans="1:49" ht="12.75" customHeight="1" x14ac:dyDescent="0.25">
      <c r="A283" s="1136"/>
      <c r="B283" s="474"/>
      <c r="C283" s="493"/>
      <c r="D283" s="451"/>
      <c r="E283" s="494"/>
      <c r="F283" s="376"/>
      <c r="G283" s="302"/>
      <c r="H283" s="301"/>
      <c r="I283" s="303"/>
      <c r="J283" s="290"/>
      <c r="K283" s="374"/>
      <c r="L283" s="292"/>
      <c r="M283" s="292"/>
      <c r="N283" s="292"/>
      <c r="O283" s="291"/>
      <c r="P283" s="291"/>
      <c r="Q283" s="291"/>
      <c r="R283" s="291"/>
      <c r="S283" s="291"/>
      <c r="T283" s="291"/>
      <c r="U283" s="291"/>
      <c r="V283" s="291"/>
      <c r="W283" s="291"/>
      <c r="X283" s="291"/>
      <c r="Y283" s="291"/>
      <c r="Z283" s="291"/>
      <c r="AA283" s="440"/>
      <c r="AB283" s="460"/>
      <c r="AC283" s="440"/>
      <c r="AD283" s="444"/>
      <c r="AF283" s="365"/>
      <c r="AJ283" s="472"/>
    </row>
    <row r="284" spans="1:49" ht="56.25" customHeight="1" x14ac:dyDescent="0.25">
      <c r="A284" s="1136" t="s">
        <v>553</v>
      </c>
      <c r="B284" s="439" t="s">
        <v>1828</v>
      </c>
      <c r="C284" s="487"/>
      <c r="D284" s="440"/>
      <c r="E284" s="488" t="s">
        <v>488</v>
      </c>
      <c r="F284" s="442" t="s">
        <v>837</v>
      </c>
      <c r="G284" s="439" t="s">
        <v>489</v>
      </c>
      <c r="H284" s="441" t="s">
        <v>1170</v>
      </c>
      <c r="I284" s="442" t="s">
        <v>838</v>
      </c>
      <c r="J284" s="280" t="s">
        <v>1171</v>
      </c>
      <c r="K284" s="280" t="s">
        <v>490</v>
      </c>
      <c r="L284" s="281" t="s">
        <v>489</v>
      </c>
      <c r="M284" s="280" t="s">
        <v>1172</v>
      </c>
      <c r="N284" s="442" t="s">
        <v>838</v>
      </c>
      <c r="O284" s="280" t="s">
        <v>1171</v>
      </c>
      <c r="P284" s="280" t="s">
        <v>826</v>
      </c>
      <c r="Q284" s="280" t="s">
        <v>1173</v>
      </c>
      <c r="R284" s="280" t="s">
        <v>1174</v>
      </c>
      <c r="S284" s="280" t="s">
        <v>839</v>
      </c>
      <c r="T284" s="280" t="s">
        <v>1171</v>
      </c>
      <c r="U284" s="280" t="s">
        <v>1392</v>
      </c>
      <c r="V284" s="280" t="s">
        <v>841</v>
      </c>
      <c r="W284" s="282" t="s">
        <v>1173</v>
      </c>
      <c r="X284" s="280" t="s">
        <v>1394</v>
      </c>
      <c r="Y284" s="280" t="s">
        <v>839</v>
      </c>
      <c r="Z284" s="283"/>
      <c r="AA284" s="440"/>
      <c r="AB284" s="460"/>
      <c r="AC284" s="440"/>
      <c r="AD284" s="444"/>
      <c r="AQ284" s="449"/>
      <c r="AR284" s="449"/>
      <c r="AS284" s="449"/>
    </row>
    <row r="285" spans="1:49" ht="12" customHeight="1" x14ac:dyDescent="0.25">
      <c r="A285" s="1136"/>
      <c r="B285" s="450" t="s">
        <v>1175</v>
      </c>
      <c r="C285" s="439">
        <f>C292</f>
        <v>106.04906515137378</v>
      </c>
      <c r="D285" s="496">
        <f>C285*$D$7</f>
        <v>21.421911160577505</v>
      </c>
      <c r="E285" s="452" t="s">
        <v>1176</v>
      </c>
      <c r="F285" s="498"/>
      <c r="G285" s="454"/>
      <c r="H285" s="454"/>
      <c r="I285" s="455">
        <f>SUM(I286:I293)</f>
        <v>18.117000000000001</v>
      </c>
      <c r="J285" s="290" t="s">
        <v>1176</v>
      </c>
      <c r="K285" s="357"/>
      <c r="L285" s="291"/>
      <c r="M285" s="291"/>
      <c r="N285" s="292">
        <f>SUM(N286:N293)</f>
        <v>4.4213899999999997</v>
      </c>
      <c r="O285" s="291" t="s">
        <v>1176</v>
      </c>
      <c r="P285" s="291"/>
      <c r="Q285" s="293"/>
      <c r="R285" s="294"/>
      <c r="S285" s="292">
        <f>SUM(S286:S293)</f>
        <v>9.9028000000000009</v>
      </c>
      <c r="T285" s="292"/>
      <c r="U285" s="292"/>
      <c r="V285" s="292"/>
      <c r="W285" s="292"/>
      <c r="X285" s="292"/>
      <c r="Y285" s="292">
        <f>SUM(Y286:Y293)</f>
        <v>9.1999999999999998E-3</v>
      </c>
      <c r="Z285" s="296">
        <f>(C285+D285+I285+N285+S285+Y285)*$Z$7</f>
        <v>207.92779229372488</v>
      </c>
      <c r="AA285" s="459">
        <f>C285+D285+I285+N285+S285+Y285+Z285</f>
        <v>367.84915860567617</v>
      </c>
      <c r="AB285" s="460">
        <v>0.3</v>
      </c>
      <c r="AC285" s="461">
        <f>AA285*(1+AB285)</f>
        <v>478.203906187379</v>
      </c>
      <c r="AD285" s="448"/>
      <c r="AI285" s="449"/>
      <c r="AJ285" s="462"/>
      <c r="AK285" s="463"/>
      <c r="AM285" s="464"/>
      <c r="AN285" s="143"/>
      <c r="AO285" s="464"/>
      <c r="AP285" s="449"/>
      <c r="AQ285" s="449"/>
      <c r="AR285" s="449"/>
      <c r="AS285" s="449"/>
      <c r="AT285" s="449"/>
      <c r="AU285" s="464"/>
      <c r="AV285" s="464"/>
      <c r="AW285" s="465"/>
    </row>
    <row r="286" spans="1:49" ht="24.75" customHeight="1" x14ac:dyDescent="0.25">
      <c r="A286" s="1136"/>
      <c r="B286" s="466" t="s">
        <v>830</v>
      </c>
      <c r="C286" s="487"/>
      <c r="D286" s="451"/>
      <c r="E286" s="300" t="s">
        <v>1437</v>
      </c>
      <c r="F286" s="301" t="s">
        <v>1438</v>
      </c>
      <c r="G286" s="302">
        <v>0.74</v>
      </c>
      <c r="H286" s="301">
        <v>1</v>
      </c>
      <c r="I286" s="303">
        <f t="shared" ref="I286:I292" si="27">G286*H286</f>
        <v>0.74</v>
      </c>
      <c r="J286" s="290" t="s">
        <v>1291</v>
      </c>
      <c r="K286" s="304">
        <v>2</v>
      </c>
      <c r="L286" s="305">
        <v>750</v>
      </c>
      <c r="M286" s="304">
        <v>2</v>
      </c>
      <c r="N286" s="292">
        <v>1.1745000000000001</v>
      </c>
      <c r="O286" s="467" t="s">
        <v>1578</v>
      </c>
      <c r="P286" s="291">
        <v>188900</v>
      </c>
      <c r="Q286" s="372">
        <v>0.19670000000000001</v>
      </c>
      <c r="R286" s="291">
        <f>P286*Q286</f>
        <v>37156.630000000005</v>
      </c>
      <c r="S286" s="291">
        <v>8.1902000000000008</v>
      </c>
      <c r="T286" s="458" t="s">
        <v>1435</v>
      </c>
      <c r="U286" s="456">
        <v>6785401.3499999996</v>
      </c>
      <c r="V286" s="457">
        <v>1.32E-2</v>
      </c>
      <c r="W286" s="458">
        <v>1508.3</v>
      </c>
      <c r="X286" s="292">
        <v>59.38</v>
      </c>
      <c r="Y286" s="291">
        <v>9.1999999999999998E-3</v>
      </c>
      <c r="Z286" s="291"/>
      <c r="AA286" s="440"/>
      <c r="AB286" s="460"/>
      <c r="AC286" s="440"/>
      <c r="AD286" s="444"/>
      <c r="AF286" s="365"/>
      <c r="AJ286" s="468"/>
      <c r="AT286" s="449"/>
    </row>
    <row r="287" spans="1:49" x14ac:dyDescent="0.25">
      <c r="A287" s="1136"/>
      <c r="B287" s="469" t="s">
        <v>1178</v>
      </c>
      <c r="C287" s="491">
        <f>C277</f>
        <v>43.888814515309463</v>
      </c>
      <c r="D287" s="451"/>
      <c r="E287" s="300" t="s">
        <v>1439</v>
      </c>
      <c r="F287" s="301" t="s">
        <v>1438</v>
      </c>
      <c r="G287" s="302">
        <v>0.27</v>
      </c>
      <c r="H287" s="301">
        <v>0.1</v>
      </c>
      <c r="I287" s="303">
        <f t="shared" si="27"/>
        <v>2.7000000000000003E-2</v>
      </c>
      <c r="J287" s="290" t="s">
        <v>1445</v>
      </c>
      <c r="K287" s="292">
        <v>2</v>
      </c>
      <c r="L287" s="311">
        <v>95</v>
      </c>
      <c r="M287" s="304">
        <v>2</v>
      </c>
      <c r="N287" s="292">
        <v>3.1146400000000001</v>
      </c>
      <c r="O287" s="291" t="s">
        <v>1580</v>
      </c>
      <c r="P287" s="291">
        <v>39500</v>
      </c>
      <c r="Q287" s="372">
        <v>0.19670000000000001</v>
      </c>
      <c r="R287" s="291">
        <f>P287*Q287</f>
        <v>7769.6500000000005</v>
      </c>
      <c r="S287" s="291">
        <v>1.7125999999999999</v>
      </c>
      <c r="T287" s="291"/>
      <c r="U287" s="291"/>
      <c r="V287" s="291"/>
      <c r="W287" s="372"/>
      <c r="X287" s="291"/>
      <c r="Y287" s="291"/>
      <c r="Z287" s="291"/>
      <c r="AA287" s="440"/>
      <c r="AB287" s="460"/>
      <c r="AC287" s="440"/>
      <c r="AD287" s="444"/>
      <c r="AF287" s="365"/>
      <c r="AJ287" s="468"/>
      <c r="AM287" s="465"/>
    </row>
    <row r="288" spans="1:49" ht="12.75" customHeight="1" x14ac:dyDescent="0.25">
      <c r="A288" s="1136"/>
      <c r="B288" s="452" t="s">
        <v>1179</v>
      </c>
      <c r="C288" s="487">
        <f>C278</f>
        <v>19.495759833054819</v>
      </c>
      <c r="D288" s="451"/>
      <c r="E288" s="300" t="s">
        <v>1440</v>
      </c>
      <c r="F288" s="301" t="s">
        <v>1441</v>
      </c>
      <c r="G288" s="302">
        <v>5.92</v>
      </c>
      <c r="H288" s="471">
        <v>1</v>
      </c>
      <c r="I288" s="303">
        <f t="shared" si="27"/>
        <v>5.92</v>
      </c>
      <c r="J288" s="290" t="s">
        <v>1513</v>
      </c>
      <c r="K288" s="292">
        <v>2</v>
      </c>
      <c r="L288" s="292">
        <v>25</v>
      </c>
      <c r="M288" s="304">
        <v>0.5</v>
      </c>
      <c r="N288" s="292">
        <v>0.13225000000000001</v>
      </c>
      <c r="O288" s="291"/>
      <c r="P288" s="291"/>
      <c r="Q288" s="372"/>
      <c r="R288" s="291"/>
      <c r="S288" s="291"/>
      <c r="T288" s="291"/>
      <c r="U288" s="291"/>
      <c r="V288" s="291"/>
      <c r="W288" s="372"/>
      <c r="X288" s="291"/>
      <c r="Y288" s="291"/>
      <c r="Z288" s="291"/>
      <c r="AA288" s="440"/>
      <c r="AB288" s="460"/>
      <c r="AC288" s="440"/>
      <c r="AD288" s="444"/>
      <c r="AF288" s="365"/>
      <c r="AJ288" s="468"/>
    </row>
    <row r="289" spans="1:49" ht="12.75" customHeight="1" x14ac:dyDescent="0.25">
      <c r="A289" s="1136"/>
      <c r="B289" s="452" t="s">
        <v>831</v>
      </c>
      <c r="C289" s="492"/>
      <c r="D289" s="451"/>
      <c r="E289" s="300" t="s">
        <v>1442</v>
      </c>
      <c r="F289" s="301" t="s">
        <v>1443</v>
      </c>
      <c r="G289" s="302">
        <v>419.5</v>
      </c>
      <c r="H289" s="301">
        <v>0.01</v>
      </c>
      <c r="I289" s="303">
        <f t="shared" si="27"/>
        <v>4.1950000000000003</v>
      </c>
      <c r="J289" s="290"/>
      <c r="K289" s="374"/>
      <c r="L289" s="292"/>
      <c r="M289" s="292"/>
      <c r="N289" s="292"/>
      <c r="O289" s="291"/>
      <c r="P289" s="291"/>
      <c r="Q289" s="291"/>
      <c r="R289" s="291"/>
      <c r="S289" s="291"/>
      <c r="T289" s="291"/>
      <c r="U289" s="291"/>
      <c r="V289" s="291"/>
      <c r="W289" s="291"/>
      <c r="X289" s="291"/>
      <c r="Y289" s="291"/>
      <c r="Z289" s="291"/>
      <c r="AA289" s="440"/>
      <c r="AB289" s="460"/>
      <c r="AC289" s="440"/>
      <c r="AD289" s="444"/>
      <c r="AF289" s="365"/>
      <c r="AJ289" s="468"/>
    </row>
    <row r="290" spans="1:49" ht="12.75" customHeight="1" x14ac:dyDescent="0.25">
      <c r="A290" s="1136"/>
      <c r="B290" s="469" t="s">
        <v>1178</v>
      </c>
      <c r="C290" s="491">
        <v>1.75</v>
      </c>
      <c r="D290" s="451"/>
      <c r="E290" s="300" t="s">
        <v>1444</v>
      </c>
      <c r="F290" s="301" t="s">
        <v>1443</v>
      </c>
      <c r="G290" s="302">
        <v>872</v>
      </c>
      <c r="H290" s="301">
        <v>5.0000000000000001E-3</v>
      </c>
      <c r="I290" s="303">
        <f t="shared" si="27"/>
        <v>4.3600000000000003</v>
      </c>
      <c r="J290" s="290"/>
      <c r="K290" s="374"/>
      <c r="L290" s="292"/>
      <c r="M290" s="292"/>
      <c r="N290" s="292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440"/>
      <c r="AB290" s="460"/>
      <c r="AC290" s="440"/>
      <c r="AD290" s="444"/>
      <c r="AF290" s="365"/>
      <c r="AJ290" s="472"/>
    </row>
    <row r="291" spans="1:49" ht="12.75" customHeight="1" x14ac:dyDescent="0.25">
      <c r="A291" s="1136"/>
      <c r="B291" s="452" t="s">
        <v>1179</v>
      </c>
      <c r="C291" s="493">
        <v>1.5</v>
      </c>
      <c r="D291" s="451"/>
      <c r="E291" s="494" t="s">
        <v>21</v>
      </c>
      <c r="F291" s="376" t="s">
        <v>1438</v>
      </c>
      <c r="G291" s="302">
        <v>2.75</v>
      </c>
      <c r="H291" s="301">
        <v>0.5</v>
      </c>
      <c r="I291" s="303">
        <f t="shared" si="27"/>
        <v>1.375</v>
      </c>
      <c r="J291" s="290"/>
      <c r="K291" s="374"/>
      <c r="L291" s="305"/>
      <c r="M291" s="304"/>
      <c r="N291" s="292"/>
      <c r="O291" s="291"/>
      <c r="P291" s="291"/>
      <c r="Q291" s="291"/>
      <c r="R291" s="291"/>
      <c r="S291" s="291"/>
      <c r="T291" s="291"/>
      <c r="U291" s="291"/>
      <c r="V291" s="291"/>
      <c r="W291" s="291"/>
      <c r="X291" s="291"/>
      <c r="Y291" s="291"/>
      <c r="Z291" s="291"/>
      <c r="AA291" s="440"/>
      <c r="AB291" s="460"/>
      <c r="AC291" s="440"/>
      <c r="AD291" s="444"/>
      <c r="AF291" s="365"/>
      <c r="AJ291" s="472"/>
    </row>
    <row r="292" spans="1:49" ht="12.75" customHeight="1" x14ac:dyDescent="0.25">
      <c r="A292" s="1136"/>
      <c r="B292" s="474" t="s">
        <v>1181</v>
      </c>
      <c r="C292" s="487">
        <f>C287*C290+C288*C291</f>
        <v>106.04906515137378</v>
      </c>
      <c r="D292" s="451"/>
      <c r="E292" s="494" t="s">
        <v>13</v>
      </c>
      <c r="F292" s="376" t="s">
        <v>1441</v>
      </c>
      <c r="G292" s="302">
        <v>1.5</v>
      </c>
      <c r="H292" s="301">
        <v>1</v>
      </c>
      <c r="I292" s="303">
        <f t="shared" si="27"/>
        <v>1.5</v>
      </c>
      <c r="J292" s="290"/>
      <c r="K292" s="374"/>
      <c r="L292" s="292"/>
      <c r="M292" s="292"/>
      <c r="N292" s="292"/>
      <c r="O292" s="291"/>
      <c r="P292" s="291"/>
      <c r="Q292" s="291"/>
      <c r="R292" s="291"/>
      <c r="S292" s="291"/>
      <c r="T292" s="291"/>
      <c r="U292" s="291"/>
      <c r="V292" s="291"/>
      <c r="W292" s="291"/>
      <c r="X292" s="291"/>
      <c r="Y292" s="291"/>
      <c r="Z292" s="291"/>
      <c r="AA292" s="440"/>
      <c r="AB292" s="460"/>
      <c r="AC292" s="440"/>
      <c r="AD292" s="444"/>
      <c r="AF292" s="365"/>
      <c r="AJ292" s="468"/>
    </row>
    <row r="293" spans="1:49" ht="12.75" customHeight="1" x14ac:dyDescent="0.25">
      <c r="A293" s="1136"/>
      <c r="B293" s="474"/>
      <c r="C293" s="493"/>
      <c r="D293" s="451"/>
      <c r="E293" s="494"/>
      <c r="F293" s="376"/>
      <c r="G293" s="302"/>
      <c r="H293" s="301"/>
      <c r="I293" s="303"/>
      <c r="J293" s="290"/>
      <c r="K293" s="374"/>
      <c r="L293" s="292"/>
      <c r="M293" s="292"/>
      <c r="N293" s="292"/>
      <c r="O293" s="291"/>
      <c r="P293" s="291"/>
      <c r="Q293" s="291"/>
      <c r="R293" s="291"/>
      <c r="S293" s="291"/>
      <c r="T293" s="291"/>
      <c r="U293" s="291"/>
      <c r="V293" s="291"/>
      <c r="W293" s="291"/>
      <c r="X293" s="291"/>
      <c r="Y293" s="291"/>
      <c r="Z293" s="291"/>
      <c r="AA293" s="440"/>
      <c r="AB293" s="460"/>
      <c r="AC293" s="440"/>
      <c r="AD293" s="444"/>
      <c r="AF293" s="365"/>
      <c r="AJ293" s="472"/>
    </row>
    <row r="294" spans="1:49" ht="56.25" customHeight="1" x14ac:dyDescent="0.25">
      <c r="A294" s="1136" t="s">
        <v>554</v>
      </c>
      <c r="B294" s="439" t="s">
        <v>1829</v>
      </c>
      <c r="C294" s="487"/>
      <c r="D294" s="440"/>
      <c r="E294" s="488" t="s">
        <v>488</v>
      </c>
      <c r="F294" s="442" t="s">
        <v>837</v>
      </c>
      <c r="G294" s="439" t="s">
        <v>489</v>
      </c>
      <c r="H294" s="441" t="s">
        <v>1170</v>
      </c>
      <c r="I294" s="442" t="s">
        <v>838</v>
      </c>
      <c r="J294" s="280" t="s">
        <v>1171</v>
      </c>
      <c r="K294" s="280" t="s">
        <v>490</v>
      </c>
      <c r="L294" s="281" t="s">
        <v>489</v>
      </c>
      <c r="M294" s="280" t="s">
        <v>1172</v>
      </c>
      <c r="N294" s="442" t="s">
        <v>838</v>
      </c>
      <c r="O294" s="280" t="s">
        <v>1171</v>
      </c>
      <c r="P294" s="280" t="s">
        <v>826</v>
      </c>
      <c r="Q294" s="280" t="s">
        <v>1173</v>
      </c>
      <c r="R294" s="280" t="s">
        <v>1174</v>
      </c>
      <c r="S294" s="280" t="s">
        <v>839</v>
      </c>
      <c r="T294" s="280" t="s">
        <v>1171</v>
      </c>
      <c r="U294" s="280" t="s">
        <v>1392</v>
      </c>
      <c r="V294" s="280" t="s">
        <v>841</v>
      </c>
      <c r="W294" s="282" t="s">
        <v>1173</v>
      </c>
      <c r="X294" s="280" t="s">
        <v>1394</v>
      </c>
      <c r="Y294" s="280" t="s">
        <v>839</v>
      </c>
      <c r="Z294" s="283"/>
      <c r="AA294" s="440"/>
      <c r="AB294" s="460"/>
      <c r="AC294" s="440"/>
      <c r="AD294" s="444"/>
      <c r="AQ294" s="449"/>
      <c r="AR294" s="449"/>
      <c r="AS294" s="449"/>
    </row>
    <row r="295" spans="1:49" ht="12" customHeight="1" x14ac:dyDescent="0.25">
      <c r="A295" s="1136"/>
      <c r="B295" s="450" t="s">
        <v>1175</v>
      </c>
      <c r="C295" s="439">
        <f>C302</f>
        <v>142.61529228381966</v>
      </c>
      <c r="D295" s="496">
        <f>C295*$D$7</f>
        <v>28.808289041331573</v>
      </c>
      <c r="E295" s="452" t="s">
        <v>1176</v>
      </c>
      <c r="F295" s="498"/>
      <c r="G295" s="454"/>
      <c r="H295" s="454"/>
      <c r="I295" s="455">
        <f>SUM(I296:I303)</f>
        <v>16.815899999999999</v>
      </c>
      <c r="J295" s="290" t="s">
        <v>1176</v>
      </c>
      <c r="K295" s="357"/>
      <c r="L295" s="291"/>
      <c r="M295" s="291"/>
      <c r="N295" s="292">
        <f>SUM(N296:N303)</f>
        <v>4.4213899999999997</v>
      </c>
      <c r="O295" s="291" t="s">
        <v>1176</v>
      </c>
      <c r="P295" s="291"/>
      <c r="Q295" s="293"/>
      <c r="R295" s="294"/>
      <c r="S295" s="292">
        <f>SUM(S296:S303)</f>
        <v>9.9028000000000009</v>
      </c>
      <c r="T295" s="292"/>
      <c r="U295" s="292"/>
      <c r="V295" s="292"/>
      <c r="W295" s="292"/>
      <c r="X295" s="292"/>
      <c r="Y295" s="292">
        <f>SUM(Y296:Y303)</f>
        <v>9.1999999999999998E-3</v>
      </c>
      <c r="Z295" s="296">
        <f>(C295+D295+I295+N295+S295+Y295)*$Z$7</f>
        <v>263.3827541910623</v>
      </c>
      <c r="AA295" s="459">
        <f>C295+D295+I295+N295+S295+Y295+Z295</f>
        <v>465.95562551621356</v>
      </c>
      <c r="AB295" s="460">
        <v>0.3</v>
      </c>
      <c r="AC295" s="461">
        <f>AA295*(1+AB295)</f>
        <v>605.74231317107763</v>
      </c>
      <c r="AD295" s="448"/>
      <c r="AI295" s="449"/>
      <c r="AJ295" s="462"/>
      <c r="AK295" s="463"/>
      <c r="AM295" s="464"/>
      <c r="AN295" s="143"/>
      <c r="AO295" s="464"/>
      <c r="AP295" s="449"/>
      <c r="AQ295" s="449"/>
      <c r="AR295" s="449"/>
      <c r="AS295" s="449"/>
      <c r="AT295" s="449"/>
      <c r="AU295" s="464"/>
      <c r="AV295" s="464"/>
      <c r="AW295" s="465"/>
    </row>
    <row r="296" spans="1:49" ht="24.75" customHeight="1" x14ac:dyDescent="0.25">
      <c r="A296" s="1136"/>
      <c r="B296" s="466" t="s">
        <v>830</v>
      </c>
      <c r="C296" s="487"/>
      <c r="D296" s="451"/>
      <c r="E296" s="300" t="s">
        <v>1437</v>
      </c>
      <c r="F296" s="301" t="s">
        <v>1438</v>
      </c>
      <c r="G296" s="302">
        <v>0.74</v>
      </c>
      <c r="H296" s="301">
        <v>0.2</v>
      </c>
      <c r="I296" s="303">
        <f t="shared" ref="I296:I302" si="28">G296*H296</f>
        <v>0.14799999999999999</v>
      </c>
      <c r="J296" s="290" t="s">
        <v>1291</v>
      </c>
      <c r="K296" s="304">
        <v>2</v>
      </c>
      <c r="L296" s="305">
        <v>750</v>
      </c>
      <c r="M296" s="304">
        <v>2</v>
      </c>
      <c r="N296" s="292">
        <v>1.1745000000000001</v>
      </c>
      <c r="O296" s="467" t="s">
        <v>1578</v>
      </c>
      <c r="P296" s="291">
        <v>188900</v>
      </c>
      <c r="Q296" s="372">
        <v>0.19670000000000001</v>
      </c>
      <c r="R296" s="291">
        <f>P296*Q296</f>
        <v>37156.630000000005</v>
      </c>
      <c r="S296" s="291">
        <v>8.1902000000000008</v>
      </c>
      <c r="T296" s="458" t="s">
        <v>1435</v>
      </c>
      <c r="U296" s="456">
        <v>6785401.3499999996</v>
      </c>
      <c r="V296" s="457">
        <v>1.32E-2</v>
      </c>
      <c r="W296" s="458">
        <v>1508.3</v>
      </c>
      <c r="X296" s="292">
        <v>59.38</v>
      </c>
      <c r="Y296" s="291">
        <v>9.1999999999999998E-3</v>
      </c>
      <c r="Z296" s="291"/>
      <c r="AA296" s="440"/>
      <c r="AB296" s="460"/>
      <c r="AC296" s="440"/>
      <c r="AD296" s="444"/>
      <c r="AF296" s="365"/>
      <c r="AJ296" s="468"/>
      <c r="AT296" s="449"/>
    </row>
    <row r="297" spans="1:49" x14ac:dyDescent="0.25">
      <c r="A297" s="1136"/>
      <c r="B297" s="469" t="s">
        <v>1178</v>
      </c>
      <c r="C297" s="491">
        <f>C287</f>
        <v>43.888814515309463</v>
      </c>
      <c r="D297" s="451"/>
      <c r="E297" s="300" t="s">
        <v>1439</v>
      </c>
      <c r="F297" s="301" t="s">
        <v>1438</v>
      </c>
      <c r="G297" s="302">
        <v>0.27</v>
      </c>
      <c r="H297" s="301">
        <v>0.02</v>
      </c>
      <c r="I297" s="303">
        <f t="shared" si="28"/>
        <v>5.4000000000000003E-3</v>
      </c>
      <c r="J297" s="290" t="s">
        <v>1445</v>
      </c>
      <c r="K297" s="292">
        <v>2</v>
      </c>
      <c r="L297" s="311">
        <v>95</v>
      </c>
      <c r="M297" s="304">
        <v>2</v>
      </c>
      <c r="N297" s="292">
        <v>3.1146400000000001</v>
      </c>
      <c r="O297" s="291" t="s">
        <v>1580</v>
      </c>
      <c r="P297" s="291">
        <v>39500</v>
      </c>
      <c r="Q297" s="372">
        <v>0.19670000000000001</v>
      </c>
      <c r="R297" s="291">
        <f>P297*Q297</f>
        <v>7769.6500000000005</v>
      </c>
      <c r="S297" s="291">
        <v>1.7125999999999999</v>
      </c>
      <c r="T297" s="291"/>
      <c r="U297" s="291"/>
      <c r="V297" s="291"/>
      <c r="W297" s="372"/>
      <c r="X297" s="291"/>
      <c r="Y297" s="291"/>
      <c r="Z297" s="291"/>
      <c r="AA297" s="440"/>
      <c r="AB297" s="460"/>
      <c r="AC297" s="440"/>
      <c r="AD297" s="444"/>
      <c r="AF297" s="365"/>
      <c r="AJ297" s="468"/>
      <c r="AM297" s="465"/>
    </row>
    <row r="298" spans="1:49" ht="12.75" customHeight="1" x14ac:dyDescent="0.25">
      <c r="A298" s="1136"/>
      <c r="B298" s="452" t="s">
        <v>1179</v>
      </c>
      <c r="C298" s="487">
        <f>C288</f>
        <v>19.495759833054819</v>
      </c>
      <c r="D298" s="451"/>
      <c r="E298" s="300" t="s">
        <v>1440</v>
      </c>
      <c r="F298" s="301" t="s">
        <v>1441</v>
      </c>
      <c r="G298" s="302">
        <v>5.92</v>
      </c>
      <c r="H298" s="471">
        <v>1</v>
      </c>
      <c r="I298" s="303">
        <f t="shared" si="28"/>
        <v>5.92</v>
      </c>
      <c r="J298" s="290" t="s">
        <v>1513</v>
      </c>
      <c r="K298" s="292">
        <v>2</v>
      </c>
      <c r="L298" s="292">
        <v>25</v>
      </c>
      <c r="M298" s="304">
        <v>0.5</v>
      </c>
      <c r="N298" s="292">
        <v>0.13225000000000001</v>
      </c>
      <c r="O298" s="291"/>
      <c r="P298" s="291"/>
      <c r="Q298" s="372"/>
      <c r="R298" s="291"/>
      <c r="S298" s="291"/>
      <c r="T298" s="291"/>
      <c r="U298" s="291"/>
      <c r="V298" s="291"/>
      <c r="W298" s="372"/>
      <c r="X298" s="291"/>
      <c r="Y298" s="291"/>
      <c r="Z298" s="291"/>
      <c r="AA298" s="440"/>
      <c r="AB298" s="460"/>
      <c r="AC298" s="440"/>
      <c r="AD298" s="444"/>
      <c r="AF298" s="365"/>
      <c r="AJ298" s="468"/>
    </row>
    <row r="299" spans="1:49" ht="12.75" customHeight="1" x14ac:dyDescent="0.25">
      <c r="A299" s="1136"/>
      <c r="B299" s="452" t="s">
        <v>831</v>
      </c>
      <c r="C299" s="492"/>
      <c r="D299" s="451"/>
      <c r="E299" s="300" t="s">
        <v>1442</v>
      </c>
      <c r="F299" s="301" t="s">
        <v>1443</v>
      </c>
      <c r="G299" s="302">
        <v>419.5</v>
      </c>
      <c r="H299" s="301">
        <v>0.01</v>
      </c>
      <c r="I299" s="303">
        <f t="shared" si="28"/>
        <v>4.1950000000000003</v>
      </c>
      <c r="J299" s="290"/>
      <c r="K299" s="374"/>
      <c r="L299" s="292"/>
      <c r="M299" s="292"/>
      <c r="N299" s="292"/>
      <c r="O299" s="291"/>
      <c r="P299" s="291"/>
      <c r="Q299" s="291"/>
      <c r="R299" s="291"/>
      <c r="S299" s="291"/>
      <c r="T299" s="291"/>
      <c r="U299" s="291"/>
      <c r="V299" s="291"/>
      <c r="W299" s="291"/>
      <c r="X299" s="291"/>
      <c r="Y299" s="291"/>
      <c r="Z299" s="291"/>
      <c r="AA299" s="440"/>
      <c r="AB299" s="460"/>
      <c r="AC299" s="440"/>
      <c r="AD299" s="444"/>
      <c r="AF299" s="365"/>
      <c r="AJ299" s="468"/>
    </row>
    <row r="300" spans="1:49" ht="12.75" customHeight="1" x14ac:dyDescent="0.25">
      <c r="A300" s="1136"/>
      <c r="B300" s="469" t="s">
        <v>1178</v>
      </c>
      <c r="C300" s="491">
        <v>2.25</v>
      </c>
      <c r="D300" s="451"/>
      <c r="E300" s="300" t="s">
        <v>1444</v>
      </c>
      <c r="F300" s="301" t="s">
        <v>1443</v>
      </c>
      <c r="G300" s="302">
        <v>872</v>
      </c>
      <c r="H300" s="301">
        <v>5.0000000000000001E-3</v>
      </c>
      <c r="I300" s="303">
        <f t="shared" si="28"/>
        <v>4.3600000000000003</v>
      </c>
      <c r="J300" s="290"/>
      <c r="K300" s="374"/>
      <c r="L300" s="292"/>
      <c r="M300" s="292"/>
      <c r="N300" s="292"/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/>
      <c r="AA300" s="440"/>
      <c r="AB300" s="460"/>
      <c r="AC300" s="440"/>
      <c r="AD300" s="444"/>
      <c r="AF300" s="365"/>
      <c r="AJ300" s="472"/>
    </row>
    <row r="301" spans="1:49" ht="12.75" customHeight="1" x14ac:dyDescent="0.25">
      <c r="A301" s="1136"/>
      <c r="B301" s="452" t="s">
        <v>1179</v>
      </c>
      <c r="C301" s="491">
        <v>2.25</v>
      </c>
      <c r="D301" s="451"/>
      <c r="E301" s="494" t="s">
        <v>21</v>
      </c>
      <c r="F301" s="376" t="s">
        <v>1438</v>
      </c>
      <c r="G301" s="302">
        <v>2.75</v>
      </c>
      <c r="H301" s="301">
        <v>0.25</v>
      </c>
      <c r="I301" s="303">
        <f t="shared" si="28"/>
        <v>0.6875</v>
      </c>
      <c r="J301" s="290"/>
      <c r="K301" s="374"/>
      <c r="L301" s="305"/>
      <c r="M301" s="304"/>
      <c r="N301" s="292"/>
      <c r="O301" s="291"/>
      <c r="P301" s="291"/>
      <c r="Q301" s="291"/>
      <c r="R301" s="291"/>
      <c r="S301" s="291"/>
      <c r="T301" s="291"/>
      <c r="U301" s="291"/>
      <c r="V301" s="291"/>
      <c r="W301" s="291"/>
      <c r="X301" s="291"/>
      <c r="Y301" s="291"/>
      <c r="Z301" s="291"/>
      <c r="AA301" s="440"/>
      <c r="AB301" s="460"/>
      <c r="AC301" s="440"/>
      <c r="AD301" s="444"/>
      <c r="AF301" s="365"/>
      <c r="AJ301" s="472"/>
    </row>
    <row r="302" spans="1:49" ht="12.75" customHeight="1" x14ac:dyDescent="0.25">
      <c r="A302" s="1136"/>
      <c r="B302" s="474" t="s">
        <v>1181</v>
      </c>
      <c r="C302" s="487">
        <f>C297*C300+C298*C301</f>
        <v>142.61529228381966</v>
      </c>
      <c r="D302" s="451"/>
      <c r="E302" s="494" t="s">
        <v>13</v>
      </c>
      <c r="F302" s="376" t="s">
        <v>1441</v>
      </c>
      <c r="G302" s="302">
        <v>1.5</v>
      </c>
      <c r="H302" s="301">
        <v>1</v>
      </c>
      <c r="I302" s="303">
        <f t="shared" si="28"/>
        <v>1.5</v>
      </c>
      <c r="J302" s="290"/>
      <c r="K302" s="374"/>
      <c r="L302" s="292"/>
      <c r="M302" s="292"/>
      <c r="N302" s="292"/>
      <c r="O302" s="291"/>
      <c r="P302" s="291"/>
      <c r="Q302" s="291"/>
      <c r="R302" s="291"/>
      <c r="S302" s="291"/>
      <c r="T302" s="291"/>
      <c r="U302" s="291"/>
      <c r="V302" s="291"/>
      <c r="W302" s="291"/>
      <c r="X302" s="291"/>
      <c r="Y302" s="291"/>
      <c r="Z302" s="291"/>
      <c r="AA302" s="440"/>
      <c r="AB302" s="460"/>
      <c r="AC302" s="440"/>
      <c r="AD302" s="444"/>
      <c r="AF302" s="365"/>
      <c r="AJ302" s="468"/>
    </row>
    <row r="303" spans="1:49" ht="12.75" customHeight="1" x14ac:dyDescent="0.25">
      <c r="A303" s="1136"/>
      <c r="B303" s="474"/>
      <c r="C303" s="493"/>
      <c r="D303" s="451"/>
      <c r="E303" s="494"/>
      <c r="F303" s="376"/>
      <c r="G303" s="302"/>
      <c r="H303" s="301"/>
      <c r="I303" s="303"/>
      <c r="J303" s="290"/>
      <c r="K303" s="374"/>
      <c r="L303" s="292"/>
      <c r="M303" s="292"/>
      <c r="N303" s="292"/>
      <c r="O303" s="291"/>
      <c r="P303" s="291"/>
      <c r="Q303" s="291"/>
      <c r="R303" s="291"/>
      <c r="S303" s="291"/>
      <c r="T303" s="291"/>
      <c r="U303" s="291"/>
      <c r="V303" s="291"/>
      <c r="W303" s="291"/>
      <c r="X303" s="291"/>
      <c r="Y303" s="291"/>
      <c r="Z303" s="291"/>
      <c r="AA303" s="440"/>
      <c r="AB303" s="460"/>
      <c r="AC303" s="440"/>
      <c r="AD303" s="444"/>
      <c r="AF303" s="365"/>
      <c r="AJ303" s="472"/>
    </row>
    <row r="304" spans="1:49" ht="56.25" customHeight="1" x14ac:dyDescent="0.25">
      <c r="A304" s="1136" t="s">
        <v>23</v>
      </c>
      <c r="B304" s="439" t="s">
        <v>1824</v>
      </c>
      <c r="C304" s="487"/>
      <c r="D304" s="440"/>
      <c r="E304" s="488" t="s">
        <v>488</v>
      </c>
      <c r="F304" s="442" t="s">
        <v>837</v>
      </c>
      <c r="G304" s="439" t="s">
        <v>489</v>
      </c>
      <c r="H304" s="441" t="s">
        <v>1170</v>
      </c>
      <c r="I304" s="442" t="s">
        <v>838</v>
      </c>
      <c r="J304" s="280" t="s">
        <v>1171</v>
      </c>
      <c r="K304" s="280" t="s">
        <v>490</v>
      </c>
      <c r="L304" s="281" t="s">
        <v>489</v>
      </c>
      <c r="M304" s="280" t="s">
        <v>1172</v>
      </c>
      <c r="N304" s="442" t="s">
        <v>838</v>
      </c>
      <c r="O304" s="280" t="s">
        <v>1171</v>
      </c>
      <c r="P304" s="280" t="s">
        <v>826</v>
      </c>
      <c r="Q304" s="280" t="s">
        <v>1173</v>
      </c>
      <c r="R304" s="280" t="s">
        <v>1174</v>
      </c>
      <c r="S304" s="280" t="s">
        <v>839</v>
      </c>
      <c r="T304" s="280" t="s">
        <v>1171</v>
      </c>
      <c r="U304" s="280" t="s">
        <v>1392</v>
      </c>
      <c r="V304" s="280" t="s">
        <v>841</v>
      </c>
      <c r="W304" s="282" t="s">
        <v>1173</v>
      </c>
      <c r="X304" s="280" t="s">
        <v>1394</v>
      </c>
      <c r="Y304" s="280" t="s">
        <v>839</v>
      </c>
      <c r="Z304" s="283"/>
      <c r="AA304" s="440"/>
      <c r="AB304" s="460"/>
      <c r="AC304" s="440"/>
      <c r="AD304" s="444"/>
      <c r="AQ304" s="449"/>
      <c r="AR304" s="449"/>
      <c r="AS304" s="449"/>
    </row>
    <row r="305" spans="1:49" ht="12" customHeight="1" x14ac:dyDescent="0.25">
      <c r="A305" s="1136"/>
      <c r="B305" s="450" t="s">
        <v>1175</v>
      </c>
      <c r="C305" s="439">
        <f>C312</f>
        <v>126.76914869672856</v>
      </c>
      <c r="D305" s="496">
        <f>C305*$D$7</f>
        <v>25.607368036739171</v>
      </c>
      <c r="E305" s="452" t="s">
        <v>1176</v>
      </c>
      <c r="F305" s="498"/>
      <c r="G305" s="454"/>
      <c r="H305" s="454"/>
      <c r="I305" s="455">
        <f>SUM(I306:I315)</f>
        <v>33.119199999999999</v>
      </c>
      <c r="J305" s="290" t="s">
        <v>1176</v>
      </c>
      <c r="K305" s="357"/>
      <c r="L305" s="291"/>
      <c r="M305" s="291"/>
      <c r="N305" s="292">
        <f>SUM(N306:N315)</f>
        <v>4.4213899999999997</v>
      </c>
      <c r="O305" s="291" t="s">
        <v>1176</v>
      </c>
      <c r="P305" s="291"/>
      <c r="Q305" s="293"/>
      <c r="R305" s="294"/>
      <c r="S305" s="292">
        <f>SUM(S306:S315)</f>
        <v>9.9028000000000009</v>
      </c>
      <c r="T305" s="292"/>
      <c r="U305" s="292"/>
      <c r="V305" s="292"/>
      <c r="W305" s="292"/>
      <c r="X305" s="292"/>
      <c r="Y305" s="292">
        <f>SUM(Y306:Y315)</f>
        <v>9.1999999999999998E-3</v>
      </c>
      <c r="Z305" s="296">
        <f>(C305+D305+I305+N305+S305+Y305)*$Z$7</f>
        <v>259.81534523702936</v>
      </c>
      <c r="AA305" s="459">
        <f>C305+D305+I305+N305+S305+Y305+Z305</f>
        <v>459.64445197049713</v>
      </c>
      <c r="AB305" s="460">
        <v>0.3</v>
      </c>
      <c r="AC305" s="461">
        <f>AA305*(1+AB305)</f>
        <v>597.53778756164627</v>
      </c>
      <c r="AD305" s="448"/>
      <c r="AI305" s="449"/>
      <c r="AJ305" s="462"/>
      <c r="AK305" s="463"/>
      <c r="AM305" s="464"/>
      <c r="AN305" s="143"/>
      <c r="AO305" s="464"/>
      <c r="AP305" s="449"/>
      <c r="AQ305" s="449"/>
      <c r="AR305" s="449"/>
      <c r="AS305" s="449"/>
      <c r="AT305" s="449"/>
      <c r="AU305" s="464"/>
      <c r="AV305" s="464"/>
      <c r="AW305" s="465"/>
    </row>
    <row r="306" spans="1:49" ht="24.75" customHeight="1" x14ac:dyDescent="0.25">
      <c r="A306" s="1136"/>
      <c r="B306" s="466" t="s">
        <v>830</v>
      </c>
      <c r="C306" s="487"/>
      <c r="D306" s="451"/>
      <c r="E306" s="300" t="s">
        <v>1437</v>
      </c>
      <c r="F306" s="301" t="s">
        <v>1438</v>
      </c>
      <c r="G306" s="302">
        <v>0.74</v>
      </c>
      <c r="H306" s="301">
        <v>0.1</v>
      </c>
      <c r="I306" s="303">
        <f t="shared" ref="I306:I315" si="29">G306*H306</f>
        <v>7.3999999999999996E-2</v>
      </c>
      <c r="J306" s="290" t="s">
        <v>1291</v>
      </c>
      <c r="K306" s="304">
        <v>2</v>
      </c>
      <c r="L306" s="305">
        <v>750</v>
      </c>
      <c r="M306" s="304">
        <v>2</v>
      </c>
      <c r="N306" s="292">
        <v>1.1745000000000001</v>
      </c>
      <c r="O306" s="467" t="s">
        <v>1578</v>
      </c>
      <c r="P306" s="291">
        <v>188900</v>
      </c>
      <c r="Q306" s="372">
        <v>0.19670000000000001</v>
      </c>
      <c r="R306" s="291">
        <f>P306*Q306</f>
        <v>37156.630000000005</v>
      </c>
      <c r="S306" s="291">
        <v>8.1902000000000008</v>
      </c>
      <c r="T306" s="458" t="s">
        <v>1435</v>
      </c>
      <c r="U306" s="456">
        <v>6785401.3499999996</v>
      </c>
      <c r="V306" s="457">
        <v>1.32E-2</v>
      </c>
      <c r="W306" s="458">
        <v>1508.3</v>
      </c>
      <c r="X306" s="292">
        <v>59.38</v>
      </c>
      <c r="Y306" s="291">
        <v>9.1999999999999998E-3</v>
      </c>
      <c r="Z306" s="291"/>
      <c r="AA306" s="440"/>
      <c r="AB306" s="460"/>
      <c r="AC306" s="440"/>
      <c r="AD306" s="444"/>
      <c r="AF306" s="365"/>
      <c r="AJ306" s="468"/>
      <c r="AT306" s="449"/>
    </row>
    <row r="307" spans="1:49" x14ac:dyDescent="0.25">
      <c r="A307" s="1136"/>
      <c r="B307" s="469" t="s">
        <v>1178</v>
      </c>
      <c r="C307" s="491">
        <f>C297</f>
        <v>43.888814515309463</v>
      </c>
      <c r="D307" s="451"/>
      <c r="E307" s="300" t="s">
        <v>1439</v>
      </c>
      <c r="F307" s="301" t="s">
        <v>1438</v>
      </c>
      <c r="G307" s="302">
        <v>0.27</v>
      </c>
      <c r="H307" s="301">
        <v>0.01</v>
      </c>
      <c r="I307" s="303">
        <f t="shared" si="29"/>
        <v>2.7000000000000001E-3</v>
      </c>
      <c r="J307" s="290" t="s">
        <v>1445</v>
      </c>
      <c r="K307" s="292">
        <v>2</v>
      </c>
      <c r="L307" s="311">
        <v>95</v>
      </c>
      <c r="M307" s="304">
        <v>2</v>
      </c>
      <c r="N307" s="292">
        <v>3.1146400000000001</v>
      </c>
      <c r="O307" s="291" t="s">
        <v>1580</v>
      </c>
      <c r="P307" s="291">
        <v>39500</v>
      </c>
      <c r="Q307" s="372">
        <v>0.19670000000000001</v>
      </c>
      <c r="R307" s="291">
        <f>P307*Q307</f>
        <v>7769.6500000000005</v>
      </c>
      <c r="S307" s="291">
        <v>1.7125999999999999</v>
      </c>
      <c r="T307" s="291"/>
      <c r="U307" s="291"/>
      <c r="V307" s="291"/>
      <c r="W307" s="372"/>
      <c r="X307" s="291"/>
      <c r="Y307" s="291"/>
      <c r="Z307" s="291"/>
      <c r="AA307" s="440"/>
      <c r="AB307" s="460"/>
      <c r="AC307" s="440"/>
      <c r="AD307" s="444"/>
      <c r="AF307" s="365"/>
      <c r="AJ307" s="468"/>
      <c r="AM307" s="465"/>
    </row>
    <row r="308" spans="1:49" ht="12.75" customHeight="1" x14ac:dyDescent="0.25">
      <c r="A308" s="1136"/>
      <c r="B308" s="452" t="s">
        <v>1179</v>
      </c>
      <c r="C308" s="487">
        <f>C298</f>
        <v>19.495759833054819</v>
      </c>
      <c r="D308" s="451"/>
      <c r="E308" s="300" t="s">
        <v>1440</v>
      </c>
      <c r="F308" s="301" t="s">
        <v>1441</v>
      </c>
      <c r="G308" s="302">
        <v>5.92</v>
      </c>
      <c r="H308" s="471">
        <v>1</v>
      </c>
      <c r="I308" s="303">
        <f t="shared" si="29"/>
        <v>5.92</v>
      </c>
      <c r="J308" s="290" t="s">
        <v>1513</v>
      </c>
      <c r="K308" s="292">
        <v>2</v>
      </c>
      <c r="L308" s="292">
        <v>25</v>
      </c>
      <c r="M308" s="304">
        <v>0.5</v>
      </c>
      <c r="N308" s="292">
        <v>0.13225000000000001</v>
      </c>
      <c r="O308" s="291"/>
      <c r="P308" s="291"/>
      <c r="Q308" s="372"/>
      <c r="R308" s="291"/>
      <c r="S308" s="291"/>
      <c r="T308" s="291"/>
      <c r="U308" s="291"/>
      <c r="V308" s="291"/>
      <c r="W308" s="372"/>
      <c r="X308" s="291"/>
      <c r="Y308" s="291"/>
      <c r="Z308" s="291"/>
      <c r="AA308" s="440"/>
      <c r="AB308" s="460"/>
      <c r="AC308" s="440"/>
      <c r="AD308" s="444"/>
      <c r="AF308" s="365"/>
      <c r="AJ308" s="468"/>
    </row>
    <row r="309" spans="1:49" ht="12.75" customHeight="1" x14ac:dyDescent="0.25">
      <c r="A309" s="1136"/>
      <c r="B309" s="452" t="s">
        <v>831</v>
      </c>
      <c r="C309" s="492"/>
      <c r="D309" s="451"/>
      <c r="E309" s="300" t="s">
        <v>1442</v>
      </c>
      <c r="F309" s="301" t="s">
        <v>1443</v>
      </c>
      <c r="G309" s="302">
        <v>419.5</v>
      </c>
      <c r="H309" s="301">
        <v>0.01</v>
      </c>
      <c r="I309" s="303">
        <f t="shared" si="29"/>
        <v>4.1950000000000003</v>
      </c>
      <c r="J309" s="290"/>
      <c r="K309" s="374"/>
      <c r="L309" s="292"/>
      <c r="M309" s="292"/>
      <c r="N309" s="292"/>
      <c r="O309" s="291"/>
      <c r="P309" s="291"/>
      <c r="Q309" s="291"/>
      <c r="R309" s="291"/>
      <c r="S309" s="291"/>
      <c r="T309" s="291"/>
      <c r="U309" s="291"/>
      <c r="V309" s="291"/>
      <c r="W309" s="291"/>
      <c r="X309" s="291"/>
      <c r="Y309" s="291"/>
      <c r="Z309" s="291"/>
      <c r="AA309" s="440"/>
      <c r="AB309" s="460"/>
      <c r="AC309" s="440"/>
      <c r="AD309" s="444"/>
      <c r="AF309" s="365"/>
      <c r="AJ309" s="468"/>
    </row>
    <row r="310" spans="1:49" ht="12.75" customHeight="1" x14ac:dyDescent="0.25">
      <c r="A310" s="1136"/>
      <c r="B310" s="469" t="s">
        <v>1178</v>
      </c>
      <c r="C310" s="493">
        <v>2</v>
      </c>
      <c r="D310" s="451"/>
      <c r="E310" s="300" t="s">
        <v>1444</v>
      </c>
      <c r="F310" s="301" t="s">
        <v>1443</v>
      </c>
      <c r="G310" s="302">
        <v>872</v>
      </c>
      <c r="H310" s="301">
        <v>5.0000000000000001E-3</v>
      </c>
      <c r="I310" s="303">
        <f t="shared" si="29"/>
        <v>4.3600000000000003</v>
      </c>
      <c r="J310" s="290"/>
      <c r="K310" s="374"/>
      <c r="L310" s="292"/>
      <c r="M310" s="292"/>
      <c r="N310" s="292"/>
      <c r="O310" s="291"/>
      <c r="P310" s="291"/>
      <c r="Q310" s="291"/>
      <c r="R310" s="291"/>
      <c r="S310" s="291"/>
      <c r="T310" s="291"/>
      <c r="U310" s="291"/>
      <c r="V310" s="291"/>
      <c r="W310" s="291"/>
      <c r="X310" s="291"/>
      <c r="Y310" s="291"/>
      <c r="Z310" s="291"/>
      <c r="AA310" s="440"/>
      <c r="AB310" s="460"/>
      <c r="AC310" s="440"/>
      <c r="AD310" s="444"/>
      <c r="AF310" s="365"/>
      <c r="AJ310" s="472"/>
    </row>
    <row r="311" spans="1:49" ht="12.75" customHeight="1" x14ac:dyDescent="0.25">
      <c r="A311" s="1136"/>
      <c r="B311" s="452" t="s">
        <v>1179</v>
      </c>
      <c r="C311" s="491">
        <v>2</v>
      </c>
      <c r="D311" s="451"/>
      <c r="E311" s="494" t="s">
        <v>581</v>
      </c>
      <c r="F311" s="376" t="s">
        <v>1438</v>
      </c>
      <c r="G311" s="302">
        <v>16.39</v>
      </c>
      <c r="H311" s="301">
        <v>0.25</v>
      </c>
      <c r="I311" s="303">
        <f t="shared" si="29"/>
        <v>4.0975000000000001</v>
      </c>
      <c r="J311" s="290"/>
      <c r="K311" s="374"/>
      <c r="L311" s="305"/>
      <c r="M311" s="304"/>
      <c r="N311" s="292"/>
      <c r="O311" s="291"/>
      <c r="P311" s="291"/>
      <c r="Q311" s="291"/>
      <c r="R311" s="291"/>
      <c r="S311" s="291"/>
      <c r="T311" s="291"/>
      <c r="U311" s="291"/>
      <c r="V311" s="291"/>
      <c r="W311" s="291"/>
      <c r="X311" s="291"/>
      <c r="Y311" s="291"/>
      <c r="Z311" s="291"/>
      <c r="AA311" s="440"/>
      <c r="AB311" s="460"/>
      <c r="AC311" s="440"/>
      <c r="AD311" s="444"/>
      <c r="AF311" s="365"/>
      <c r="AJ311" s="472"/>
    </row>
    <row r="312" spans="1:49" ht="12.75" customHeight="1" x14ac:dyDescent="0.25">
      <c r="A312" s="1136"/>
      <c r="B312" s="474" t="s">
        <v>1181</v>
      </c>
      <c r="C312" s="487">
        <f>C307*C310+C308*C311</f>
        <v>126.76914869672856</v>
      </c>
      <c r="D312" s="451"/>
      <c r="E312" s="494" t="s">
        <v>13</v>
      </c>
      <c r="F312" s="376" t="s">
        <v>1441</v>
      </c>
      <c r="G312" s="302">
        <v>1.5</v>
      </c>
      <c r="H312" s="301">
        <v>1</v>
      </c>
      <c r="I312" s="303">
        <f t="shared" si="29"/>
        <v>1.5</v>
      </c>
      <c r="J312" s="290"/>
      <c r="K312" s="374"/>
      <c r="L312" s="292"/>
      <c r="M312" s="292"/>
      <c r="N312" s="292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440"/>
      <c r="AB312" s="460"/>
      <c r="AC312" s="440"/>
      <c r="AD312" s="444"/>
      <c r="AF312" s="365"/>
      <c r="AJ312" s="468"/>
    </row>
    <row r="313" spans="1:49" ht="12.75" customHeight="1" x14ac:dyDescent="0.25">
      <c r="A313" s="1136"/>
      <c r="B313" s="474"/>
      <c r="C313" s="487"/>
      <c r="D313" s="451"/>
      <c r="E313" s="494" t="s">
        <v>18</v>
      </c>
      <c r="F313" s="376" t="s">
        <v>1438</v>
      </c>
      <c r="G313" s="302">
        <v>0.94</v>
      </c>
      <c r="H313" s="301">
        <v>0.5</v>
      </c>
      <c r="I313" s="303">
        <f t="shared" si="29"/>
        <v>0.47</v>
      </c>
      <c r="J313" s="290"/>
      <c r="K313" s="374"/>
      <c r="L313" s="292"/>
      <c r="M313" s="292"/>
      <c r="N313" s="292"/>
      <c r="O313" s="291"/>
      <c r="P313" s="291"/>
      <c r="Q313" s="291"/>
      <c r="R313" s="291"/>
      <c r="S313" s="291"/>
      <c r="T313" s="291"/>
      <c r="U313" s="291"/>
      <c r="V313" s="291"/>
      <c r="W313" s="291"/>
      <c r="X313" s="291"/>
      <c r="Y313" s="291"/>
      <c r="Z313" s="291"/>
      <c r="AA313" s="440"/>
      <c r="AB313" s="460"/>
      <c r="AC313" s="440"/>
      <c r="AD313" s="444"/>
      <c r="AF313" s="365"/>
      <c r="AJ313" s="468"/>
    </row>
    <row r="314" spans="1:49" ht="12.75" customHeight="1" x14ac:dyDescent="0.25">
      <c r="A314" s="1136"/>
      <c r="B314" s="474"/>
      <c r="C314" s="487"/>
      <c r="D314" s="451"/>
      <c r="E314" s="494" t="s">
        <v>24</v>
      </c>
      <c r="F314" s="376" t="s">
        <v>1</v>
      </c>
      <c r="G314" s="302">
        <v>110</v>
      </c>
      <c r="H314" s="301">
        <v>0.1</v>
      </c>
      <c r="I314" s="303">
        <f t="shared" si="29"/>
        <v>11</v>
      </c>
      <c r="J314" s="290"/>
      <c r="K314" s="374"/>
      <c r="L314" s="292"/>
      <c r="M314" s="292"/>
      <c r="N314" s="292"/>
      <c r="O314" s="291"/>
      <c r="P314" s="291"/>
      <c r="Q314" s="291"/>
      <c r="R314" s="291"/>
      <c r="S314" s="291"/>
      <c r="T314" s="291"/>
      <c r="U314" s="291"/>
      <c r="V314" s="291"/>
      <c r="W314" s="291"/>
      <c r="X314" s="291"/>
      <c r="Y314" s="291"/>
      <c r="Z314" s="291"/>
      <c r="AA314" s="440"/>
      <c r="AB314" s="460"/>
      <c r="AC314" s="440"/>
      <c r="AD314" s="444"/>
      <c r="AF314" s="365"/>
      <c r="AJ314" s="468"/>
    </row>
    <row r="315" spans="1:49" ht="12.75" customHeight="1" x14ac:dyDescent="0.25">
      <c r="A315" s="1136"/>
      <c r="B315" s="474"/>
      <c r="C315" s="493"/>
      <c r="D315" s="451"/>
      <c r="E315" s="494" t="s">
        <v>22</v>
      </c>
      <c r="F315" s="376" t="s">
        <v>1441</v>
      </c>
      <c r="G315" s="302">
        <v>1.5</v>
      </c>
      <c r="H315" s="301">
        <v>1</v>
      </c>
      <c r="I315" s="303">
        <f t="shared" si="29"/>
        <v>1.5</v>
      </c>
      <c r="J315" s="290"/>
      <c r="K315" s="374"/>
      <c r="L315" s="292"/>
      <c r="M315" s="292"/>
      <c r="N315" s="292"/>
      <c r="O315" s="291"/>
      <c r="P315" s="291"/>
      <c r="Q315" s="291"/>
      <c r="R315" s="291"/>
      <c r="S315" s="291"/>
      <c r="T315" s="291"/>
      <c r="U315" s="291"/>
      <c r="V315" s="291"/>
      <c r="W315" s="291"/>
      <c r="X315" s="291"/>
      <c r="Y315" s="291"/>
      <c r="Z315" s="291"/>
      <c r="AA315" s="440"/>
      <c r="AB315" s="460"/>
      <c r="AC315" s="440"/>
      <c r="AD315" s="444"/>
      <c r="AF315" s="365"/>
      <c r="AJ315" s="472"/>
    </row>
    <row r="316" spans="1:49" ht="56.25" customHeight="1" x14ac:dyDescent="0.25">
      <c r="A316" s="1136" t="s">
        <v>556</v>
      </c>
      <c r="B316" s="439" t="s">
        <v>1825</v>
      </c>
      <c r="C316" s="439"/>
      <c r="D316" s="499"/>
      <c r="E316" s="441" t="s">
        <v>488</v>
      </c>
      <c r="F316" s="442" t="s">
        <v>837</v>
      </c>
      <c r="G316" s="643" t="s">
        <v>489</v>
      </c>
      <c r="H316" s="441" t="s">
        <v>1170</v>
      </c>
      <c r="I316" s="442" t="s">
        <v>838</v>
      </c>
      <c r="J316" s="280" t="s">
        <v>1171</v>
      </c>
      <c r="K316" s="280" t="s">
        <v>490</v>
      </c>
      <c r="L316" s="281" t="s">
        <v>489</v>
      </c>
      <c r="M316" s="280" t="s">
        <v>1172</v>
      </c>
      <c r="N316" s="442" t="s">
        <v>838</v>
      </c>
      <c r="O316" s="280" t="s">
        <v>1171</v>
      </c>
      <c r="P316" s="280" t="s">
        <v>826</v>
      </c>
      <c r="Q316" s="280" t="s">
        <v>1173</v>
      </c>
      <c r="R316" s="280" t="s">
        <v>1174</v>
      </c>
      <c r="S316" s="280" t="s">
        <v>839</v>
      </c>
      <c r="T316" s="280" t="s">
        <v>1171</v>
      </c>
      <c r="U316" s="280" t="s">
        <v>1392</v>
      </c>
      <c r="V316" s="280" t="s">
        <v>841</v>
      </c>
      <c r="W316" s="282" t="s">
        <v>1173</v>
      </c>
      <c r="X316" s="280" t="s">
        <v>1394</v>
      </c>
      <c r="Y316" s="280" t="s">
        <v>839</v>
      </c>
      <c r="Z316" s="283"/>
      <c r="AA316" s="440"/>
      <c r="AB316" s="460"/>
      <c r="AC316" s="440"/>
      <c r="AD316" s="444"/>
      <c r="AQ316" s="449"/>
      <c r="AR316" s="449"/>
      <c r="AS316" s="449"/>
    </row>
    <row r="317" spans="1:49" ht="12" customHeight="1" x14ac:dyDescent="0.25">
      <c r="A317" s="1136"/>
      <c r="B317" s="450" t="s">
        <v>1175</v>
      </c>
      <c r="C317" s="439">
        <f>C324</f>
        <v>160.99681884484528</v>
      </c>
      <c r="D317" s="496">
        <f>C317*$D$7</f>
        <v>32.521357406658751</v>
      </c>
      <c r="E317" s="452" t="s">
        <v>1176</v>
      </c>
      <c r="F317" s="453"/>
      <c r="G317" s="454"/>
      <c r="H317" s="454"/>
      <c r="I317" s="455">
        <f>SUM(I318:I327)</f>
        <v>33.119199999999999</v>
      </c>
      <c r="J317" s="290" t="s">
        <v>1176</v>
      </c>
      <c r="K317" s="357"/>
      <c r="L317" s="291"/>
      <c r="M317" s="291"/>
      <c r="N317" s="292">
        <f>SUM(N318:N327)</f>
        <v>4.4213899999999997</v>
      </c>
      <c r="O317" s="291" t="s">
        <v>1176</v>
      </c>
      <c r="P317" s="291"/>
      <c r="Q317" s="293"/>
      <c r="R317" s="294"/>
      <c r="S317" s="292">
        <f>SUM(S318:S327)</f>
        <v>9.9028000000000009</v>
      </c>
      <c r="T317" s="292"/>
      <c r="U317" s="292"/>
      <c r="V317" s="292"/>
      <c r="W317" s="292"/>
      <c r="X317" s="292"/>
      <c r="Y317" s="292">
        <f>SUM(Y318:Y327)</f>
        <v>9.1999999999999998E-3</v>
      </c>
      <c r="Z317" s="296">
        <f>(C317+D317+I317+N317+S317+Y317)*$Z$7</f>
        <v>313.30722460353337</v>
      </c>
      <c r="AA317" s="459">
        <f>C317+D317+I317+N317+S317+Y317+Z317</f>
        <v>554.27799085503739</v>
      </c>
      <c r="AB317" s="460">
        <v>0.3</v>
      </c>
      <c r="AC317" s="461">
        <f>AA317*(1+AB317)</f>
        <v>720.56138811154858</v>
      </c>
      <c r="AD317" s="448"/>
      <c r="AI317" s="449"/>
      <c r="AJ317" s="462"/>
      <c r="AK317" s="463"/>
      <c r="AM317" s="464"/>
      <c r="AN317" s="143"/>
      <c r="AO317" s="464"/>
      <c r="AP317" s="449"/>
      <c r="AQ317" s="449"/>
      <c r="AR317" s="449"/>
      <c r="AS317" s="449"/>
      <c r="AT317" s="449"/>
      <c r="AU317" s="464"/>
      <c r="AV317" s="464"/>
      <c r="AW317" s="465"/>
    </row>
    <row r="318" spans="1:49" ht="12.75" customHeight="1" x14ac:dyDescent="0.25">
      <c r="A318" s="1136"/>
      <c r="B318" s="466" t="s">
        <v>830</v>
      </c>
      <c r="C318" s="487"/>
      <c r="D318" s="500"/>
      <c r="E318" s="300" t="s">
        <v>1437</v>
      </c>
      <c r="F318" s="301" t="s">
        <v>1438</v>
      </c>
      <c r="G318" s="302">
        <v>0.74</v>
      </c>
      <c r="H318" s="301">
        <v>0.1</v>
      </c>
      <c r="I318" s="303">
        <f t="shared" ref="I318:I327" si="30">G318*H318</f>
        <v>7.3999999999999996E-2</v>
      </c>
      <c r="J318" s="290" t="s">
        <v>1291</v>
      </c>
      <c r="K318" s="304">
        <v>2</v>
      </c>
      <c r="L318" s="305">
        <v>750</v>
      </c>
      <c r="M318" s="304">
        <v>2</v>
      </c>
      <c r="N318" s="292">
        <v>1.1745000000000001</v>
      </c>
      <c r="O318" s="467" t="s">
        <v>1578</v>
      </c>
      <c r="P318" s="291">
        <v>188900</v>
      </c>
      <c r="Q318" s="372">
        <v>0.19670000000000001</v>
      </c>
      <c r="R318" s="291">
        <f>P318*Q318</f>
        <v>37156.630000000005</v>
      </c>
      <c r="S318" s="291">
        <v>8.1902000000000008</v>
      </c>
      <c r="T318" s="458" t="s">
        <v>1435</v>
      </c>
      <c r="U318" s="456">
        <v>6785401.3499999996</v>
      </c>
      <c r="V318" s="457">
        <v>1.32E-2</v>
      </c>
      <c r="W318" s="458">
        <v>1508.3</v>
      </c>
      <c r="X318" s="292">
        <v>59.38</v>
      </c>
      <c r="Y318" s="291">
        <v>9.1999999999999998E-3</v>
      </c>
      <c r="Z318" s="291"/>
      <c r="AA318" s="440"/>
      <c r="AB318" s="460"/>
      <c r="AC318" s="440"/>
      <c r="AD318" s="444"/>
      <c r="AF318" s="365"/>
      <c r="AJ318" s="468"/>
      <c r="AT318" s="449"/>
    </row>
    <row r="319" spans="1:49" x14ac:dyDescent="0.25">
      <c r="A319" s="1136"/>
      <c r="B319" s="469" t="s">
        <v>1178</v>
      </c>
      <c r="C319" s="491">
        <f>C307</f>
        <v>43.888814515309463</v>
      </c>
      <c r="D319" s="451"/>
      <c r="E319" s="300" t="s">
        <v>1439</v>
      </c>
      <c r="F319" s="301" t="s">
        <v>1438</v>
      </c>
      <c r="G319" s="302">
        <v>0.27</v>
      </c>
      <c r="H319" s="301">
        <v>0.01</v>
      </c>
      <c r="I319" s="303">
        <f t="shared" si="30"/>
        <v>2.7000000000000001E-3</v>
      </c>
      <c r="J319" s="290" t="s">
        <v>1445</v>
      </c>
      <c r="K319" s="292">
        <v>2</v>
      </c>
      <c r="L319" s="311">
        <v>95</v>
      </c>
      <c r="M319" s="304">
        <v>2</v>
      </c>
      <c r="N319" s="292">
        <v>3.1146400000000001</v>
      </c>
      <c r="O319" s="291" t="s">
        <v>1580</v>
      </c>
      <c r="P319" s="291">
        <v>39500</v>
      </c>
      <c r="Q319" s="372">
        <v>0.19670000000000001</v>
      </c>
      <c r="R319" s="291">
        <f>P319*Q319</f>
        <v>7769.6500000000005</v>
      </c>
      <c r="S319" s="291">
        <v>1.7125999999999999</v>
      </c>
      <c r="T319" s="291"/>
      <c r="U319" s="291"/>
      <c r="V319" s="291"/>
      <c r="W319" s="372"/>
      <c r="X319" s="291"/>
      <c r="Y319" s="291"/>
      <c r="Z319" s="291"/>
      <c r="AA319" s="440"/>
      <c r="AB319" s="460"/>
      <c r="AC319" s="440"/>
      <c r="AD319" s="444"/>
      <c r="AF319" s="365"/>
      <c r="AJ319" s="468"/>
      <c r="AM319" s="465"/>
    </row>
    <row r="320" spans="1:49" ht="12.75" customHeight="1" x14ac:dyDescent="0.25">
      <c r="A320" s="1136"/>
      <c r="B320" s="452" t="s">
        <v>1179</v>
      </c>
      <c r="C320" s="487">
        <f>C308</f>
        <v>19.495759833054819</v>
      </c>
      <c r="D320" s="451"/>
      <c r="E320" s="300" t="s">
        <v>1440</v>
      </c>
      <c r="F320" s="301" t="s">
        <v>1441</v>
      </c>
      <c r="G320" s="302">
        <v>5.92</v>
      </c>
      <c r="H320" s="471">
        <v>1</v>
      </c>
      <c r="I320" s="303">
        <f t="shared" si="30"/>
        <v>5.92</v>
      </c>
      <c r="J320" s="290" t="s">
        <v>1513</v>
      </c>
      <c r="K320" s="292">
        <v>2</v>
      </c>
      <c r="L320" s="292">
        <v>25</v>
      </c>
      <c r="M320" s="304">
        <v>0.5</v>
      </c>
      <c r="N320" s="292">
        <v>0.13225000000000001</v>
      </c>
      <c r="O320" s="291"/>
      <c r="P320" s="291"/>
      <c r="Q320" s="372"/>
      <c r="R320" s="291"/>
      <c r="S320" s="291"/>
      <c r="T320" s="291"/>
      <c r="U320" s="291"/>
      <c r="V320" s="291"/>
      <c r="W320" s="372"/>
      <c r="X320" s="291"/>
      <c r="Y320" s="291"/>
      <c r="Z320" s="291"/>
      <c r="AA320" s="440"/>
      <c r="AB320" s="460"/>
      <c r="AC320" s="440"/>
      <c r="AD320" s="444"/>
      <c r="AF320" s="365"/>
      <c r="AJ320" s="468"/>
    </row>
    <row r="321" spans="1:49" ht="12.75" customHeight="1" x14ac:dyDescent="0.25">
      <c r="A321" s="1136"/>
      <c r="B321" s="452" t="s">
        <v>831</v>
      </c>
      <c r="C321" s="492"/>
      <c r="D321" s="451"/>
      <c r="E321" s="300" t="s">
        <v>1442</v>
      </c>
      <c r="F321" s="301" t="s">
        <v>1443</v>
      </c>
      <c r="G321" s="302">
        <v>419.5</v>
      </c>
      <c r="H321" s="301">
        <v>0.01</v>
      </c>
      <c r="I321" s="303">
        <f t="shared" si="30"/>
        <v>4.1950000000000003</v>
      </c>
      <c r="J321" s="290"/>
      <c r="K321" s="374"/>
      <c r="L321" s="292"/>
      <c r="M321" s="292"/>
      <c r="N321" s="292"/>
      <c r="O321" s="291"/>
      <c r="P321" s="291"/>
      <c r="Q321" s="291"/>
      <c r="R321" s="291"/>
      <c r="S321" s="291"/>
      <c r="T321" s="291"/>
      <c r="U321" s="291"/>
      <c r="V321" s="291"/>
      <c r="W321" s="291"/>
      <c r="X321" s="291"/>
      <c r="Y321" s="291"/>
      <c r="Z321" s="291"/>
      <c r="AA321" s="440"/>
      <c r="AB321" s="460"/>
      <c r="AC321" s="440"/>
      <c r="AD321" s="444"/>
      <c r="AF321" s="365"/>
      <c r="AJ321" s="468"/>
    </row>
    <row r="322" spans="1:49" ht="12.75" customHeight="1" x14ac:dyDescent="0.25">
      <c r="A322" s="1136"/>
      <c r="B322" s="469" t="s">
        <v>1178</v>
      </c>
      <c r="C322" s="493">
        <v>2.54</v>
      </c>
      <c r="D322" s="451"/>
      <c r="E322" s="300" t="s">
        <v>1444</v>
      </c>
      <c r="F322" s="301" t="s">
        <v>1443</v>
      </c>
      <c r="G322" s="302">
        <v>872</v>
      </c>
      <c r="H322" s="301">
        <v>5.0000000000000001E-3</v>
      </c>
      <c r="I322" s="303">
        <f t="shared" si="30"/>
        <v>4.3600000000000003</v>
      </c>
      <c r="J322" s="290"/>
      <c r="K322" s="374"/>
      <c r="L322" s="292"/>
      <c r="M322" s="292"/>
      <c r="N322" s="292"/>
      <c r="O322" s="291"/>
      <c r="P322" s="291"/>
      <c r="Q322" s="291"/>
      <c r="R322" s="291"/>
      <c r="S322" s="291"/>
      <c r="T322" s="291"/>
      <c r="U322" s="291"/>
      <c r="V322" s="291"/>
      <c r="W322" s="291"/>
      <c r="X322" s="291"/>
      <c r="Y322" s="291"/>
      <c r="Z322" s="291"/>
      <c r="AA322" s="440"/>
      <c r="AB322" s="460"/>
      <c r="AC322" s="440"/>
      <c r="AD322" s="444"/>
      <c r="AF322" s="365"/>
      <c r="AJ322" s="472"/>
    </row>
    <row r="323" spans="1:49" ht="12.75" customHeight="1" x14ac:dyDescent="0.25">
      <c r="A323" s="1136"/>
      <c r="B323" s="452" t="s">
        <v>1179</v>
      </c>
      <c r="C323" s="493">
        <v>2.54</v>
      </c>
      <c r="D323" s="451"/>
      <c r="E323" s="494" t="s">
        <v>581</v>
      </c>
      <c r="F323" s="376" t="s">
        <v>1438</v>
      </c>
      <c r="G323" s="302">
        <v>16.39</v>
      </c>
      <c r="H323" s="301">
        <v>0.25</v>
      </c>
      <c r="I323" s="303">
        <f t="shared" si="30"/>
        <v>4.0975000000000001</v>
      </c>
      <c r="J323" s="290"/>
      <c r="K323" s="374"/>
      <c r="L323" s="305"/>
      <c r="M323" s="304"/>
      <c r="N323" s="292"/>
      <c r="O323" s="291"/>
      <c r="P323" s="291"/>
      <c r="Q323" s="291"/>
      <c r="R323" s="291"/>
      <c r="S323" s="291"/>
      <c r="T323" s="291"/>
      <c r="U323" s="291"/>
      <c r="V323" s="291"/>
      <c r="W323" s="291"/>
      <c r="X323" s="291"/>
      <c r="Y323" s="291"/>
      <c r="Z323" s="291"/>
      <c r="AA323" s="440"/>
      <c r="AB323" s="460"/>
      <c r="AC323" s="440"/>
      <c r="AD323" s="444"/>
      <c r="AF323" s="365"/>
      <c r="AJ323" s="472"/>
    </row>
    <row r="324" spans="1:49" ht="12.75" customHeight="1" x14ac:dyDescent="0.25">
      <c r="A324" s="1136"/>
      <c r="B324" s="474" t="s">
        <v>1181</v>
      </c>
      <c r="C324" s="487">
        <f>C319*C322+C320*C323</f>
        <v>160.99681884484528</v>
      </c>
      <c r="D324" s="451"/>
      <c r="E324" s="494" t="s">
        <v>13</v>
      </c>
      <c r="F324" s="376" t="s">
        <v>1441</v>
      </c>
      <c r="G324" s="302">
        <v>1.5</v>
      </c>
      <c r="H324" s="301">
        <v>1</v>
      </c>
      <c r="I324" s="303">
        <f t="shared" si="30"/>
        <v>1.5</v>
      </c>
      <c r="J324" s="290"/>
      <c r="K324" s="374"/>
      <c r="L324" s="292"/>
      <c r="M324" s="292"/>
      <c r="N324" s="292"/>
      <c r="O324" s="291"/>
      <c r="P324" s="291"/>
      <c r="Q324" s="291"/>
      <c r="R324" s="291"/>
      <c r="S324" s="291"/>
      <c r="T324" s="291"/>
      <c r="U324" s="291"/>
      <c r="V324" s="291"/>
      <c r="W324" s="291"/>
      <c r="X324" s="291"/>
      <c r="Y324" s="291"/>
      <c r="Z324" s="291"/>
      <c r="AA324" s="440"/>
      <c r="AB324" s="460"/>
      <c r="AC324" s="440"/>
      <c r="AD324" s="444"/>
      <c r="AF324" s="365"/>
      <c r="AJ324" s="468"/>
    </row>
    <row r="325" spans="1:49" ht="12.75" customHeight="1" x14ac:dyDescent="0.25">
      <c r="A325" s="1136"/>
      <c r="B325" s="474"/>
      <c r="C325" s="487"/>
      <c r="D325" s="451"/>
      <c r="E325" s="494" t="s">
        <v>18</v>
      </c>
      <c r="F325" s="376" t="s">
        <v>1438</v>
      </c>
      <c r="G325" s="302">
        <v>0.94</v>
      </c>
      <c r="H325" s="301">
        <v>0.5</v>
      </c>
      <c r="I325" s="303">
        <f t="shared" si="30"/>
        <v>0.47</v>
      </c>
      <c r="J325" s="290"/>
      <c r="K325" s="374"/>
      <c r="L325" s="292"/>
      <c r="M325" s="292"/>
      <c r="N325" s="292"/>
      <c r="O325" s="291"/>
      <c r="P325" s="291"/>
      <c r="Q325" s="291"/>
      <c r="R325" s="291"/>
      <c r="S325" s="291"/>
      <c r="T325" s="291"/>
      <c r="U325" s="291"/>
      <c r="V325" s="291"/>
      <c r="W325" s="291"/>
      <c r="X325" s="291"/>
      <c r="Y325" s="291"/>
      <c r="Z325" s="291"/>
      <c r="AA325" s="440"/>
      <c r="AB325" s="460"/>
      <c r="AC325" s="440"/>
      <c r="AD325" s="444"/>
      <c r="AF325" s="365"/>
      <c r="AJ325" s="468"/>
    </row>
    <row r="326" spans="1:49" ht="12.75" customHeight="1" x14ac:dyDescent="0.25">
      <c r="A326" s="1136"/>
      <c r="B326" s="474"/>
      <c r="C326" s="487"/>
      <c r="D326" s="451"/>
      <c r="E326" s="494" t="s">
        <v>24</v>
      </c>
      <c r="F326" s="376" t="s">
        <v>1</v>
      </c>
      <c r="G326" s="302">
        <v>110</v>
      </c>
      <c r="H326" s="301">
        <v>0.1</v>
      </c>
      <c r="I326" s="303">
        <f t="shared" si="30"/>
        <v>11</v>
      </c>
      <c r="J326" s="290"/>
      <c r="K326" s="374"/>
      <c r="L326" s="292"/>
      <c r="M326" s="292"/>
      <c r="N326" s="292"/>
      <c r="O326" s="291"/>
      <c r="P326" s="291"/>
      <c r="Q326" s="291"/>
      <c r="R326" s="291"/>
      <c r="S326" s="291"/>
      <c r="T326" s="291"/>
      <c r="U326" s="291"/>
      <c r="V326" s="291"/>
      <c r="W326" s="291"/>
      <c r="X326" s="291"/>
      <c r="Y326" s="291"/>
      <c r="Z326" s="291"/>
      <c r="AA326" s="440"/>
      <c r="AB326" s="460"/>
      <c r="AC326" s="440"/>
      <c r="AD326" s="444"/>
      <c r="AF326" s="365"/>
      <c r="AJ326" s="468"/>
    </row>
    <row r="327" spans="1:49" ht="12.75" customHeight="1" x14ac:dyDescent="0.25">
      <c r="A327" s="1136"/>
      <c r="B327" s="474"/>
      <c r="C327" s="487"/>
      <c r="D327" s="451"/>
      <c r="E327" s="494" t="s">
        <v>22</v>
      </c>
      <c r="F327" s="376" t="s">
        <v>1441</v>
      </c>
      <c r="G327" s="302">
        <v>1.5</v>
      </c>
      <c r="H327" s="301">
        <v>1</v>
      </c>
      <c r="I327" s="303">
        <f t="shared" si="30"/>
        <v>1.5</v>
      </c>
      <c r="J327" s="290"/>
      <c r="K327" s="374"/>
      <c r="L327" s="292"/>
      <c r="M327" s="292"/>
      <c r="N327" s="292"/>
      <c r="O327" s="291"/>
      <c r="P327" s="291"/>
      <c r="Q327" s="291"/>
      <c r="R327" s="291"/>
      <c r="S327" s="291"/>
      <c r="T327" s="291"/>
      <c r="U327" s="291"/>
      <c r="V327" s="291"/>
      <c r="W327" s="291"/>
      <c r="X327" s="291"/>
      <c r="Y327" s="291"/>
      <c r="Z327" s="291"/>
      <c r="AA327" s="440"/>
      <c r="AB327" s="460"/>
      <c r="AC327" s="440"/>
      <c r="AD327" s="444"/>
      <c r="AF327" s="365"/>
      <c r="AJ327" s="468"/>
    </row>
    <row r="328" spans="1:49" ht="56.25" customHeight="1" x14ac:dyDescent="0.25">
      <c r="A328" s="1136" t="s">
        <v>558</v>
      </c>
      <c r="B328" s="439" t="s">
        <v>1826</v>
      </c>
      <c r="C328" s="439"/>
      <c r="D328" s="499"/>
      <c r="E328" s="644" t="s">
        <v>488</v>
      </c>
      <c r="F328" s="442" t="s">
        <v>837</v>
      </c>
      <c r="G328" s="439" t="s">
        <v>489</v>
      </c>
      <c r="H328" s="441" t="s">
        <v>1170</v>
      </c>
      <c r="I328" s="442" t="s">
        <v>838</v>
      </c>
      <c r="J328" s="280" t="s">
        <v>1171</v>
      </c>
      <c r="K328" s="280" t="s">
        <v>490</v>
      </c>
      <c r="L328" s="281" t="s">
        <v>489</v>
      </c>
      <c r="M328" s="280" t="s">
        <v>1172</v>
      </c>
      <c r="N328" s="442" t="s">
        <v>838</v>
      </c>
      <c r="O328" s="280" t="s">
        <v>1171</v>
      </c>
      <c r="P328" s="280" t="s">
        <v>826</v>
      </c>
      <c r="Q328" s="280" t="s">
        <v>1173</v>
      </c>
      <c r="R328" s="280" t="s">
        <v>1174</v>
      </c>
      <c r="S328" s="280" t="s">
        <v>839</v>
      </c>
      <c r="T328" s="280" t="s">
        <v>1171</v>
      </c>
      <c r="U328" s="280" t="s">
        <v>1392</v>
      </c>
      <c r="V328" s="280" t="s">
        <v>841</v>
      </c>
      <c r="W328" s="282" t="s">
        <v>1173</v>
      </c>
      <c r="X328" s="280" t="s">
        <v>1394</v>
      </c>
      <c r="Y328" s="280" t="s">
        <v>839</v>
      </c>
      <c r="Z328" s="283"/>
      <c r="AA328" s="440"/>
      <c r="AB328" s="460"/>
      <c r="AC328" s="440"/>
      <c r="AD328" s="444"/>
      <c r="AQ328" s="449"/>
      <c r="AR328" s="449"/>
      <c r="AS328" s="449"/>
    </row>
    <row r="329" spans="1:49" ht="12" customHeight="1" x14ac:dyDescent="0.25">
      <c r="A329" s="1136"/>
      <c r="B329" s="450" t="s">
        <v>1175</v>
      </c>
      <c r="C329" s="439">
        <f>C336</f>
        <v>221.84601021927497</v>
      </c>
      <c r="D329" s="496">
        <f>C329*$D$7</f>
        <v>44.812894064293545</v>
      </c>
      <c r="E329" s="452" t="s">
        <v>1176</v>
      </c>
      <c r="F329" s="453"/>
      <c r="G329" s="454"/>
      <c r="H329" s="454"/>
      <c r="I329" s="455">
        <f>SUM(I330:I339)</f>
        <v>33.119199999999999</v>
      </c>
      <c r="J329" s="290" t="s">
        <v>1176</v>
      </c>
      <c r="K329" s="357"/>
      <c r="L329" s="291"/>
      <c r="M329" s="291"/>
      <c r="N329" s="292">
        <f>SUM(N330:N339)</f>
        <v>4.4213899999999997</v>
      </c>
      <c r="O329" s="291" t="s">
        <v>1176</v>
      </c>
      <c r="P329" s="291"/>
      <c r="Q329" s="293"/>
      <c r="R329" s="294"/>
      <c r="S329" s="292">
        <f>SUM(S330:S339)</f>
        <v>9.9028000000000009</v>
      </c>
      <c r="T329" s="292"/>
      <c r="U329" s="292"/>
      <c r="V329" s="292"/>
      <c r="W329" s="292"/>
      <c r="X329" s="292"/>
      <c r="Y329" s="292">
        <f>SUM(Y330:Y339)</f>
        <v>9.1999999999999998E-3</v>
      </c>
      <c r="Z329" s="296">
        <f>(C329+D329+I329+N329+S329+Y329)*$Z$7</f>
        <v>408.40389903287377</v>
      </c>
      <c r="AA329" s="459">
        <f>C329+D329+I329+N329+S329+Y329+Z329</f>
        <v>722.51539331644221</v>
      </c>
      <c r="AB329" s="460">
        <v>0.3</v>
      </c>
      <c r="AC329" s="461">
        <f>AA329*(1+AB329)</f>
        <v>939.2700113113749</v>
      </c>
      <c r="AD329" s="448"/>
      <c r="AI329" s="449"/>
      <c r="AJ329" s="462"/>
      <c r="AK329" s="463"/>
      <c r="AM329" s="464"/>
      <c r="AN329" s="143"/>
      <c r="AO329" s="464"/>
      <c r="AP329" s="449"/>
      <c r="AQ329" s="449"/>
      <c r="AR329" s="449"/>
      <c r="AS329" s="449"/>
      <c r="AT329" s="449"/>
      <c r="AU329" s="464"/>
      <c r="AV329" s="464"/>
      <c r="AW329" s="465"/>
    </row>
    <row r="330" spans="1:49" ht="12.75" customHeight="1" x14ac:dyDescent="0.25">
      <c r="A330" s="1136"/>
      <c r="B330" s="466" t="s">
        <v>830</v>
      </c>
      <c r="C330" s="439"/>
      <c r="D330" s="501"/>
      <c r="E330" s="300" t="s">
        <v>1437</v>
      </c>
      <c r="F330" s="301" t="s">
        <v>1438</v>
      </c>
      <c r="G330" s="302">
        <v>0.74</v>
      </c>
      <c r="H330" s="301">
        <v>0.1</v>
      </c>
      <c r="I330" s="303">
        <f t="shared" ref="I330:I339" si="31">G330*H330</f>
        <v>7.3999999999999996E-2</v>
      </c>
      <c r="J330" s="290" t="s">
        <v>1291</v>
      </c>
      <c r="K330" s="304">
        <v>2</v>
      </c>
      <c r="L330" s="305">
        <v>750</v>
      </c>
      <c r="M330" s="304">
        <v>2</v>
      </c>
      <c r="N330" s="292">
        <v>1.1745000000000001</v>
      </c>
      <c r="O330" s="467" t="s">
        <v>1578</v>
      </c>
      <c r="P330" s="291">
        <v>188900</v>
      </c>
      <c r="Q330" s="372">
        <v>0.19670000000000001</v>
      </c>
      <c r="R330" s="291">
        <f>P330*Q330</f>
        <v>37156.630000000005</v>
      </c>
      <c r="S330" s="291">
        <v>8.1902000000000008</v>
      </c>
      <c r="T330" s="458" t="s">
        <v>1435</v>
      </c>
      <c r="U330" s="456">
        <v>6785401.3499999996</v>
      </c>
      <c r="V330" s="457">
        <v>1.32E-2</v>
      </c>
      <c r="W330" s="458">
        <v>1508.3</v>
      </c>
      <c r="X330" s="292">
        <v>59.38</v>
      </c>
      <c r="Y330" s="291">
        <v>9.1999999999999998E-3</v>
      </c>
      <c r="Z330" s="291"/>
      <c r="AA330" s="440"/>
      <c r="AB330" s="460"/>
      <c r="AC330" s="440"/>
      <c r="AD330" s="444"/>
      <c r="AF330" s="365"/>
      <c r="AJ330" s="468"/>
      <c r="AT330" s="449"/>
    </row>
    <row r="331" spans="1:49" x14ac:dyDescent="0.25">
      <c r="A331" s="1136"/>
      <c r="B331" s="469" t="s">
        <v>1178</v>
      </c>
      <c r="C331" s="491">
        <f>C319</f>
        <v>43.888814515309463</v>
      </c>
      <c r="D331" s="451"/>
      <c r="E331" s="300" t="s">
        <v>1439</v>
      </c>
      <c r="F331" s="301" t="s">
        <v>1438</v>
      </c>
      <c r="G331" s="302">
        <v>0.27</v>
      </c>
      <c r="H331" s="301">
        <v>0.01</v>
      </c>
      <c r="I331" s="303">
        <f t="shared" si="31"/>
        <v>2.7000000000000001E-3</v>
      </c>
      <c r="J331" s="290" t="s">
        <v>1445</v>
      </c>
      <c r="K331" s="292">
        <v>2</v>
      </c>
      <c r="L331" s="311">
        <v>95</v>
      </c>
      <c r="M331" s="304">
        <v>2</v>
      </c>
      <c r="N331" s="292">
        <v>3.1146400000000001</v>
      </c>
      <c r="O331" s="291" t="s">
        <v>1580</v>
      </c>
      <c r="P331" s="291">
        <v>39500</v>
      </c>
      <c r="Q331" s="372">
        <v>0.19670000000000001</v>
      </c>
      <c r="R331" s="291">
        <f>P331*Q331</f>
        <v>7769.6500000000005</v>
      </c>
      <c r="S331" s="291">
        <v>1.7125999999999999</v>
      </c>
      <c r="T331" s="291"/>
      <c r="U331" s="291"/>
      <c r="V331" s="291"/>
      <c r="W331" s="372"/>
      <c r="X331" s="291"/>
      <c r="Y331" s="291"/>
      <c r="Z331" s="291"/>
      <c r="AA331" s="440"/>
      <c r="AB331" s="460"/>
      <c r="AC331" s="440"/>
      <c r="AD331" s="444"/>
      <c r="AF331" s="365"/>
      <c r="AJ331" s="468"/>
      <c r="AM331" s="465"/>
    </row>
    <row r="332" spans="1:49" ht="12.75" customHeight="1" x14ac:dyDescent="0.25">
      <c r="A332" s="1136"/>
      <c r="B332" s="452" t="s">
        <v>1179</v>
      </c>
      <c r="C332" s="487">
        <f>C320</f>
        <v>19.495759833054819</v>
      </c>
      <c r="D332" s="451"/>
      <c r="E332" s="300" t="s">
        <v>1440</v>
      </c>
      <c r="F332" s="301" t="s">
        <v>1441</v>
      </c>
      <c r="G332" s="302">
        <v>5.92</v>
      </c>
      <c r="H332" s="471">
        <v>1</v>
      </c>
      <c r="I332" s="303">
        <f t="shared" si="31"/>
        <v>5.92</v>
      </c>
      <c r="J332" s="290" t="s">
        <v>1513</v>
      </c>
      <c r="K332" s="292">
        <v>2</v>
      </c>
      <c r="L332" s="292">
        <v>25</v>
      </c>
      <c r="M332" s="304">
        <v>0.5</v>
      </c>
      <c r="N332" s="292">
        <v>0.13225000000000001</v>
      </c>
      <c r="O332" s="291"/>
      <c r="P332" s="291"/>
      <c r="Q332" s="372"/>
      <c r="R332" s="291"/>
      <c r="S332" s="291"/>
      <c r="T332" s="291"/>
      <c r="U332" s="291"/>
      <c r="V332" s="291"/>
      <c r="W332" s="372"/>
      <c r="X332" s="291"/>
      <c r="Y332" s="291"/>
      <c r="Z332" s="291"/>
      <c r="AA332" s="440"/>
      <c r="AB332" s="460"/>
      <c r="AC332" s="440"/>
      <c r="AD332" s="444"/>
      <c r="AF332" s="365"/>
      <c r="AJ332" s="468"/>
    </row>
    <row r="333" spans="1:49" ht="12.75" customHeight="1" x14ac:dyDescent="0.25">
      <c r="A333" s="1136"/>
      <c r="B333" s="452" t="s">
        <v>831</v>
      </c>
      <c r="C333" s="492"/>
      <c r="D333" s="451"/>
      <c r="E333" s="300" t="s">
        <v>1442</v>
      </c>
      <c r="F333" s="301" t="s">
        <v>1443</v>
      </c>
      <c r="G333" s="302">
        <v>419.5</v>
      </c>
      <c r="H333" s="301">
        <v>0.01</v>
      </c>
      <c r="I333" s="303">
        <f t="shared" si="31"/>
        <v>4.1950000000000003</v>
      </c>
      <c r="J333" s="290"/>
      <c r="K333" s="374"/>
      <c r="L333" s="292"/>
      <c r="M333" s="292"/>
      <c r="N333" s="292"/>
      <c r="O333" s="291"/>
      <c r="P333" s="291"/>
      <c r="Q333" s="291"/>
      <c r="R333" s="291"/>
      <c r="S333" s="291"/>
      <c r="T333" s="291"/>
      <c r="U333" s="291"/>
      <c r="V333" s="291"/>
      <c r="W333" s="291"/>
      <c r="X333" s="291"/>
      <c r="Y333" s="291"/>
      <c r="Z333" s="291"/>
      <c r="AA333" s="440"/>
      <c r="AB333" s="460"/>
      <c r="AC333" s="440"/>
      <c r="AD333" s="444"/>
      <c r="AF333" s="365"/>
      <c r="AJ333" s="468"/>
    </row>
    <row r="334" spans="1:49" ht="12.75" customHeight="1" x14ac:dyDescent="0.25">
      <c r="A334" s="1136"/>
      <c r="B334" s="469" t="s">
        <v>1178</v>
      </c>
      <c r="C334" s="493">
        <v>3.5</v>
      </c>
      <c r="D334" s="451"/>
      <c r="E334" s="300" t="s">
        <v>1444</v>
      </c>
      <c r="F334" s="301" t="s">
        <v>1443</v>
      </c>
      <c r="G334" s="302">
        <v>872</v>
      </c>
      <c r="H334" s="301">
        <v>5.0000000000000001E-3</v>
      </c>
      <c r="I334" s="303">
        <f t="shared" si="31"/>
        <v>4.3600000000000003</v>
      </c>
      <c r="J334" s="290"/>
      <c r="K334" s="374"/>
      <c r="L334" s="292"/>
      <c r="M334" s="292"/>
      <c r="N334" s="292"/>
      <c r="O334" s="291"/>
      <c r="P334" s="291"/>
      <c r="Q334" s="291"/>
      <c r="R334" s="291"/>
      <c r="S334" s="291"/>
      <c r="T334" s="291"/>
      <c r="U334" s="291"/>
      <c r="V334" s="291"/>
      <c r="W334" s="291"/>
      <c r="X334" s="291"/>
      <c r="Y334" s="291"/>
      <c r="Z334" s="291"/>
      <c r="AA334" s="440"/>
      <c r="AB334" s="460"/>
      <c r="AC334" s="440"/>
      <c r="AD334" s="444"/>
      <c r="AF334" s="365"/>
      <c r="AJ334" s="472"/>
    </row>
    <row r="335" spans="1:49" ht="12.75" customHeight="1" x14ac:dyDescent="0.25">
      <c r="A335" s="1136"/>
      <c r="B335" s="452" t="s">
        <v>1179</v>
      </c>
      <c r="C335" s="493">
        <v>3.5</v>
      </c>
      <c r="D335" s="451"/>
      <c r="E335" s="494" t="s">
        <v>581</v>
      </c>
      <c r="F335" s="376" t="s">
        <v>1438</v>
      </c>
      <c r="G335" s="302">
        <v>16.39</v>
      </c>
      <c r="H335" s="301">
        <v>0.25</v>
      </c>
      <c r="I335" s="303">
        <f t="shared" si="31"/>
        <v>4.0975000000000001</v>
      </c>
      <c r="J335" s="290"/>
      <c r="K335" s="374"/>
      <c r="L335" s="305"/>
      <c r="M335" s="304"/>
      <c r="N335" s="292"/>
      <c r="O335" s="291"/>
      <c r="P335" s="291"/>
      <c r="Q335" s="291"/>
      <c r="R335" s="291"/>
      <c r="S335" s="291"/>
      <c r="T335" s="291"/>
      <c r="U335" s="291"/>
      <c r="V335" s="291"/>
      <c r="W335" s="291"/>
      <c r="X335" s="291"/>
      <c r="Y335" s="291"/>
      <c r="Z335" s="291"/>
      <c r="AA335" s="440"/>
      <c r="AB335" s="460"/>
      <c r="AC335" s="440"/>
      <c r="AD335" s="444"/>
      <c r="AF335" s="365"/>
      <c r="AJ335" s="472"/>
    </row>
    <row r="336" spans="1:49" ht="12.75" customHeight="1" x14ac:dyDescent="0.25">
      <c r="A336" s="1136"/>
      <c r="B336" s="474" t="s">
        <v>1181</v>
      </c>
      <c r="C336" s="487">
        <f>C331*C334+C332*C335</f>
        <v>221.84601021927497</v>
      </c>
      <c r="D336" s="451"/>
      <c r="E336" s="494" t="s">
        <v>13</v>
      </c>
      <c r="F336" s="376" t="s">
        <v>1441</v>
      </c>
      <c r="G336" s="302">
        <v>1.5</v>
      </c>
      <c r="H336" s="301">
        <v>1</v>
      </c>
      <c r="I336" s="303">
        <f t="shared" si="31"/>
        <v>1.5</v>
      </c>
      <c r="J336" s="290"/>
      <c r="K336" s="374"/>
      <c r="L336" s="292"/>
      <c r="M336" s="292"/>
      <c r="N336" s="292"/>
      <c r="O336" s="291"/>
      <c r="P336" s="291"/>
      <c r="Q336" s="291"/>
      <c r="R336" s="291"/>
      <c r="S336" s="291"/>
      <c r="T336" s="291"/>
      <c r="U336" s="291"/>
      <c r="V336" s="291"/>
      <c r="W336" s="291"/>
      <c r="X336" s="291"/>
      <c r="Y336" s="291"/>
      <c r="Z336" s="291"/>
      <c r="AA336" s="440"/>
      <c r="AB336" s="460"/>
      <c r="AC336" s="440"/>
      <c r="AD336" s="444"/>
      <c r="AF336" s="365"/>
      <c r="AJ336" s="468"/>
    </row>
    <row r="337" spans="1:49" ht="12.75" customHeight="1" x14ac:dyDescent="0.25">
      <c r="A337" s="1136"/>
      <c r="B337" s="474"/>
      <c r="C337" s="487"/>
      <c r="D337" s="451"/>
      <c r="E337" s="494" t="s">
        <v>18</v>
      </c>
      <c r="F337" s="376" t="s">
        <v>1438</v>
      </c>
      <c r="G337" s="302">
        <v>0.94</v>
      </c>
      <c r="H337" s="301">
        <v>0.5</v>
      </c>
      <c r="I337" s="303">
        <f t="shared" si="31"/>
        <v>0.47</v>
      </c>
      <c r="J337" s="290"/>
      <c r="K337" s="374"/>
      <c r="L337" s="292"/>
      <c r="M337" s="292"/>
      <c r="N337" s="292"/>
      <c r="O337" s="291"/>
      <c r="P337" s="291"/>
      <c r="Q337" s="291"/>
      <c r="R337" s="291"/>
      <c r="S337" s="291"/>
      <c r="T337" s="291"/>
      <c r="U337" s="291"/>
      <c r="V337" s="291"/>
      <c r="W337" s="291"/>
      <c r="X337" s="291"/>
      <c r="Y337" s="291"/>
      <c r="Z337" s="291"/>
      <c r="AA337" s="440"/>
      <c r="AB337" s="460"/>
      <c r="AC337" s="440"/>
      <c r="AD337" s="444"/>
      <c r="AF337" s="365"/>
      <c r="AJ337" s="468"/>
    </row>
    <row r="338" spans="1:49" ht="12.75" customHeight="1" x14ac:dyDescent="0.25">
      <c r="A338" s="1136"/>
      <c r="B338" s="474"/>
      <c r="C338" s="487"/>
      <c r="D338" s="451"/>
      <c r="E338" s="494" t="s">
        <v>24</v>
      </c>
      <c r="F338" s="376" t="s">
        <v>1</v>
      </c>
      <c r="G338" s="302">
        <v>110</v>
      </c>
      <c r="H338" s="301">
        <v>0.1</v>
      </c>
      <c r="I338" s="303">
        <f t="shared" si="31"/>
        <v>11</v>
      </c>
      <c r="J338" s="290"/>
      <c r="K338" s="374"/>
      <c r="L338" s="292"/>
      <c r="M338" s="292"/>
      <c r="N338" s="292"/>
      <c r="O338" s="291"/>
      <c r="P338" s="291"/>
      <c r="Q338" s="291"/>
      <c r="R338" s="291"/>
      <c r="S338" s="291"/>
      <c r="T338" s="291"/>
      <c r="U338" s="291"/>
      <c r="V338" s="291"/>
      <c r="W338" s="291"/>
      <c r="X338" s="291"/>
      <c r="Y338" s="291"/>
      <c r="Z338" s="291"/>
      <c r="AA338" s="440"/>
      <c r="AB338" s="460"/>
      <c r="AC338" s="440"/>
      <c r="AD338" s="444"/>
      <c r="AF338" s="365"/>
      <c r="AJ338" s="468"/>
    </row>
    <row r="339" spans="1:49" ht="12.75" customHeight="1" x14ac:dyDescent="0.25">
      <c r="A339" s="1136"/>
      <c r="B339" s="474"/>
      <c r="C339" s="487"/>
      <c r="D339" s="451"/>
      <c r="E339" s="494" t="s">
        <v>22</v>
      </c>
      <c r="F339" s="376" t="s">
        <v>1441</v>
      </c>
      <c r="G339" s="302">
        <v>1.5</v>
      </c>
      <c r="H339" s="301">
        <v>1</v>
      </c>
      <c r="I339" s="303">
        <f t="shared" si="31"/>
        <v>1.5</v>
      </c>
      <c r="J339" s="290"/>
      <c r="K339" s="374"/>
      <c r="L339" s="292"/>
      <c r="M339" s="292"/>
      <c r="N339" s="292"/>
      <c r="O339" s="291"/>
      <c r="P339" s="291"/>
      <c r="Q339" s="291"/>
      <c r="R339" s="291"/>
      <c r="S339" s="291"/>
      <c r="T339" s="291"/>
      <c r="U339" s="291"/>
      <c r="V339" s="291"/>
      <c r="W339" s="291"/>
      <c r="X339" s="291"/>
      <c r="Y339" s="291"/>
      <c r="Z339" s="291"/>
      <c r="AA339" s="440"/>
      <c r="AB339" s="460"/>
      <c r="AC339" s="440"/>
      <c r="AD339" s="444"/>
      <c r="AF339" s="365"/>
      <c r="AJ339" s="468"/>
    </row>
    <row r="340" spans="1:49" ht="56.25" customHeight="1" x14ac:dyDescent="0.25">
      <c r="A340" s="1137" t="s">
        <v>1822</v>
      </c>
      <c r="B340" s="439" t="s">
        <v>1823</v>
      </c>
      <c r="C340" s="439"/>
      <c r="D340" s="499"/>
      <c r="E340" s="441" t="s">
        <v>488</v>
      </c>
      <c r="F340" s="442" t="s">
        <v>837</v>
      </c>
      <c r="G340" s="439" t="s">
        <v>489</v>
      </c>
      <c r="H340" s="441" t="s">
        <v>1170</v>
      </c>
      <c r="I340" s="442" t="s">
        <v>838</v>
      </c>
      <c r="J340" s="280" t="s">
        <v>1171</v>
      </c>
      <c r="K340" s="280" t="s">
        <v>490</v>
      </c>
      <c r="L340" s="281" t="s">
        <v>489</v>
      </c>
      <c r="M340" s="280" t="s">
        <v>1172</v>
      </c>
      <c r="N340" s="442" t="s">
        <v>838</v>
      </c>
      <c r="O340" s="280" t="s">
        <v>1171</v>
      </c>
      <c r="P340" s="280" t="s">
        <v>826</v>
      </c>
      <c r="Q340" s="280" t="s">
        <v>1173</v>
      </c>
      <c r="R340" s="280" t="s">
        <v>1174</v>
      </c>
      <c r="S340" s="280" t="s">
        <v>839</v>
      </c>
      <c r="T340" s="280" t="s">
        <v>1171</v>
      </c>
      <c r="U340" s="280" t="s">
        <v>1392</v>
      </c>
      <c r="V340" s="280" t="s">
        <v>841</v>
      </c>
      <c r="W340" s="282" t="s">
        <v>1173</v>
      </c>
      <c r="X340" s="280" t="s">
        <v>1394</v>
      </c>
      <c r="Y340" s="280" t="s">
        <v>839</v>
      </c>
      <c r="Z340" s="283"/>
      <c r="AA340" s="440"/>
      <c r="AB340" s="460"/>
      <c r="AC340" s="440"/>
      <c r="AD340" s="444"/>
      <c r="AQ340" s="449"/>
      <c r="AR340" s="449"/>
      <c r="AS340" s="449"/>
    </row>
    <row r="341" spans="1:49" ht="12" customHeight="1" x14ac:dyDescent="0.25">
      <c r="A341" s="1138"/>
      <c r="B341" s="450" t="s">
        <v>1175</v>
      </c>
      <c r="C341" s="439">
        <f>C348</f>
        <v>31.692287174182141</v>
      </c>
      <c r="D341" s="496">
        <f>C341*$D$7</f>
        <v>6.4018420091847927</v>
      </c>
      <c r="E341" s="452" t="s">
        <v>1176</v>
      </c>
      <c r="F341" s="453"/>
      <c r="G341" s="454"/>
      <c r="H341" s="454"/>
      <c r="I341" s="455">
        <f>SUM(I342:I349)</f>
        <v>21.089200000000002</v>
      </c>
      <c r="J341" s="290" t="s">
        <v>1176</v>
      </c>
      <c r="K341" s="357"/>
      <c r="L341" s="291"/>
      <c r="M341" s="291"/>
      <c r="N341" s="292">
        <f>SUM(N342:N349)</f>
        <v>4.4213899999999997</v>
      </c>
      <c r="O341" s="291" t="s">
        <v>1176</v>
      </c>
      <c r="P341" s="291"/>
      <c r="Q341" s="293"/>
      <c r="R341" s="294"/>
      <c r="S341" s="292">
        <f>SUM(S342:S349)</f>
        <v>9.9028000000000009</v>
      </c>
      <c r="T341" s="292"/>
      <c r="U341" s="292"/>
      <c r="V341" s="292"/>
      <c r="W341" s="292"/>
      <c r="X341" s="292"/>
      <c r="Y341" s="292">
        <f>SUM(Y342:Y349)</f>
        <v>9.1999999999999998E-3</v>
      </c>
      <c r="Z341" s="296">
        <f>(C341+D341+I341+N341+S341+Y341)*$Z$7</f>
        <v>95.585533496863647</v>
      </c>
      <c r="AA341" s="459">
        <f>C341+D341+I341+N341+S341+Y341+Z341</f>
        <v>169.10225268023061</v>
      </c>
      <c r="AB341" s="460">
        <v>0.3</v>
      </c>
      <c r="AC341" s="461">
        <f>AA341*(1+AB341)</f>
        <v>219.8329284842998</v>
      </c>
      <c r="AD341" s="448"/>
      <c r="AI341" s="449"/>
      <c r="AJ341" s="462"/>
      <c r="AK341" s="463"/>
      <c r="AM341" s="464"/>
      <c r="AN341" s="143"/>
      <c r="AO341" s="464"/>
      <c r="AP341" s="449"/>
      <c r="AQ341" s="449"/>
      <c r="AR341" s="449"/>
      <c r="AS341" s="449"/>
      <c r="AT341" s="449"/>
      <c r="AU341" s="464"/>
      <c r="AV341" s="464"/>
      <c r="AW341" s="465"/>
    </row>
    <row r="342" spans="1:49" ht="12.75" customHeight="1" x14ac:dyDescent="0.25">
      <c r="A342" s="1138"/>
      <c r="B342" s="466" t="s">
        <v>830</v>
      </c>
      <c r="C342" s="439"/>
      <c r="D342" s="501"/>
      <c r="E342" s="300" t="s">
        <v>1437</v>
      </c>
      <c r="F342" s="301" t="s">
        <v>1438</v>
      </c>
      <c r="G342" s="302">
        <v>0.74</v>
      </c>
      <c r="H342" s="301">
        <v>0.1</v>
      </c>
      <c r="I342" s="303">
        <f t="shared" ref="I342:I349" si="32">G342*H342</f>
        <v>7.3999999999999996E-2</v>
      </c>
      <c r="J342" s="290" t="s">
        <v>1291</v>
      </c>
      <c r="K342" s="304">
        <v>2</v>
      </c>
      <c r="L342" s="305">
        <v>750</v>
      </c>
      <c r="M342" s="304">
        <v>2</v>
      </c>
      <c r="N342" s="292">
        <v>1.1745000000000001</v>
      </c>
      <c r="O342" s="467" t="s">
        <v>1578</v>
      </c>
      <c r="P342" s="291">
        <v>188900</v>
      </c>
      <c r="Q342" s="372">
        <v>0.19670000000000001</v>
      </c>
      <c r="R342" s="291">
        <f>P342*Q342</f>
        <v>37156.630000000005</v>
      </c>
      <c r="S342" s="291">
        <v>8.1902000000000008</v>
      </c>
      <c r="T342" s="458" t="s">
        <v>1435</v>
      </c>
      <c r="U342" s="456">
        <v>6785401.3499999996</v>
      </c>
      <c r="V342" s="457">
        <v>1.32E-2</v>
      </c>
      <c r="W342" s="458">
        <v>1508.3</v>
      </c>
      <c r="X342" s="292">
        <v>59.38</v>
      </c>
      <c r="Y342" s="291">
        <v>9.1999999999999998E-3</v>
      </c>
      <c r="Z342" s="291"/>
      <c r="AA342" s="440"/>
      <c r="AB342" s="460"/>
      <c r="AC342" s="440"/>
      <c r="AD342" s="444"/>
      <c r="AF342" s="365"/>
      <c r="AJ342" s="468"/>
      <c r="AT342" s="449"/>
    </row>
    <row r="343" spans="1:49" x14ac:dyDescent="0.25">
      <c r="A343" s="1138"/>
      <c r="B343" s="469" t="s">
        <v>1178</v>
      </c>
      <c r="C343" s="491">
        <f>C331</f>
        <v>43.888814515309463</v>
      </c>
      <c r="D343" s="451"/>
      <c r="E343" s="300" t="s">
        <v>1439</v>
      </c>
      <c r="F343" s="301" t="s">
        <v>1438</v>
      </c>
      <c r="G343" s="302">
        <v>0.27</v>
      </c>
      <c r="H343" s="301">
        <v>0.01</v>
      </c>
      <c r="I343" s="303">
        <f t="shared" si="32"/>
        <v>2.7000000000000001E-3</v>
      </c>
      <c r="J343" s="290" t="s">
        <v>1445</v>
      </c>
      <c r="K343" s="292">
        <v>2</v>
      </c>
      <c r="L343" s="311">
        <v>95</v>
      </c>
      <c r="M343" s="304">
        <v>2</v>
      </c>
      <c r="N343" s="292">
        <v>3.1146400000000001</v>
      </c>
      <c r="O343" s="291" t="s">
        <v>1580</v>
      </c>
      <c r="P343" s="291">
        <v>39500</v>
      </c>
      <c r="Q343" s="372">
        <v>0.19670000000000001</v>
      </c>
      <c r="R343" s="291">
        <f>P343*Q343</f>
        <v>7769.6500000000005</v>
      </c>
      <c r="S343" s="291">
        <v>1.7125999999999999</v>
      </c>
      <c r="T343" s="291"/>
      <c r="U343" s="291"/>
      <c r="V343" s="291"/>
      <c r="W343" s="372"/>
      <c r="X343" s="291"/>
      <c r="Y343" s="291"/>
      <c r="Z343" s="291"/>
      <c r="AA343" s="440"/>
      <c r="AB343" s="460"/>
      <c r="AC343" s="440"/>
      <c r="AD343" s="444"/>
      <c r="AF343" s="365"/>
      <c r="AJ343" s="468"/>
      <c r="AM343" s="465"/>
    </row>
    <row r="344" spans="1:49" ht="12.75" customHeight="1" x14ac:dyDescent="0.25">
      <c r="A344" s="1138"/>
      <c r="B344" s="452" t="s">
        <v>1179</v>
      </c>
      <c r="C344" s="487">
        <f>C332</f>
        <v>19.495759833054819</v>
      </c>
      <c r="D344" s="451"/>
      <c r="E344" s="300" t="s">
        <v>1440</v>
      </c>
      <c r="F344" s="301" t="s">
        <v>1441</v>
      </c>
      <c r="G344" s="302">
        <v>5.92</v>
      </c>
      <c r="H344" s="471">
        <v>1</v>
      </c>
      <c r="I344" s="303">
        <f t="shared" si="32"/>
        <v>5.92</v>
      </c>
      <c r="J344" s="290" t="s">
        <v>1513</v>
      </c>
      <c r="K344" s="292">
        <v>2</v>
      </c>
      <c r="L344" s="292">
        <v>25</v>
      </c>
      <c r="M344" s="304">
        <v>0.5</v>
      </c>
      <c r="N344" s="292">
        <v>0.13225000000000001</v>
      </c>
      <c r="O344" s="291"/>
      <c r="P344" s="291"/>
      <c r="Q344" s="372"/>
      <c r="R344" s="291"/>
      <c r="S344" s="291"/>
      <c r="T344" s="291"/>
      <c r="U344" s="291"/>
      <c r="V344" s="291"/>
      <c r="W344" s="372"/>
      <c r="X344" s="291"/>
      <c r="Y344" s="291"/>
      <c r="Z344" s="291"/>
      <c r="AA344" s="440"/>
      <c r="AB344" s="460"/>
      <c r="AC344" s="440"/>
      <c r="AD344" s="444"/>
      <c r="AF344" s="365"/>
      <c r="AJ344" s="468"/>
    </row>
    <row r="345" spans="1:49" ht="12.75" customHeight="1" x14ac:dyDescent="0.25">
      <c r="A345" s="1138"/>
      <c r="B345" s="452" t="s">
        <v>831</v>
      </c>
      <c r="C345" s="492"/>
      <c r="D345" s="451"/>
      <c r="E345" s="300" t="s">
        <v>1442</v>
      </c>
      <c r="F345" s="301" t="s">
        <v>1443</v>
      </c>
      <c r="G345" s="302">
        <v>419.5</v>
      </c>
      <c r="H345" s="301">
        <v>0.01</v>
      </c>
      <c r="I345" s="303">
        <f t="shared" si="32"/>
        <v>4.1950000000000003</v>
      </c>
      <c r="J345" s="290"/>
      <c r="K345" s="374"/>
      <c r="L345" s="292"/>
      <c r="M345" s="292"/>
      <c r="N345" s="292"/>
      <c r="O345" s="291"/>
      <c r="P345" s="291"/>
      <c r="Q345" s="291"/>
      <c r="R345" s="291"/>
      <c r="S345" s="291"/>
      <c r="T345" s="291"/>
      <c r="U345" s="291"/>
      <c r="V345" s="291"/>
      <c r="W345" s="291"/>
      <c r="X345" s="291"/>
      <c r="Y345" s="291"/>
      <c r="Z345" s="291"/>
      <c r="AA345" s="440"/>
      <c r="AB345" s="460"/>
      <c r="AC345" s="440"/>
      <c r="AD345" s="444"/>
      <c r="AF345" s="365"/>
      <c r="AJ345" s="468"/>
    </row>
    <row r="346" spans="1:49" ht="12.75" customHeight="1" x14ac:dyDescent="0.25">
      <c r="A346" s="1138"/>
      <c r="B346" s="469" t="s">
        <v>1178</v>
      </c>
      <c r="C346" s="493">
        <v>0.5</v>
      </c>
      <c r="D346" s="451"/>
      <c r="E346" s="300" t="s">
        <v>1444</v>
      </c>
      <c r="F346" s="301" t="s">
        <v>1443</v>
      </c>
      <c r="G346" s="302">
        <v>872</v>
      </c>
      <c r="H346" s="301">
        <v>5.0000000000000001E-3</v>
      </c>
      <c r="I346" s="303">
        <f t="shared" si="32"/>
        <v>4.3600000000000003</v>
      </c>
      <c r="J346" s="290"/>
      <c r="K346" s="374"/>
      <c r="L346" s="292"/>
      <c r="M346" s="292"/>
      <c r="N346" s="292"/>
      <c r="O346" s="291"/>
      <c r="P346" s="291"/>
      <c r="Q346" s="291"/>
      <c r="R346" s="291"/>
      <c r="S346" s="291"/>
      <c r="T346" s="291"/>
      <c r="U346" s="291"/>
      <c r="V346" s="291"/>
      <c r="W346" s="291"/>
      <c r="X346" s="291"/>
      <c r="Y346" s="291"/>
      <c r="Z346" s="291"/>
      <c r="AA346" s="440"/>
      <c r="AB346" s="460"/>
      <c r="AC346" s="440"/>
      <c r="AD346" s="444"/>
      <c r="AF346" s="365"/>
      <c r="AJ346" s="472"/>
    </row>
    <row r="347" spans="1:49" ht="12.75" customHeight="1" x14ac:dyDescent="0.25">
      <c r="A347" s="1138"/>
      <c r="B347" s="452" t="s">
        <v>1179</v>
      </c>
      <c r="C347" s="493">
        <v>0.5</v>
      </c>
      <c r="D347" s="451"/>
      <c r="E347" s="494" t="s">
        <v>581</v>
      </c>
      <c r="F347" s="376" t="s">
        <v>1438</v>
      </c>
      <c r="G347" s="302">
        <v>16.39</v>
      </c>
      <c r="H347" s="301">
        <v>0.25</v>
      </c>
      <c r="I347" s="303">
        <f t="shared" si="32"/>
        <v>4.0975000000000001</v>
      </c>
      <c r="J347" s="290"/>
      <c r="K347" s="374"/>
      <c r="L347" s="305"/>
      <c r="M347" s="304"/>
      <c r="N347" s="292"/>
      <c r="O347" s="291"/>
      <c r="P347" s="291"/>
      <c r="Q347" s="291"/>
      <c r="R347" s="291"/>
      <c r="S347" s="291"/>
      <c r="T347" s="291"/>
      <c r="U347" s="291"/>
      <c r="V347" s="291"/>
      <c r="W347" s="291"/>
      <c r="X347" s="291"/>
      <c r="Y347" s="291"/>
      <c r="Z347" s="291"/>
      <c r="AA347" s="440"/>
      <c r="AB347" s="460"/>
      <c r="AC347" s="440"/>
      <c r="AD347" s="444"/>
      <c r="AF347" s="365"/>
      <c r="AJ347" s="472"/>
    </row>
    <row r="348" spans="1:49" ht="12.75" customHeight="1" x14ac:dyDescent="0.25">
      <c r="A348" s="1138"/>
      <c r="B348" s="474" t="s">
        <v>1181</v>
      </c>
      <c r="C348" s="487">
        <f>C343*C346+C344*C347</f>
        <v>31.692287174182141</v>
      </c>
      <c r="D348" s="451"/>
      <c r="E348" s="494" t="s">
        <v>13</v>
      </c>
      <c r="F348" s="376" t="s">
        <v>1441</v>
      </c>
      <c r="G348" s="302">
        <v>1.5</v>
      </c>
      <c r="H348" s="301">
        <v>1</v>
      </c>
      <c r="I348" s="303">
        <f t="shared" si="32"/>
        <v>1.5</v>
      </c>
      <c r="J348" s="290"/>
      <c r="K348" s="374"/>
      <c r="L348" s="292"/>
      <c r="M348" s="292"/>
      <c r="N348" s="292"/>
      <c r="O348" s="291"/>
      <c r="P348" s="291"/>
      <c r="Q348" s="291"/>
      <c r="R348" s="291"/>
      <c r="S348" s="291"/>
      <c r="T348" s="291"/>
      <c r="U348" s="291"/>
      <c r="V348" s="291"/>
      <c r="W348" s="291"/>
      <c r="X348" s="291"/>
      <c r="Y348" s="291"/>
      <c r="Z348" s="291"/>
      <c r="AA348" s="440"/>
      <c r="AB348" s="460"/>
      <c r="AC348" s="440"/>
      <c r="AD348" s="444"/>
      <c r="AF348" s="365"/>
      <c r="AJ348" s="468"/>
    </row>
    <row r="349" spans="1:49" ht="12.75" customHeight="1" x14ac:dyDescent="0.25">
      <c r="A349" s="1139"/>
      <c r="B349" s="474"/>
      <c r="C349" s="487"/>
      <c r="D349" s="451"/>
      <c r="E349" s="494" t="s">
        <v>18</v>
      </c>
      <c r="F349" s="376" t="s">
        <v>1438</v>
      </c>
      <c r="G349" s="302">
        <v>0.94</v>
      </c>
      <c r="H349" s="301">
        <v>1</v>
      </c>
      <c r="I349" s="303">
        <f t="shared" si="32"/>
        <v>0.94</v>
      </c>
      <c r="J349" s="290"/>
      <c r="K349" s="374"/>
      <c r="L349" s="292"/>
      <c r="M349" s="292"/>
      <c r="N349" s="292"/>
      <c r="O349" s="291"/>
      <c r="P349" s="291"/>
      <c r="Q349" s="291"/>
      <c r="R349" s="291"/>
      <c r="S349" s="291"/>
      <c r="T349" s="291"/>
      <c r="U349" s="291"/>
      <c r="V349" s="291"/>
      <c r="W349" s="291"/>
      <c r="X349" s="291"/>
      <c r="Y349" s="291"/>
      <c r="Z349" s="291"/>
      <c r="AA349" s="440"/>
      <c r="AB349" s="460"/>
      <c r="AC349" s="440"/>
      <c r="AD349" s="444"/>
      <c r="AF349" s="365"/>
      <c r="AJ349" s="468"/>
    </row>
    <row r="350" spans="1:49" ht="56.25" customHeight="1" x14ac:dyDescent="0.25">
      <c r="A350" s="1136" t="s">
        <v>561</v>
      </c>
      <c r="B350" s="439" t="s">
        <v>1847</v>
      </c>
      <c r="C350" s="439"/>
      <c r="D350" s="499"/>
      <c r="E350" s="441" t="s">
        <v>488</v>
      </c>
      <c r="F350" s="442" t="s">
        <v>837</v>
      </c>
      <c r="G350" s="439" t="s">
        <v>489</v>
      </c>
      <c r="H350" s="441" t="s">
        <v>1170</v>
      </c>
      <c r="I350" s="442" t="s">
        <v>838</v>
      </c>
      <c r="J350" s="280" t="s">
        <v>1171</v>
      </c>
      <c r="K350" s="280" t="s">
        <v>490</v>
      </c>
      <c r="L350" s="281" t="s">
        <v>489</v>
      </c>
      <c r="M350" s="280" t="s">
        <v>1172</v>
      </c>
      <c r="N350" s="442" t="s">
        <v>838</v>
      </c>
      <c r="O350" s="280" t="s">
        <v>1171</v>
      </c>
      <c r="P350" s="280" t="s">
        <v>826</v>
      </c>
      <c r="Q350" s="280" t="s">
        <v>1173</v>
      </c>
      <c r="R350" s="280" t="s">
        <v>1174</v>
      </c>
      <c r="S350" s="280" t="s">
        <v>839</v>
      </c>
      <c r="T350" s="280" t="s">
        <v>1171</v>
      </c>
      <c r="U350" s="280" t="s">
        <v>1392</v>
      </c>
      <c r="V350" s="280" t="s">
        <v>841</v>
      </c>
      <c r="W350" s="282" t="s">
        <v>1173</v>
      </c>
      <c r="X350" s="280" t="s">
        <v>1394</v>
      </c>
      <c r="Y350" s="280" t="s">
        <v>839</v>
      </c>
      <c r="Z350" s="283"/>
      <c r="AA350" s="440"/>
      <c r="AB350" s="460"/>
      <c r="AC350" s="440"/>
      <c r="AD350" s="444"/>
      <c r="AQ350" s="449"/>
      <c r="AR350" s="449"/>
      <c r="AS350" s="449"/>
    </row>
    <row r="351" spans="1:49" ht="12" customHeight="1" x14ac:dyDescent="0.25">
      <c r="A351" s="1136"/>
      <c r="B351" s="450" t="s">
        <v>1175</v>
      </c>
      <c r="C351" s="439">
        <f>C358</f>
        <v>31.692287174182141</v>
      </c>
      <c r="D351" s="496">
        <f>C351*$D$7</f>
        <v>6.4018420091847927</v>
      </c>
      <c r="E351" s="452" t="s">
        <v>1176</v>
      </c>
      <c r="F351" s="453"/>
      <c r="G351" s="454"/>
      <c r="H351" s="454"/>
      <c r="I351" s="455">
        <f>SUM(I352:I359)</f>
        <v>20.072700000000001</v>
      </c>
      <c r="J351" s="290" t="s">
        <v>1176</v>
      </c>
      <c r="K351" s="357"/>
      <c r="L351" s="291"/>
      <c r="M351" s="291"/>
      <c r="N351" s="292">
        <f>SUM(N352:N359)</f>
        <v>4.4213899999999997</v>
      </c>
      <c r="O351" s="291" t="s">
        <v>1176</v>
      </c>
      <c r="P351" s="291"/>
      <c r="Q351" s="293"/>
      <c r="R351" s="294"/>
      <c r="S351" s="292">
        <f>SUM(S352:S359)</f>
        <v>9.9028000000000009</v>
      </c>
      <c r="T351" s="292"/>
      <c r="U351" s="292"/>
      <c r="V351" s="292"/>
      <c r="W351" s="292"/>
      <c r="X351" s="292"/>
      <c r="Y351" s="292">
        <f>SUM(Y352:Y359)</f>
        <v>9.1999999999999998E-3</v>
      </c>
      <c r="Z351" s="296">
        <f>(C351+D351+I351+N351+S351+Y351)*$Z$7</f>
        <v>94.263892707137742</v>
      </c>
      <c r="AA351" s="459">
        <f>C351+D351+I351+N351+S351+Y351+Z351</f>
        <v>166.76411189050469</v>
      </c>
      <c r="AB351" s="460">
        <v>0.3</v>
      </c>
      <c r="AC351" s="461">
        <f>AA351*(1+AB351)</f>
        <v>216.7933454576561</v>
      </c>
      <c r="AD351" s="448"/>
      <c r="AI351" s="449"/>
      <c r="AJ351" s="462"/>
      <c r="AK351" s="463"/>
      <c r="AM351" s="464"/>
      <c r="AN351" s="143"/>
      <c r="AO351" s="464"/>
      <c r="AP351" s="449"/>
      <c r="AQ351" s="449"/>
      <c r="AR351" s="449"/>
      <c r="AS351" s="449"/>
      <c r="AT351" s="449"/>
      <c r="AU351" s="464"/>
      <c r="AV351" s="464"/>
      <c r="AW351" s="465"/>
    </row>
    <row r="352" spans="1:49" ht="12.75" customHeight="1" x14ac:dyDescent="0.25">
      <c r="A352" s="1136"/>
      <c r="B352" s="466" t="s">
        <v>830</v>
      </c>
      <c r="C352" s="439"/>
      <c r="D352" s="501"/>
      <c r="E352" s="300" t="s">
        <v>1437</v>
      </c>
      <c r="F352" s="301" t="s">
        <v>1438</v>
      </c>
      <c r="G352" s="302">
        <v>0.74</v>
      </c>
      <c r="H352" s="301">
        <v>0.5</v>
      </c>
      <c r="I352" s="303">
        <f t="shared" ref="I352:I359" si="33">G352*H352</f>
        <v>0.37</v>
      </c>
      <c r="J352" s="290" t="s">
        <v>1291</v>
      </c>
      <c r="K352" s="304">
        <v>2</v>
      </c>
      <c r="L352" s="305">
        <v>750</v>
      </c>
      <c r="M352" s="304">
        <v>2</v>
      </c>
      <c r="N352" s="292">
        <v>1.1745000000000001</v>
      </c>
      <c r="O352" s="467" t="s">
        <v>1578</v>
      </c>
      <c r="P352" s="291">
        <v>188900</v>
      </c>
      <c r="Q352" s="372">
        <v>0.19670000000000001</v>
      </c>
      <c r="R352" s="291">
        <f>P352*Q352</f>
        <v>37156.630000000005</v>
      </c>
      <c r="S352" s="291">
        <v>8.1902000000000008</v>
      </c>
      <c r="T352" s="458" t="s">
        <v>1435</v>
      </c>
      <c r="U352" s="456">
        <v>6785401.3499999996</v>
      </c>
      <c r="V352" s="457">
        <v>1.32E-2</v>
      </c>
      <c r="W352" s="458">
        <v>1508.3</v>
      </c>
      <c r="X352" s="292">
        <v>59.38</v>
      </c>
      <c r="Y352" s="291">
        <v>9.1999999999999998E-3</v>
      </c>
      <c r="Z352" s="291"/>
      <c r="AA352" s="440"/>
      <c r="AB352" s="460"/>
      <c r="AC352" s="440"/>
      <c r="AD352" s="444"/>
      <c r="AF352" s="365"/>
      <c r="AJ352" s="468"/>
      <c r="AT352" s="449"/>
    </row>
    <row r="353" spans="1:49" x14ac:dyDescent="0.25">
      <c r="A353" s="1136"/>
      <c r="B353" s="469" t="s">
        <v>1178</v>
      </c>
      <c r="C353" s="491">
        <f>C343</f>
        <v>43.888814515309463</v>
      </c>
      <c r="D353" s="451"/>
      <c r="E353" s="300" t="s">
        <v>1439</v>
      </c>
      <c r="F353" s="301" t="s">
        <v>1438</v>
      </c>
      <c r="G353" s="302">
        <v>0.27</v>
      </c>
      <c r="H353" s="301">
        <v>0.01</v>
      </c>
      <c r="I353" s="303">
        <f t="shared" si="33"/>
        <v>2.7000000000000001E-3</v>
      </c>
      <c r="J353" s="290" t="s">
        <v>1445</v>
      </c>
      <c r="K353" s="292">
        <v>2</v>
      </c>
      <c r="L353" s="311">
        <v>95</v>
      </c>
      <c r="M353" s="304">
        <v>2</v>
      </c>
      <c r="N353" s="292">
        <v>3.1146400000000001</v>
      </c>
      <c r="O353" s="291" t="s">
        <v>1580</v>
      </c>
      <c r="P353" s="291">
        <v>39500</v>
      </c>
      <c r="Q353" s="372">
        <v>0.19670000000000001</v>
      </c>
      <c r="R353" s="291">
        <f>P353*Q353</f>
        <v>7769.6500000000005</v>
      </c>
      <c r="S353" s="291">
        <v>1.7125999999999999</v>
      </c>
      <c r="T353" s="291"/>
      <c r="U353" s="291"/>
      <c r="V353" s="291"/>
      <c r="W353" s="372"/>
      <c r="X353" s="291"/>
      <c r="Y353" s="291"/>
      <c r="Z353" s="291"/>
      <c r="AA353" s="440"/>
      <c r="AB353" s="460"/>
      <c r="AC353" s="440"/>
      <c r="AD353" s="444"/>
      <c r="AF353" s="365"/>
      <c r="AJ353" s="468"/>
      <c r="AM353" s="465"/>
    </row>
    <row r="354" spans="1:49" ht="12.75" customHeight="1" x14ac:dyDescent="0.25">
      <c r="A354" s="1136"/>
      <c r="B354" s="452" t="s">
        <v>1179</v>
      </c>
      <c r="C354" s="487">
        <f>C344</f>
        <v>19.495759833054819</v>
      </c>
      <c r="D354" s="451"/>
      <c r="E354" s="300" t="s">
        <v>1440</v>
      </c>
      <c r="F354" s="301" t="s">
        <v>1441</v>
      </c>
      <c r="G354" s="302">
        <v>5.92</v>
      </c>
      <c r="H354" s="471">
        <v>1</v>
      </c>
      <c r="I354" s="303">
        <f t="shared" si="33"/>
        <v>5.92</v>
      </c>
      <c r="J354" s="290" t="s">
        <v>1513</v>
      </c>
      <c r="K354" s="292">
        <v>2</v>
      </c>
      <c r="L354" s="292">
        <v>25</v>
      </c>
      <c r="M354" s="304">
        <v>0.5</v>
      </c>
      <c r="N354" s="292">
        <v>0.13225000000000001</v>
      </c>
      <c r="O354" s="291"/>
      <c r="P354" s="291"/>
      <c r="Q354" s="372"/>
      <c r="R354" s="291"/>
      <c r="S354" s="291"/>
      <c r="T354" s="291"/>
      <c r="U354" s="291"/>
      <c r="V354" s="291"/>
      <c r="W354" s="372"/>
      <c r="X354" s="291"/>
      <c r="Y354" s="291"/>
      <c r="Z354" s="291"/>
      <c r="AA354" s="440"/>
      <c r="AB354" s="460"/>
      <c r="AC354" s="440"/>
      <c r="AD354" s="444"/>
      <c r="AF354" s="365"/>
      <c r="AJ354" s="468"/>
    </row>
    <row r="355" spans="1:49" ht="12.75" customHeight="1" x14ac:dyDescent="0.25">
      <c r="A355" s="1136"/>
      <c r="B355" s="452" t="s">
        <v>831</v>
      </c>
      <c r="C355" s="492"/>
      <c r="D355" s="451"/>
      <c r="E355" s="300" t="s">
        <v>1442</v>
      </c>
      <c r="F355" s="301" t="s">
        <v>1443</v>
      </c>
      <c r="G355" s="302">
        <v>419.5</v>
      </c>
      <c r="H355" s="301">
        <v>0.01</v>
      </c>
      <c r="I355" s="303">
        <f t="shared" si="33"/>
        <v>4.1950000000000003</v>
      </c>
      <c r="J355" s="290"/>
      <c r="K355" s="374"/>
      <c r="L355" s="292"/>
      <c r="M355" s="292"/>
      <c r="N355" s="292"/>
      <c r="O355" s="291"/>
      <c r="P355" s="291"/>
      <c r="Q355" s="291"/>
      <c r="R355" s="291"/>
      <c r="S355" s="291"/>
      <c r="T355" s="291"/>
      <c r="U355" s="291"/>
      <c r="V355" s="291"/>
      <c r="W355" s="291"/>
      <c r="X355" s="291"/>
      <c r="Y355" s="291"/>
      <c r="Z355" s="291"/>
      <c r="AA355" s="440"/>
      <c r="AB355" s="460"/>
      <c r="AC355" s="440"/>
      <c r="AD355" s="444"/>
      <c r="AF355" s="365"/>
      <c r="AJ355" s="468"/>
    </row>
    <row r="356" spans="1:49" ht="12.75" customHeight="1" x14ac:dyDescent="0.25">
      <c r="A356" s="1136"/>
      <c r="B356" s="469" t="s">
        <v>1178</v>
      </c>
      <c r="C356" s="493">
        <v>0.5</v>
      </c>
      <c r="D356" s="451"/>
      <c r="E356" s="300" t="s">
        <v>1444</v>
      </c>
      <c r="F356" s="301" t="s">
        <v>1443</v>
      </c>
      <c r="G356" s="302">
        <v>872</v>
      </c>
      <c r="H356" s="301">
        <v>5.0000000000000001E-3</v>
      </c>
      <c r="I356" s="303">
        <f t="shared" si="33"/>
        <v>4.3600000000000003</v>
      </c>
      <c r="J356" s="290"/>
      <c r="K356" s="374"/>
      <c r="L356" s="292"/>
      <c r="M356" s="292"/>
      <c r="N356" s="292"/>
      <c r="O356" s="291"/>
      <c r="P356" s="291"/>
      <c r="Q356" s="291"/>
      <c r="R356" s="291"/>
      <c r="S356" s="291"/>
      <c r="T356" s="291"/>
      <c r="U356" s="291"/>
      <c r="V356" s="291"/>
      <c r="W356" s="291"/>
      <c r="X356" s="291"/>
      <c r="Y356" s="291"/>
      <c r="Z356" s="291"/>
      <c r="AA356" s="440"/>
      <c r="AB356" s="460"/>
      <c r="AC356" s="440"/>
      <c r="AD356" s="444"/>
      <c r="AF356" s="365"/>
      <c r="AJ356" s="472"/>
    </row>
    <row r="357" spans="1:49" ht="12.75" customHeight="1" x14ac:dyDescent="0.25">
      <c r="A357" s="1136"/>
      <c r="B357" s="452" t="s">
        <v>1179</v>
      </c>
      <c r="C357" s="493">
        <v>0.5</v>
      </c>
      <c r="D357" s="451"/>
      <c r="E357" s="494" t="s">
        <v>13</v>
      </c>
      <c r="F357" s="376" t="s">
        <v>1441</v>
      </c>
      <c r="G357" s="302">
        <v>1.5</v>
      </c>
      <c r="H357" s="301">
        <v>1</v>
      </c>
      <c r="I357" s="303">
        <f t="shared" si="33"/>
        <v>1.5</v>
      </c>
      <c r="J357" s="290"/>
      <c r="K357" s="374"/>
      <c r="L357" s="305"/>
      <c r="M357" s="304"/>
      <c r="N357" s="292"/>
      <c r="O357" s="291"/>
      <c r="P357" s="291"/>
      <c r="Q357" s="291"/>
      <c r="R357" s="291"/>
      <c r="S357" s="291"/>
      <c r="T357" s="291"/>
      <c r="U357" s="291"/>
      <c r="V357" s="291"/>
      <c r="W357" s="291"/>
      <c r="X357" s="291"/>
      <c r="Y357" s="291"/>
      <c r="Z357" s="291"/>
      <c r="AA357" s="440"/>
      <c r="AB357" s="460"/>
      <c r="AC357" s="440"/>
      <c r="AD357" s="444"/>
      <c r="AF357" s="365"/>
      <c r="AJ357" s="472"/>
    </row>
    <row r="358" spans="1:49" ht="12.75" customHeight="1" x14ac:dyDescent="0.25">
      <c r="A358" s="1136"/>
      <c r="B358" s="474" t="s">
        <v>1181</v>
      </c>
      <c r="C358" s="487">
        <f>C353*C356+C354*C357</f>
        <v>31.692287174182141</v>
      </c>
      <c r="D358" s="451"/>
      <c r="E358" s="494" t="s">
        <v>25</v>
      </c>
      <c r="F358" s="376" t="s">
        <v>1441</v>
      </c>
      <c r="G358" s="302">
        <v>0.39</v>
      </c>
      <c r="H358" s="301">
        <v>1</v>
      </c>
      <c r="I358" s="303">
        <f t="shared" si="33"/>
        <v>0.39</v>
      </c>
      <c r="J358" s="290"/>
      <c r="K358" s="374"/>
      <c r="L358" s="292"/>
      <c r="M358" s="292"/>
      <c r="N358" s="292"/>
      <c r="O358" s="291"/>
      <c r="P358" s="291"/>
      <c r="Q358" s="291"/>
      <c r="R358" s="291"/>
      <c r="S358" s="291"/>
      <c r="T358" s="291"/>
      <c r="U358" s="291"/>
      <c r="V358" s="291"/>
      <c r="W358" s="291"/>
      <c r="X358" s="291"/>
      <c r="Y358" s="291"/>
      <c r="Z358" s="291"/>
      <c r="AA358" s="440"/>
      <c r="AB358" s="460"/>
      <c r="AC358" s="440"/>
      <c r="AD358" s="444"/>
      <c r="AF358" s="365"/>
      <c r="AJ358" s="468"/>
    </row>
    <row r="359" spans="1:49" ht="12.75" customHeight="1" x14ac:dyDescent="0.25">
      <c r="A359" s="1136"/>
      <c r="B359" s="474"/>
      <c r="C359" s="487"/>
      <c r="D359" s="451"/>
      <c r="E359" s="494" t="s">
        <v>26</v>
      </c>
      <c r="F359" s="376" t="s">
        <v>1</v>
      </c>
      <c r="G359" s="302">
        <v>6.67</v>
      </c>
      <c r="H359" s="301">
        <v>0.5</v>
      </c>
      <c r="I359" s="303">
        <f t="shared" si="33"/>
        <v>3.335</v>
      </c>
      <c r="J359" s="290"/>
      <c r="K359" s="374"/>
      <c r="L359" s="292"/>
      <c r="M359" s="292"/>
      <c r="N359" s="292"/>
      <c r="O359" s="291"/>
      <c r="P359" s="291"/>
      <c r="Q359" s="291"/>
      <c r="R359" s="291"/>
      <c r="S359" s="291"/>
      <c r="T359" s="291"/>
      <c r="U359" s="291"/>
      <c r="V359" s="291"/>
      <c r="W359" s="291"/>
      <c r="X359" s="291"/>
      <c r="Y359" s="291"/>
      <c r="Z359" s="291"/>
      <c r="AA359" s="440"/>
      <c r="AB359" s="460"/>
      <c r="AC359" s="440"/>
      <c r="AD359" s="444"/>
      <c r="AF359" s="365"/>
      <c r="AJ359" s="468"/>
    </row>
    <row r="360" spans="1:49" ht="56.25" customHeight="1" x14ac:dyDescent="0.25">
      <c r="A360" s="1136" t="s">
        <v>562</v>
      </c>
      <c r="B360" s="439" t="s">
        <v>1844</v>
      </c>
      <c r="C360" s="439"/>
      <c r="D360" s="499"/>
      <c r="E360" s="441" t="s">
        <v>488</v>
      </c>
      <c r="F360" s="442" t="s">
        <v>837</v>
      </c>
      <c r="G360" s="439" t="s">
        <v>489</v>
      </c>
      <c r="H360" s="441" t="s">
        <v>1170</v>
      </c>
      <c r="I360" s="442" t="s">
        <v>838</v>
      </c>
      <c r="J360" s="280" t="s">
        <v>1171</v>
      </c>
      <c r="K360" s="280" t="s">
        <v>490</v>
      </c>
      <c r="L360" s="281" t="s">
        <v>489</v>
      </c>
      <c r="M360" s="280" t="s">
        <v>1172</v>
      </c>
      <c r="N360" s="442" t="s">
        <v>838</v>
      </c>
      <c r="O360" s="280" t="s">
        <v>1171</v>
      </c>
      <c r="P360" s="280" t="s">
        <v>826</v>
      </c>
      <c r="Q360" s="280" t="s">
        <v>1173</v>
      </c>
      <c r="R360" s="280" t="s">
        <v>1174</v>
      </c>
      <c r="S360" s="280" t="s">
        <v>839</v>
      </c>
      <c r="T360" s="280" t="s">
        <v>1171</v>
      </c>
      <c r="U360" s="280" t="s">
        <v>1392</v>
      </c>
      <c r="V360" s="280" t="s">
        <v>841</v>
      </c>
      <c r="W360" s="282" t="s">
        <v>1173</v>
      </c>
      <c r="X360" s="280" t="s">
        <v>1394</v>
      </c>
      <c r="Y360" s="280" t="s">
        <v>839</v>
      </c>
      <c r="Z360" s="283"/>
      <c r="AA360" s="440"/>
      <c r="AB360" s="460">
        <v>0.3</v>
      </c>
      <c r="AC360" s="440"/>
      <c r="AD360" s="444"/>
      <c r="AQ360" s="449"/>
      <c r="AR360" s="449"/>
      <c r="AS360" s="449"/>
    </row>
    <row r="361" spans="1:49" ht="12" customHeight="1" x14ac:dyDescent="0.25">
      <c r="A361" s="1136"/>
      <c r="B361" s="450" t="s">
        <v>1175</v>
      </c>
      <c r="C361" s="439">
        <f>C368</f>
        <v>126.76914869672856</v>
      </c>
      <c r="D361" s="496">
        <f>C361*$D$7</f>
        <v>25.607368036739171</v>
      </c>
      <c r="E361" s="452" t="s">
        <v>1176</v>
      </c>
      <c r="F361" s="453"/>
      <c r="G361" s="454"/>
      <c r="H361" s="454"/>
      <c r="I361" s="455">
        <f>SUM(I362:I369)</f>
        <v>30.707000000000001</v>
      </c>
      <c r="J361" s="290" t="s">
        <v>1176</v>
      </c>
      <c r="K361" s="357"/>
      <c r="L361" s="291"/>
      <c r="M361" s="291"/>
      <c r="N361" s="292">
        <f>SUM(N362:N369)</f>
        <v>4.4213899999999997</v>
      </c>
      <c r="O361" s="291" t="s">
        <v>1176</v>
      </c>
      <c r="P361" s="291"/>
      <c r="Q361" s="293"/>
      <c r="R361" s="294"/>
      <c r="S361" s="292">
        <f>SUM(S362:S369)</f>
        <v>9.9028000000000009</v>
      </c>
      <c r="T361" s="292"/>
      <c r="U361" s="292"/>
      <c r="V361" s="292"/>
      <c r="W361" s="292"/>
      <c r="X361" s="292"/>
      <c r="Y361" s="292">
        <f>SUM(Y362:Y369)</f>
        <v>9.1999999999999998E-3</v>
      </c>
      <c r="Z361" s="296">
        <f>(C361+D361+I361+N361+S361+Y361)*$Z$7</f>
        <v>256.67903248446976</v>
      </c>
      <c r="AA361" s="459">
        <f>C361+D361+I361+N361+S361+Y361+Z361</f>
        <v>454.09593921793748</v>
      </c>
      <c r="AB361" s="460">
        <v>0.3</v>
      </c>
      <c r="AC361" s="461">
        <f>AA361*(1+AB361)</f>
        <v>590.3247209833188</v>
      </c>
      <c r="AD361" s="448"/>
      <c r="AI361" s="449"/>
      <c r="AJ361" s="462"/>
      <c r="AK361" s="463"/>
      <c r="AM361" s="464"/>
      <c r="AN361" s="143"/>
      <c r="AO361" s="464"/>
      <c r="AP361" s="449"/>
      <c r="AQ361" s="449"/>
      <c r="AR361" s="449"/>
      <c r="AS361" s="449"/>
      <c r="AT361" s="449"/>
      <c r="AU361" s="464"/>
      <c r="AV361" s="464"/>
      <c r="AW361" s="465"/>
    </row>
    <row r="362" spans="1:49" ht="12.75" customHeight="1" x14ac:dyDescent="0.25">
      <c r="A362" s="1136"/>
      <c r="B362" s="466" t="s">
        <v>830</v>
      </c>
      <c r="C362" s="439"/>
      <c r="D362" s="501"/>
      <c r="E362" s="300" t="s">
        <v>1437</v>
      </c>
      <c r="F362" s="301" t="s">
        <v>1438</v>
      </c>
      <c r="G362" s="302">
        <v>0.74</v>
      </c>
      <c r="H362" s="301">
        <v>0.5</v>
      </c>
      <c r="I362" s="303">
        <f t="shared" ref="I362:I369" si="34">G362*H362</f>
        <v>0.37</v>
      </c>
      <c r="J362" s="290" t="s">
        <v>1291</v>
      </c>
      <c r="K362" s="304">
        <v>2</v>
      </c>
      <c r="L362" s="305">
        <v>750</v>
      </c>
      <c r="M362" s="304">
        <v>2</v>
      </c>
      <c r="N362" s="292">
        <v>1.1745000000000001</v>
      </c>
      <c r="O362" s="467" t="s">
        <v>1578</v>
      </c>
      <c r="P362" s="291">
        <v>188900</v>
      </c>
      <c r="Q362" s="372">
        <v>0.19670000000000001</v>
      </c>
      <c r="R362" s="291">
        <f>P362*Q362</f>
        <v>37156.630000000005</v>
      </c>
      <c r="S362" s="291">
        <v>8.1902000000000008</v>
      </c>
      <c r="T362" s="458" t="s">
        <v>1435</v>
      </c>
      <c r="U362" s="456">
        <v>6785401.3499999996</v>
      </c>
      <c r="V362" s="457">
        <v>1.32E-2</v>
      </c>
      <c r="W362" s="458">
        <v>1508.3</v>
      </c>
      <c r="X362" s="292">
        <v>59.38</v>
      </c>
      <c r="Y362" s="291">
        <v>9.1999999999999998E-3</v>
      </c>
      <c r="Z362" s="291"/>
      <c r="AA362" s="440"/>
      <c r="AB362" s="460">
        <v>0.3</v>
      </c>
      <c r="AC362" s="440"/>
      <c r="AD362" s="444"/>
      <c r="AF362" s="365"/>
      <c r="AJ362" s="468"/>
      <c r="AT362" s="449"/>
    </row>
    <row r="363" spans="1:49" x14ac:dyDescent="0.25">
      <c r="A363" s="1136"/>
      <c r="B363" s="469" t="s">
        <v>1178</v>
      </c>
      <c r="C363" s="491">
        <f>C353</f>
        <v>43.888814515309463</v>
      </c>
      <c r="D363" s="451"/>
      <c r="E363" s="300" t="s">
        <v>1439</v>
      </c>
      <c r="F363" s="301" t="s">
        <v>1438</v>
      </c>
      <c r="G363" s="302">
        <v>0.27</v>
      </c>
      <c r="H363" s="301">
        <v>0.1</v>
      </c>
      <c r="I363" s="303">
        <f t="shared" si="34"/>
        <v>2.7000000000000003E-2</v>
      </c>
      <c r="J363" s="290" t="s">
        <v>1445</v>
      </c>
      <c r="K363" s="292">
        <v>2</v>
      </c>
      <c r="L363" s="311">
        <v>95</v>
      </c>
      <c r="M363" s="304">
        <v>2</v>
      </c>
      <c r="N363" s="292">
        <v>3.1146400000000001</v>
      </c>
      <c r="O363" s="291" t="s">
        <v>1580</v>
      </c>
      <c r="P363" s="291">
        <v>39500</v>
      </c>
      <c r="Q363" s="372">
        <v>0.19670000000000001</v>
      </c>
      <c r="R363" s="291">
        <f>P363*Q363</f>
        <v>7769.6500000000005</v>
      </c>
      <c r="S363" s="291">
        <v>1.7125999999999999</v>
      </c>
      <c r="T363" s="291"/>
      <c r="U363" s="291"/>
      <c r="V363" s="291"/>
      <c r="W363" s="372"/>
      <c r="X363" s="291"/>
      <c r="Y363" s="291"/>
      <c r="Z363" s="291"/>
      <c r="AA363" s="440"/>
      <c r="AB363" s="460">
        <v>0.3</v>
      </c>
      <c r="AC363" s="440"/>
      <c r="AD363" s="444"/>
      <c r="AF363" s="365"/>
      <c r="AJ363" s="468"/>
      <c r="AM363" s="465"/>
    </row>
    <row r="364" spans="1:49" ht="12.75" customHeight="1" x14ac:dyDescent="0.25">
      <c r="A364" s="1136"/>
      <c r="B364" s="452" t="s">
        <v>1179</v>
      </c>
      <c r="C364" s="487">
        <f>C354</f>
        <v>19.495759833054819</v>
      </c>
      <c r="D364" s="451"/>
      <c r="E364" s="300" t="s">
        <v>1440</v>
      </c>
      <c r="F364" s="301" t="s">
        <v>1441</v>
      </c>
      <c r="G364" s="302">
        <v>5.92</v>
      </c>
      <c r="H364" s="471">
        <v>1</v>
      </c>
      <c r="I364" s="303">
        <f t="shared" si="34"/>
        <v>5.92</v>
      </c>
      <c r="J364" s="290" t="s">
        <v>1513</v>
      </c>
      <c r="K364" s="292">
        <v>2</v>
      </c>
      <c r="L364" s="292">
        <v>25</v>
      </c>
      <c r="M364" s="304">
        <v>0.5</v>
      </c>
      <c r="N364" s="292">
        <v>0.13225000000000001</v>
      </c>
      <c r="O364" s="291"/>
      <c r="P364" s="291"/>
      <c r="Q364" s="372"/>
      <c r="R364" s="291"/>
      <c r="S364" s="291"/>
      <c r="T364" s="291"/>
      <c r="U364" s="291"/>
      <c r="V364" s="291"/>
      <c r="W364" s="372"/>
      <c r="X364" s="291"/>
      <c r="Y364" s="291"/>
      <c r="Z364" s="291"/>
      <c r="AA364" s="440"/>
      <c r="AB364" s="460">
        <v>0.3</v>
      </c>
      <c r="AC364" s="440"/>
      <c r="AD364" s="444"/>
      <c r="AF364" s="365"/>
      <c r="AJ364" s="468"/>
    </row>
    <row r="365" spans="1:49" ht="12.75" customHeight="1" x14ac:dyDescent="0.25">
      <c r="A365" s="1136"/>
      <c r="B365" s="452" t="s">
        <v>831</v>
      </c>
      <c r="C365" s="492"/>
      <c r="D365" s="451"/>
      <c r="E365" s="300" t="s">
        <v>1442</v>
      </c>
      <c r="F365" s="301" t="s">
        <v>1443</v>
      </c>
      <c r="G365" s="302">
        <v>419.5</v>
      </c>
      <c r="H365" s="301">
        <v>0.01</v>
      </c>
      <c r="I365" s="303">
        <f t="shared" si="34"/>
        <v>4.1950000000000003</v>
      </c>
      <c r="J365" s="290"/>
      <c r="K365" s="374"/>
      <c r="L365" s="292"/>
      <c r="M365" s="292"/>
      <c r="N365" s="292"/>
      <c r="O365" s="291"/>
      <c r="P365" s="291"/>
      <c r="Q365" s="291"/>
      <c r="R365" s="291"/>
      <c r="S365" s="291"/>
      <c r="T365" s="291"/>
      <c r="U365" s="291"/>
      <c r="V365" s="291"/>
      <c r="W365" s="291"/>
      <c r="X365" s="291"/>
      <c r="Y365" s="291"/>
      <c r="Z365" s="291"/>
      <c r="AA365" s="440"/>
      <c r="AB365" s="460">
        <v>0.3</v>
      </c>
      <c r="AC365" s="440"/>
      <c r="AD365" s="444"/>
      <c r="AF365" s="365"/>
      <c r="AJ365" s="468"/>
    </row>
    <row r="366" spans="1:49" ht="12.75" customHeight="1" x14ac:dyDescent="0.25">
      <c r="A366" s="1136"/>
      <c r="B366" s="469" t="s">
        <v>1178</v>
      </c>
      <c r="C366" s="493">
        <v>2</v>
      </c>
      <c r="D366" s="451"/>
      <c r="E366" s="300" t="s">
        <v>1444</v>
      </c>
      <c r="F366" s="301" t="s">
        <v>1443</v>
      </c>
      <c r="G366" s="302">
        <v>872</v>
      </c>
      <c r="H366" s="301">
        <v>5.0000000000000001E-3</v>
      </c>
      <c r="I366" s="303">
        <f t="shared" si="34"/>
        <v>4.3600000000000003</v>
      </c>
      <c r="J366" s="290"/>
      <c r="K366" s="374"/>
      <c r="L366" s="292"/>
      <c r="M366" s="292"/>
      <c r="N366" s="292"/>
      <c r="O366" s="291"/>
      <c r="P366" s="291"/>
      <c r="Q366" s="291"/>
      <c r="R366" s="291"/>
      <c r="S366" s="291"/>
      <c r="T366" s="291"/>
      <c r="U366" s="291"/>
      <c r="V366" s="291"/>
      <c r="W366" s="291"/>
      <c r="X366" s="291"/>
      <c r="Y366" s="291"/>
      <c r="Z366" s="291"/>
      <c r="AA366" s="440"/>
      <c r="AB366" s="460">
        <v>0.3</v>
      </c>
      <c r="AC366" s="440"/>
      <c r="AD366" s="444"/>
      <c r="AF366" s="365"/>
      <c r="AJ366" s="472"/>
    </row>
    <row r="367" spans="1:49" ht="12.75" customHeight="1" x14ac:dyDescent="0.25">
      <c r="A367" s="1136"/>
      <c r="B367" s="452" t="s">
        <v>1179</v>
      </c>
      <c r="C367" s="493">
        <v>2</v>
      </c>
      <c r="D367" s="451"/>
      <c r="E367" s="494" t="s">
        <v>13</v>
      </c>
      <c r="F367" s="376" t="s">
        <v>1441</v>
      </c>
      <c r="G367" s="302">
        <v>1.5</v>
      </c>
      <c r="H367" s="301">
        <v>1</v>
      </c>
      <c r="I367" s="303">
        <f t="shared" si="34"/>
        <v>1.5</v>
      </c>
      <c r="J367" s="290"/>
      <c r="K367" s="374"/>
      <c r="L367" s="305"/>
      <c r="M367" s="304"/>
      <c r="N367" s="292"/>
      <c r="O367" s="291"/>
      <c r="P367" s="291"/>
      <c r="Q367" s="291"/>
      <c r="R367" s="291"/>
      <c r="S367" s="291"/>
      <c r="T367" s="291"/>
      <c r="U367" s="291"/>
      <c r="V367" s="291"/>
      <c r="W367" s="291"/>
      <c r="X367" s="291"/>
      <c r="Y367" s="291"/>
      <c r="Z367" s="291"/>
      <c r="AA367" s="440"/>
      <c r="AB367" s="460">
        <v>0.3</v>
      </c>
      <c r="AC367" s="440"/>
      <c r="AD367" s="444"/>
      <c r="AF367" s="365"/>
      <c r="AJ367" s="472"/>
    </row>
    <row r="368" spans="1:49" ht="12.75" customHeight="1" x14ac:dyDescent="0.25">
      <c r="A368" s="1136"/>
      <c r="B368" s="474" t="s">
        <v>1181</v>
      </c>
      <c r="C368" s="487">
        <f>C363*C366+C364*C367</f>
        <v>126.76914869672856</v>
      </c>
      <c r="D368" s="451"/>
      <c r="E368" s="494" t="s">
        <v>26</v>
      </c>
      <c r="F368" s="376" t="s">
        <v>1</v>
      </c>
      <c r="G368" s="302">
        <v>6.67</v>
      </c>
      <c r="H368" s="301">
        <v>0.5</v>
      </c>
      <c r="I368" s="303">
        <f t="shared" si="34"/>
        <v>3.335</v>
      </c>
      <c r="J368" s="290"/>
      <c r="K368" s="374"/>
      <c r="L368" s="292"/>
      <c r="M368" s="292"/>
      <c r="N368" s="292"/>
      <c r="O368" s="291"/>
      <c r="P368" s="291"/>
      <c r="Q368" s="291"/>
      <c r="R368" s="291"/>
      <c r="S368" s="291"/>
      <c r="T368" s="291"/>
      <c r="U368" s="291"/>
      <c r="V368" s="291"/>
      <c r="W368" s="291"/>
      <c r="X368" s="291"/>
      <c r="Y368" s="291"/>
      <c r="Z368" s="291"/>
      <c r="AA368" s="440"/>
      <c r="AB368" s="460">
        <v>0.3</v>
      </c>
      <c r="AC368" s="440"/>
      <c r="AD368" s="444"/>
      <c r="AF368" s="365"/>
      <c r="AJ368" s="468"/>
    </row>
    <row r="369" spans="1:53" ht="12.75" customHeight="1" x14ac:dyDescent="0.25">
      <c r="A369" s="1136"/>
      <c r="B369" s="474"/>
      <c r="C369" s="487"/>
      <c r="D369" s="451"/>
      <c r="E369" s="494" t="s">
        <v>24</v>
      </c>
      <c r="F369" s="376" t="s">
        <v>1</v>
      </c>
      <c r="G369" s="302">
        <v>110</v>
      </c>
      <c r="H369" s="301">
        <v>0.1</v>
      </c>
      <c r="I369" s="303">
        <f t="shared" si="34"/>
        <v>11</v>
      </c>
      <c r="J369" s="290"/>
      <c r="K369" s="374"/>
      <c r="L369" s="292"/>
      <c r="M369" s="292"/>
      <c r="N369" s="292"/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/>
      <c r="AA369" s="440"/>
      <c r="AB369" s="460">
        <v>0.3</v>
      </c>
      <c r="AC369" s="440"/>
      <c r="AD369" s="444"/>
      <c r="AF369" s="365"/>
      <c r="AJ369" s="468"/>
    </row>
    <row r="370" spans="1:53" s="514" customFormat="1" ht="56.25" customHeight="1" x14ac:dyDescent="0.25">
      <c r="A370" s="1137" t="s">
        <v>1520</v>
      </c>
      <c r="B370" s="502"/>
      <c r="C370" s="503"/>
      <c r="D370" s="504"/>
      <c r="E370" s="505" t="s">
        <v>488</v>
      </c>
      <c r="F370" s="506" t="s">
        <v>837</v>
      </c>
      <c r="G370" s="503" t="s">
        <v>489</v>
      </c>
      <c r="H370" s="505" t="s">
        <v>1170</v>
      </c>
      <c r="I370" s="507" t="s">
        <v>838</v>
      </c>
      <c r="J370" s="508" t="s">
        <v>1171</v>
      </c>
      <c r="K370" s="508" t="s">
        <v>490</v>
      </c>
      <c r="L370" s="509" t="s">
        <v>489</v>
      </c>
      <c r="M370" s="508" t="s">
        <v>1172</v>
      </c>
      <c r="N370" s="507" t="s">
        <v>838</v>
      </c>
      <c r="O370" s="508" t="s">
        <v>1171</v>
      </c>
      <c r="P370" s="508" t="s">
        <v>826</v>
      </c>
      <c r="Q370" s="508" t="s">
        <v>1173</v>
      </c>
      <c r="R370" s="508" t="s">
        <v>1174</v>
      </c>
      <c r="S370" s="508" t="s">
        <v>839</v>
      </c>
      <c r="T370" s="508" t="s">
        <v>1171</v>
      </c>
      <c r="U370" s="508" t="s">
        <v>1392</v>
      </c>
      <c r="V370" s="508" t="s">
        <v>841</v>
      </c>
      <c r="W370" s="510" t="s">
        <v>1173</v>
      </c>
      <c r="X370" s="508" t="s">
        <v>1394</v>
      </c>
      <c r="Y370" s="508" t="s">
        <v>839</v>
      </c>
      <c r="Z370" s="511"/>
      <c r="AA370" s="512"/>
      <c r="AB370" s="460">
        <v>0.3</v>
      </c>
      <c r="AC370" s="512"/>
      <c r="AD370" s="513"/>
      <c r="AF370" s="515"/>
      <c r="AG370" s="513"/>
      <c r="AH370" s="513"/>
      <c r="AI370" s="513"/>
      <c r="AJ370" s="513"/>
      <c r="AK370" s="513"/>
      <c r="AL370" s="516"/>
      <c r="AM370" s="513"/>
      <c r="AN370" s="513"/>
      <c r="AO370" s="517"/>
      <c r="AP370" s="513"/>
      <c r="AQ370" s="518"/>
      <c r="AR370" s="518"/>
      <c r="AS370" s="518"/>
      <c r="AT370" s="513"/>
      <c r="AU370" s="513"/>
      <c r="AV370" s="517"/>
      <c r="AW370" s="513"/>
      <c r="AX370" s="513"/>
      <c r="AY370" s="513"/>
      <c r="AZ370" s="513"/>
      <c r="BA370" s="513"/>
    </row>
    <row r="371" spans="1:53" s="514" customFormat="1" ht="12" customHeight="1" x14ac:dyDescent="0.25">
      <c r="A371" s="1138"/>
      <c r="B371" s="519" t="s">
        <v>1175</v>
      </c>
      <c r="C371" s="503">
        <f>C378</f>
        <v>253.53829739345713</v>
      </c>
      <c r="D371" s="520">
        <f>C371*$D$7</f>
        <v>51.214736073478342</v>
      </c>
      <c r="E371" s="521" t="s">
        <v>1176</v>
      </c>
      <c r="F371" s="522"/>
      <c r="G371" s="523"/>
      <c r="H371" s="523"/>
      <c r="I371" s="524">
        <f>SUM(I372:I381)</f>
        <v>46.165199999999999</v>
      </c>
      <c r="J371" s="525" t="s">
        <v>1176</v>
      </c>
      <c r="K371" s="526"/>
      <c r="L371" s="527"/>
      <c r="M371" s="527"/>
      <c r="N371" s="528">
        <f>SUM(N372:N381)</f>
        <v>4.4213899999999997</v>
      </c>
      <c r="O371" s="527" t="s">
        <v>1176</v>
      </c>
      <c r="P371" s="527"/>
      <c r="Q371" s="529"/>
      <c r="R371" s="530"/>
      <c r="S371" s="528">
        <f>SUM(S372:S381)</f>
        <v>9.9028000000000009</v>
      </c>
      <c r="T371" s="528"/>
      <c r="U371" s="528"/>
      <c r="V371" s="528"/>
      <c r="W371" s="528"/>
      <c r="X371" s="528"/>
      <c r="Y371" s="528">
        <f>SUM(Y372:Y381)</f>
        <v>9.1999999999999998E-3</v>
      </c>
      <c r="Z371" s="531">
        <f>(C371+D371+I371+N371+S371+Y371)*$Z$7</f>
        <v>474.89566560502271</v>
      </c>
      <c r="AA371" s="532">
        <f>C371+D371+I371+N371+S371+Y371+Z371</f>
        <v>840.1472890719582</v>
      </c>
      <c r="AB371" s="460">
        <v>0.3</v>
      </c>
      <c r="AC371" s="533">
        <f>AA371*(1+AB371)</f>
        <v>1092.1914757935458</v>
      </c>
      <c r="AD371" s="517"/>
      <c r="AF371" s="515"/>
      <c r="AG371" s="513"/>
      <c r="AH371" s="513"/>
      <c r="AI371" s="518"/>
      <c r="AJ371" s="534"/>
      <c r="AK371" s="535"/>
      <c r="AL371" s="516"/>
      <c r="AM371" s="536"/>
      <c r="AN371" s="537"/>
      <c r="AO371" s="536"/>
      <c r="AP371" s="518"/>
      <c r="AQ371" s="518"/>
      <c r="AR371" s="518"/>
      <c r="AS371" s="518"/>
      <c r="AT371" s="518"/>
      <c r="AU371" s="536"/>
      <c r="AV371" s="536"/>
      <c r="AW371" s="538"/>
      <c r="AX371" s="513"/>
      <c r="AY371" s="513"/>
      <c r="AZ371" s="513"/>
      <c r="BA371" s="513"/>
    </row>
    <row r="372" spans="1:53" s="514" customFormat="1" ht="12.75" customHeight="1" x14ac:dyDescent="0.25">
      <c r="A372" s="1138"/>
      <c r="B372" s="539" t="s">
        <v>1177</v>
      </c>
      <c r="C372" s="503"/>
      <c r="D372" s="540"/>
      <c r="E372" s="541" t="s">
        <v>1437</v>
      </c>
      <c r="F372" s="542" t="s">
        <v>1438</v>
      </c>
      <c r="G372" s="543">
        <v>0.74</v>
      </c>
      <c r="H372" s="542">
        <v>2</v>
      </c>
      <c r="I372" s="544">
        <f t="shared" ref="I372:I381" si="35">G372*H372</f>
        <v>1.48</v>
      </c>
      <c r="J372" s="525" t="s">
        <v>1291</v>
      </c>
      <c r="K372" s="545">
        <v>2</v>
      </c>
      <c r="L372" s="546">
        <v>750</v>
      </c>
      <c r="M372" s="545">
        <v>2</v>
      </c>
      <c r="N372" s="528">
        <v>1.1745000000000001</v>
      </c>
      <c r="O372" s="547" t="s">
        <v>1578</v>
      </c>
      <c r="P372" s="527">
        <v>188900</v>
      </c>
      <c r="Q372" s="548">
        <v>0.19670000000000001</v>
      </c>
      <c r="R372" s="527">
        <f>P372*Q372</f>
        <v>37156.630000000005</v>
      </c>
      <c r="S372" s="527">
        <v>8.1902000000000008</v>
      </c>
      <c r="T372" s="512" t="s">
        <v>1435</v>
      </c>
      <c r="U372" s="523">
        <v>6785401.3499999996</v>
      </c>
      <c r="V372" s="549">
        <v>1.32E-2</v>
      </c>
      <c r="W372" s="512">
        <v>1508.3</v>
      </c>
      <c r="X372" s="528">
        <v>59.38</v>
      </c>
      <c r="Y372" s="527">
        <v>9.1999999999999998E-3</v>
      </c>
      <c r="Z372" s="527"/>
      <c r="AA372" s="512"/>
      <c r="AB372" s="460">
        <v>0.3</v>
      </c>
      <c r="AC372" s="512"/>
      <c r="AD372" s="513"/>
      <c r="AF372" s="550"/>
      <c r="AG372" s="513"/>
      <c r="AH372" s="513"/>
      <c r="AI372" s="513"/>
      <c r="AJ372" s="551"/>
      <c r="AK372" s="513"/>
      <c r="AL372" s="516"/>
      <c r="AM372" s="513"/>
      <c r="AN372" s="513"/>
      <c r="AO372" s="517"/>
      <c r="AP372" s="513"/>
      <c r="AQ372" s="513"/>
      <c r="AR372" s="517"/>
      <c r="AS372" s="517"/>
      <c r="AT372" s="518"/>
      <c r="AU372" s="513"/>
      <c r="AV372" s="517"/>
      <c r="AW372" s="513"/>
      <c r="AX372" s="513"/>
      <c r="AY372" s="513"/>
      <c r="AZ372" s="513"/>
      <c r="BA372" s="513"/>
    </row>
    <row r="373" spans="1:53" s="514" customFormat="1" x14ac:dyDescent="0.25">
      <c r="A373" s="1138"/>
      <c r="B373" s="552" t="s">
        <v>1178</v>
      </c>
      <c r="C373" s="470">
        <f>C363</f>
        <v>43.888814515309463</v>
      </c>
      <c r="D373" s="540"/>
      <c r="E373" s="541" t="s">
        <v>1439</v>
      </c>
      <c r="F373" s="542" t="s">
        <v>1438</v>
      </c>
      <c r="G373" s="543">
        <v>0.27</v>
      </c>
      <c r="H373" s="542">
        <v>0.01</v>
      </c>
      <c r="I373" s="544">
        <f t="shared" si="35"/>
        <v>2.7000000000000001E-3</v>
      </c>
      <c r="J373" s="525" t="s">
        <v>1445</v>
      </c>
      <c r="K373" s="528">
        <v>2</v>
      </c>
      <c r="L373" s="553">
        <v>95</v>
      </c>
      <c r="M373" s="545">
        <v>2</v>
      </c>
      <c r="N373" s="528">
        <v>3.1146400000000001</v>
      </c>
      <c r="O373" s="527" t="s">
        <v>1580</v>
      </c>
      <c r="P373" s="527">
        <v>39500</v>
      </c>
      <c r="Q373" s="548">
        <v>0.19670000000000001</v>
      </c>
      <c r="R373" s="527">
        <f>P373*Q373</f>
        <v>7769.6500000000005</v>
      </c>
      <c r="S373" s="527">
        <v>1.7125999999999999</v>
      </c>
      <c r="T373" s="527"/>
      <c r="U373" s="527"/>
      <c r="V373" s="527"/>
      <c r="W373" s="548"/>
      <c r="X373" s="527"/>
      <c r="Y373" s="527"/>
      <c r="Z373" s="527"/>
      <c r="AA373" s="512"/>
      <c r="AB373" s="460">
        <v>0.3</v>
      </c>
      <c r="AC373" s="512"/>
      <c r="AD373" s="513"/>
      <c r="AF373" s="550"/>
      <c r="AG373" s="513"/>
      <c r="AH373" s="513"/>
      <c r="AI373" s="513"/>
      <c r="AJ373" s="551"/>
      <c r="AK373" s="513"/>
      <c r="AL373" s="516"/>
      <c r="AM373" s="538"/>
      <c r="AN373" s="513"/>
      <c r="AO373" s="517"/>
      <c r="AP373" s="513"/>
      <c r="AQ373" s="513"/>
      <c r="AR373" s="517"/>
      <c r="AS373" s="517"/>
      <c r="AT373" s="513"/>
      <c r="AU373" s="513"/>
      <c r="AV373" s="517"/>
      <c r="AW373" s="513"/>
      <c r="AX373" s="513"/>
      <c r="AY373" s="513"/>
      <c r="AZ373" s="513"/>
      <c r="BA373" s="513"/>
    </row>
    <row r="374" spans="1:53" s="514" customFormat="1" ht="12.75" customHeight="1" x14ac:dyDescent="0.25">
      <c r="A374" s="1138"/>
      <c r="B374" s="554" t="s">
        <v>1179</v>
      </c>
      <c r="C374" s="439">
        <f>C364</f>
        <v>19.495759833054819</v>
      </c>
      <c r="D374" s="540"/>
      <c r="E374" s="541" t="s">
        <v>1440</v>
      </c>
      <c r="F374" s="542" t="s">
        <v>1441</v>
      </c>
      <c r="G374" s="543">
        <v>5.92</v>
      </c>
      <c r="H374" s="555">
        <v>1</v>
      </c>
      <c r="I374" s="544">
        <f t="shared" si="35"/>
        <v>5.92</v>
      </c>
      <c r="J374" s="525" t="s">
        <v>1513</v>
      </c>
      <c r="K374" s="528">
        <v>2</v>
      </c>
      <c r="L374" s="528">
        <v>25</v>
      </c>
      <c r="M374" s="545">
        <v>0.5</v>
      </c>
      <c r="N374" s="528">
        <v>0.13225000000000001</v>
      </c>
      <c r="O374" s="527"/>
      <c r="P374" s="527"/>
      <c r="Q374" s="548"/>
      <c r="R374" s="527"/>
      <c r="S374" s="527"/>
      <c r="T374" s="527"/>
      <c r="U374" s="527"/>
      <c r="V374" s="527"/>
      <c r="W374" s="548"/>
      <c r="X374" s="527"/>
      <c r="Y374" s="527"/>
      <c r="Z374" s="527"/>
      <c r="AA374" s="512"/>
      <c r="AB374" s="460">
        <v>0.3</v>
      </c>
      <c r="AC374" s="512"/>
      <c r="AD374" s="513"/>
      <c r="AF374" s="550"/>
      <c r="AG374" s="513"/>
      <c r="AH374" s="513"/>
      <c r="AI374" s="513"/>
      <c r="AJ374" s="551"/>
      <c r="AK374" s="513"/>
      <c r="AL374" s="516"/>
      <c r="AM374" s="513"/>
      <c r="AN374" s="513"/>
      <c r="AO374" s="517"/>
      <c r="AP374" s="513"/>
      <c r="AQ374" s="513"/>
      <c r="AR374" s="517"/>
      <c r="AS374" s="517"/>
      <c r="AT374" s="513"/>
      <c r="AU374" s="513"/>
      <c r="AV374" s="517"/>
      <c r="AW374" s="513"/>
      <c r="AX374" s="513"/>
      <c r="AY374" s="513"/>
      <c r="AZ374" s="513"/>
      <c r="BA374" s="513"/>
    </row>
    <row r="375" spans="1:53" s="514" customFormat="1" ht="12.75" customHeight="1" x14ac:dyDescent="0.25">
      <c r="A375" s="1138"/>
      <c r="B375" s="554" t="s">
        <v>1180</v>
      </c>
      <c r="C375" s="556"/>
      <c r="D375" s="540"/>
      <c r="E375" s="541" t="s">
        <v>1442</v>
      </c>
      <c r="F375" s="542" t="s">
        <v>1443</v>
      </c>
      <c r="G375" s="543">
        <v>419.5</v>
      </c>
      <c r="H375" s="542">
        <v>0.01</v>
      </c>
      <c r="I375" s="544">
        <f t="shared" si="35"/>
        <v>4.1950000000000003</v>
      </c>
      <c r="J375" s="525"/>
      <c r="K375" s="557"/>
      <c r="L375" s="528"/>
      <c r="M375" s="528"/>
      <c r="N375" s="528"/>
      <c r="O375" s="527"/>
      <c r="P375" s="527"/>
      <c r="Q375" s="527"/>
      <c r="R375" s="527"/>
      <c r="S375" s="527"/>
      <c r="T375" s="527"/>
      <c r="U375" s="527"/>
      <c r="V375" s="527"/>
      <c r="W375" s="527"/>
      <c r="X375" s="527"/>
      <c r="Y375" s="527"/>
      <c r="Z375" s="527"/>
      <c r="AA375" s="512"/>
      <c r="AB375" s="460">
        <v>0.3</v>
      </c>
      <c r="AC375" s="512"/>
      <c r="AD375" s="513"/>
      <c r="AF375" s="550"/>
      <c r="AG375" s="513"/>
      <c r="AH375" s="513"/>
      <c r="AI375" s="513"/>
      <c r="AJ375" s="551"/>
      <c r="AK375" s="513"/>
      <c r="AL375" s="516"/>
      <c r="AM375" s="513"/>
      <c r="AN375" s="513"/>
      <c r="AO375" s="517"/>
      <c r="AP375" s="513"/>
      <c r="AQ375" s="513"/>
      <c r="AR375" s="517"/>
      <c r="AS375" s="517"/>
      <c r="AT375" s="513"/>
      <c r="AU375" s="513"/>
      <c r="AV375" s="517"/>
      <c r="AW375" s="513"/>
      <c r="AX375" s="513"/>
      <c r="AY375" s="513"/>
      <c r="AZ375" s="513"/>
      <c r="BA375" s="513"/>
    </row>
    <row r="376" spans="1:53" s="514" customFormat="1" ht="12.75" customHeight="1" x14ac:dyDescent="0.25">
      <c r="A376" s="1138"/>
      <c r="B376" s="552" t="s">
        <v>1178</v>
      </c>
      <c r="C376" s="473">
        <v>4</v>
      </c>
      <c r="D376" s="540"/>
      <c r="E376" s="541" t="s">
        <v>1444</v>
      </c>
      <c r="F376" s="542" t="s">
        <v>1443</v>
      </c>
      <c r="G376" s="543">
        <v>872</v>
      </c>
      <c r="H376" s="542">
        <v>5.0000000000000001E-3</v>
      </c>
      <c r="I376" s="544">
        <f t="shared" si="35"/>
        <v>4.3600000000000003</v>
      </c>
      <c r="J376" s="525"/>
      <c r="K376" s="557"/>
      <c r="L376" s="528"/>
      <c r="M376" s="528"/>
      <c r="N376" s="528"/>
      <c r="O376" s="527"/>
      <c r="P376" s="527"/>
      <c r="Q376" s="527"/>
      <c r="R376" s="527"/>
      <c r="S376" s="527"/>
      <c r="T376" s="527"/>
      <c r="U376" s="527"/>
      <c r="V376" s="527"/>
      <c r="W376" s="527"/>
      <c r="X376" s="527"/>
      <c r="Y376" s="527"/>
      <c r="Z376" s="527"/>
      <c r="AA376" s="512"/>
      <c r="AB376" s="460">
        <v>0.3</v>
      </c>
      <c r="AC376" s="512"/>
      <c r="AD376" s="513"/>
      <c r="AF376" s="550"/>
      <c r="AG376" s="513"/>
      <c r="AH376" s="513"/>
      <c r="AI376" s="513"/>
      <c r="AJ376" s="558"/>
      <c r="AK376" s="513"/>
      <c r="AL376" s="516"/>
      <c r="AM376" s="513"/>
      <c r="AN376" s="513"/>
      <c r="AO376" s="517"/>
      <c r="AP376" s="513"/>
      <c r="AQ376" s="513"/>
      <c r="AR376" s="517"/>
      <c r="AS376" s="517"/>
      <c r="AT376" s="513"/>
      <c r="AU376" s="513"/>
      <c r="AV376" s="517"/>
      <c r="AW376" s="513"/>
      <c r="AX376" s="513"/>
      <c r="AY376" s="513"/>
      <c r="AZ376" s="513"/>
      <c r="BA376" s="513"/>
    </row>
    <row r="377" spans="1:53" s="514" customFormat="1" ht="12.75" customHeight="1" x14ac:dyDescent="0.25">
      <c r="A377" s="1138"/>
      <c r="B377" s="554" t="s">
        <v>1179</v>
      </c>
      <c r="C377" s="473">
        <v>4</v>
      </c>
      <c r="D377" s="540"/>
      <c r="E377" s="541" t="s">
        <v>581</v>
      </c>
      <c r="F377" s="560" t="s">
        <v>1438</v>
      </c>
      <c r="G377" s="543">
        <v>16.39</v>
      </c>
      <c r="H377" s="542">
        <v>0.25</v>
      </c>
      <c r="I377" s="544">
        <f t="shared" si="35"/>
        <v>4.0975000000000001</v>
      </c>
      <c r="J377" s="525"/>
      <c r="K377" s="557"/>
      <c r="L377" s="546"/>
      <c r="M377" s="545"/>
      <c r="N377" s="528"/>
      <c r="O377" s="527"/>
      <c r="P377" s="527"/>
      <c r="Q377" s="527"/>
      <c r="R377" s="527"/>
      <c r="S377" s="527"/>
      <c r="T377" s="527"/>
      <c r="U377" s="527"/>
      <c r="V377" s="527"/>
      <c r="W377" s="527"/>
      <c r="X377" s="527"/>
      <c r="Y377" s="527"/>
      <c r="Z377" s="527"/>
      <c r="AA377" s="512"/>
      <c r="AB377" s="460">
        <v>0.3</v>
      </c>
      <c r="AC377" s="512"/>
      <c r="AD377" s="513"/>
      <c r="AF377" s="550"/>
      <c r="AG377" s="513"/>
      <c r="AH377" s="513"/>
      <c r="AI377" s="513"/>
      <c r="AJ377" s="558"/>
      <c r="AK377" s="513"/>
      <c r="AL377" s="516"/>
      <c r="AM377" s="513"/>
      <c r="AN377" s="513"/>
      <c r="AO377" s="517"/>
      <c r="AP377" s="513"/>
      <c r="AQ377" s="513"/>
      <c r="AR377" s="517"/>
      <c r="AS377" s="517"/>
      <c r="AT377" s="513"/>
      <c r="AU377" s="513"/>
      <c r="AV377" s="517"/>
      <c r="AW377" s="513"/>
      <c r="AX377" s="513"/>
      <c r="AY377" s="513"/>
      <c r="AZ377" s="513"/>
      <c r="BA377" s="513"/>
    </row>
    <row r="378" spans="1:53" s="514" customFormat="1" ht="12.75" customHeight="1" x14ac:dyDescent="0.25">
      <c r="A378" s="1138"/>
      <c r="B378" s="561" t="s">
        <v>1181</v>
      </c>
      <c r="C378" s="562">
        <f>C373*C376+C374*C377</f>
        <v>253.53829739345713</v>
      </c>
      <c r="D378" s="540"/>
      <c r="E378" s="541" t="s">
        <v>13</v>
      </c>
      <c r="F378" s="563" t="s">
        <v>1441</v>
      </c>
      <c r="G378" s="543">
        <v>1.5</v>
      </c>
      <c r="H378" s="542">
        <v>1</v>
      </c>
      <c r="I378" s="544">
        <f t="shared" si="35"/>
        <v>1.5</v>
      </c>
      <c r="J378" s="525"/>
      <c r="K378" s="557"/>
      <c r="L378" s="528"/>
      <c r="M378" s="528"/>
      <c r="N378" s="528"/>
      <c r="O378" s="527"/>
      <c r="P378" s="527"/>
      <c r="Q378" s="527"/>
      <c r="R378" s="527"/>
      <c r="S378" s="527"/>
      <c r="T378" s="527"/>
      <c r="U378" s="527"/>
      <c r="V378" s="527"/>
      <c r="W378" s="527"/>
      <c r="X378" s="527"/>
      <c r="Y378" s="527"/>
      <c r="Z378" s="527"/>
      <c r="AA378" s="512"/>
      <c r="AB378" s="460">
        <v>0.3</v>
      </c>
      <c r="AC378" s="512"/>
      <c r="AD378" s="513"/>
      <c r="AF378" s="564"/>
      <c r="AG378" s="513"/>
      <c r="AH378" s="513"/>
      <c r="AI378" s="513"/>
      <c r="AJ378" s="551"/>
      <c r="AK378" s="513"/>
      <c r="AL378" s="516"/>
      <c r="AM378" s="513"/>
      <c r="AN378" s="513"/>
      <c r="AO378" s="517"/>
      <c r="AP378" s="513"/>
      <c r="AQ378" s="513"/>
      <c r="AR378" s="517"/>
      <c r="AS378" s="517"/>
      <c r="AT378" s="513"/>
      <c r="AU378" s="513"/>
      <c r="AV378" s="517"/>
      <c r="AW378" s="513"/>
      <c r="AX378" s="513"/>
      <c r="AY378" s="513"/>
      <c r="AZ378" s="513"/>
      <c r="BA378" s="513"/>
    </row>
    <row r="379" spans="1:53" s="514" customFormat="1" ht="12.75" customHeight="1" x14ac:dyDescent="0.25">
      <c r="A379" s="1138"/>
      <c r="B379" s="561"/>
      <c r="C379" s="562"/>
      <c r="D379" s="540"/>
      <c r="E379" s="541" t="s">
        <v>27</v>
      </c>
      <c r="F379" s="563" t="s">
        <v>1</v>
      </c>
      <c r="G379" s="543">
        <v>13.78</v>
      </c>
      <c r="H379" s="542">
        <v>1.5</v>
      </c>
      <c r="I379" s="544">
        <f t="shared" si="35"/>
        <v>20.669999999999998</v>
      </c>
      <c r="J379" s="525"/>
      <c r="K379" s="557"/>
      <c r="L379" s="528"/>
      <c r="M379" s="528"/>
      <c r="N379" s="528"/>
      <c r="O379" s="527"/>
      <c r="P379" s="527"/>
      <c r="Q379" s="527"/>
      <c r="R379" s="527"/>
      <c r="S379" s="527"/>
      <c r="T379" s="527"/>
      <c r="U379" s="527"/>
      <c r="V379" s="527"/>
      <c r="W379" s="527"/>
      <c r="X379" s="527"/>
      <c r="Y379" s="527"/>
      <c r="Z379" s="527"/>
      <c r="AA379" s="512"/>
      <c r="AB379" s="460"/>
      <c r="AC379" s="512"/>
      <c r="AD379" s="513"/>
      <c r="AF379" s="564"/>
      <c r="AG379" s="513"/>
      <c r="AH379" s="513"/>
      <c r="AI379" s="513"/>
      <c r="AJ379" s="551"/>
      <c r="AK379" s="513"/>
      <c r="AL379" s="516"/>
      <c r="AM379" s="513"/>
      <c r="AN379" s="513"/>
      <c r="AO379" s="517"/>
      <c r="AP379" s="513"/>
      <c r="AQ379" s="513"/>
      <c r="AR379" s="517"/>
      <c r="AS379" s="517"/>
      <c r="AT379" s="513"/>
      <c r="AU379" s="513"/>
      <c r="AV379" s="517"/>
      <c r="AW379" s="513"/>
      <c r="AX379" s="513"/>
      <c r="AY379" s="513"/>
      <c r="AZ379" s="513"/>
      <c r="BA379" s="513"/>
    </row>
    <row r="380" spans="1:53" s="514" customFormat="1" ht="12.75" customHeight="1" x14ac:dyDescent="0.25">
      <c r="A380" s="1138"/>
      <c r="B380" s="561"/>
      <c r="C380" s="562"/>
      <c r="D380" s="540"/>
      <c r="E380" s="541" t="s">
        <v>22</v>
      </c>
      <c r="F380" s="563" t="s">
        <v>1441</v>
      </c>
      <c r="G380" s="543">
        <v>1.5</v>
      </c>
      <c r="H380" s="542">
        <v>2</v>
      </c>
      <c r="I380" s="544">
        <f t="shared" si="35"/>
        <v>3</v>
      </c>
      <c r="J380" s="525"/>
      <c r="K380" s="557"/>
      <c r="L380" s="528"/>
      <c r="M380" s="528"/>
      <c r="N380" s="528"/>
      <c r="O380" s="527"/>
      <c r="P380" s="527"/>
      <c r="Q380" s="527"/>
      <c r="R380" s="527"/>
      <c r="S380" s="527"/>
      <c r="T380" s="527"/>
      <c r="U380" s="527"/>
      <c r="V380" s="527"/>
      <c r="W380" s="527"/>
      <c r="X380" s="527"/>
      <c r="Y380" s="527"/>
      <c r="Z380" s="527"/>
      <c r="AA380" s="512"/>
      <c r="AB380" s="460"/>
      <c r="AC380" s="512"/>
      <c r="AD380" s="513"/>
      <c r="AF380" s="564"/>
      <c r="AG380" s="513"/>
      <c r="AH380" s="513"/>
      <c r="AI380" s="513"/>
      <c r="AJ380" s="551"/>
      <c r="AK380" s="513"/>
      <c r="AL380" s="516"/>
      <c r="AM380" s="513"/>
      <c r="AN380" s="513"/>
      <c r="AO380" s="517"/>
      <c r="AP380" s="513"/>
      <c r="AQ380" s="513"/>
      <c r="AR380" s="517"/>
      <c r="AS380" s="517"/>
      <c r="AT380" s="513"/>
      <c r="AU380" s="513"/>
      <c r="AV380" s="517"/>
      <c r="AW380" s="513"/>
      <c r="AX380" s="513"/>
      <c r="AY380" s="513"/>
      <c r="AZ380" s="513"/>
      <c r="BA380" s="513"/>
    </row>
    <row r="381" spans="1:53" s="514" customFormat="1" ht="12.75" customHeight="1" x14ac:dyDescent="0.25">
      <c r="A381" s="1138"/>
      <c r="B381" s="561"/>
      <c r="C381" s="473"/>
      <c r="D381" s="540"/>
      <c r="E381" s="541" t="s">
        <v>18</v>
      </c>
      <c r="F381" s="563" t="s">
        <v>1438</v>
      </c>
      <c r="G381" s="543">
        <v>0.94</v>
      </c>
      <c r="H381" s="542">
        <v>1</v>
      </c>
      <c r="I381" s="544">
        <f t="shared" si="35"/>
        <v>0.94</v>
      </c>
      <c r="J381" s="525"/>
      <c r="K381" s="557"/>
      <c r="L381" s="528"/>
      <c r="M381" s="528"/>
      <c r="N381" s="528"/>
      <c r="O381" s="527"/>
      <c r="P381" s="527"/>
      <c r="Q381" s="527"/>
      <c r="R381" s="527"/>
      <c r="S381" s="527"/>
      <c r="T381" s="527"/>
      <c r="U381" s="527"/>
      <c r="V381" s="527"/>
      <c r="W381" s="527"/>
      <c r="X381" s="527"/>
      <c r="Y381" s="527"/>
      <c r="Z381" s="527"/>
      <c r="AA381" s="512"/>
      <c r="AB381" s="460">
        <v>0.3</v>
      </c>
      <c r="AC381" s="512"/>
      <c r="AD381" s="513"/>
      <c r="AF381" s="564"/>
      <c r="AG381" s="513"/>
      <c r="AH381" s="513"/>
      <c r="AI381" s="513"/>
      <c r="AJ381" s="558"/>
      <c r="AK381" s="513"/>
      <c r="AL381" s="516"/>
      <c r="AM381" s="513"/>
      <c r="AN381" s="513"/>
      <c r="AO381" s="517"/>
      <c r="AP381" s="513"/>
      <c r="AQ381" s="513"/>
      <c r="AR381" s="517"/>
      <c r="AS381" s="517"/>
      <c r="AT381" s="513"/>
      <c r="AU381" s="513"/>
      <c r="AV381" s="517"/>
      <c r="AW381" s="513"/>
      <c r="AX381" s="513"/>
      <c r="AY381" s="513"/>
      <c r="AZ381" s="513"/>
      <c r="BA381" s="513"/>
    </row>
    <row r="382" spans="1:53" s="514" customFormat="1" ht="56.25" customHeight="1" x14ac:dyDescent="0.25">
      <c r="A382" s="1137" t="s">
        <v>1521</v>
      </c>
      <c r="B382" s="502"/>
      <c r="C382" s="503"/>
      <c r="D382" s="504"/>
      <c r="E382" s="505" t="s">
        <v>488</v>
      </c>
      <c r="F382" s="506" t="s">
        <v>837</v>
      </c>
      <c r="G382" s="503" t="s">
        <v>489</v>
      </c>
      <c r="H382" s="505" t="s">
        <v>1170</v>
      </c>
      <c r="I382" s="507" t="s">
        <v>838</v>
      </c>
      <c r="J382" s="508" t="s">
        <v>1171</v>
      </c>
      <c r="K382" s="508" t="s">
        <v>490</v>
      </c>
      <c r="L382" s="509" t="s">
        <v>489</v>
      </c>
      <c r="M382" s="508" t="s">
        <v>1172</v>
      </c>
      <c r="N382" s="507" t="s">
        <v>838</v>
      </c>
      <c r="O382" s="508" t="s">
        <v>1171</v>
      </c>
      <c r="P382" s="508" t="s">
        <v>826</v>
      </c>
      <c r="Q382" s="508" t="s">
        <v>1173</v>
      </c>
      <c r="R382" s="508" t="s">
        <v>1174</v>
      </c>
      <c r="S382" s="508" t="s">
        <v>839</v>
      </c>
      <c r="T382" s="508" t="s">
        <v>1171</v>
      </c>
      <c r="U382" s="508" t="s">
        <v>1392</v>
      </c>
      <c r="V382" s="508" t="s">
        <v>841</v>
      </c>
      <c r="W382" s="510" t="s">
        <v>1173</v>
      </c>
      <c r="X382" s="508" t="s">
        <v>1394</v>
      </c>
      <c r="Y382" s="508" t="s">
        <v>839</v>
      </c>
      <c r="Z382" s="511"/>
      <c r="AA382" s="512"/>
      <c r="AB382" s="460">
        <v>0.3</v>
      </c>
      <c r="AC382" s="512"/>
      <c r="AD382" s="513"/>
      <c r="AF382" s="515"/>
      <c r="AG382" s="513"/>
      <c r="AH382" s="513"/>
      <c r="AI382" s="513"/>
      <c r="AJ382" s="513"/>
      <c r="AK382" s="513"/>
      <c r="AL382" s="516"/>
      <c r="AM382" s="513"/>
      <c r="AN382" s="513"/>
      <c r="AO382" s="517"/>
      <c r="AP382" s="513"/>
      <c r="AQ382" s="518"/>
      <c r="AR382" s="518"/>
      <c r="AS382" s="518"/>
      <c r="AT382" s="513"/>
      <c r="AU382" s="513"/>
      <c r="AV382" s="517"/>
      <c r="AW382" s="513"/>
      <c r="AX382" s="513"/>
      <c r="AY382" s="513"/>
      <c r="AZ382" s="513"/>
      <c r="BA382" s="513"/>
    </row>
    <row r="383" spans="1:53" s="514" customFormat="1" ht="12" customHeight="1" x14ac:dyDescent="0.25">
      <c r="A383" s="1138"/>
      <c r="B383" s="519" t="s">
        <v>1175</v>
      </c>
      <c r="C383" s="503">
        <f>C390</f>
        <v>316.92287174182138</v>
      </c>
      <c r="D383" s="520">
        <f>C383*$D$7</f>
        <v>64.018420091847929</v>
      </c>
      <c r="E383" s="521" t="s">
        <v>1176</v>
      </c>
      <c r="F383" s="522"/>
      <c r="G383" s="523"/>
      <c r="H383" s="523"/>
      <c r="I383" s="524">
        <f>SUM(I384:I392)</f>
        <v>113.73869999999999</v>
      </c>
      <c r="J383" s="525" t="s">
        <v>1176</v>
      </c>
      <c r="K383" s="526"/>
      <c r="L383" s="527"/>
      <c r="M383" s="527"/>
      <c r="N383" s="528">
        <f>SUM(N384:N392)</f>
        <v>4.4213899999999997</v>
      </c>
      <c r="O383" s="527" t="s">
        <v>1176</v>
      </c>
      <c r="P383" s="527"/>
      <c r="Q383" s="529"/>
      <c r="R383" s="530"/>
      <c r="S383" s="528">
        <f>SUM(S384:S392)</f>
        <v>9.9028000000000009</v>
      </c>
      <c r="T383" s="528"/>
      <c r="U383" s="528"/>
      <c r="V383" s="528"/>
      <c r="W383" s="528"/>
      <c r="X383" s="528"/>
      <c r="Y383" s="528">
        <f>SUM(Y384:Y392)</f>
        <v>9.1999999999999998E-3</v>
      </c>
      <c r="Z383" s="531">
        <f>(C383+D383+I383+N383+S383+Y384)*$Z$7</f>
        <v>661.81293452798707</v>
      </c>
      <c r="AA383" s="532">
        <f>C383+D383+I383+N383+S383+Y383+Z383</f>
        <v>1170.8263163616564</v>
      </c>
      <c r="AB383" s="460">
        <v>0.3</v>
      </c>
      <c r="AC383" s="533">
        <f>AA383*(1+AB383)</f>
        <v>1522.0742112701535</v>
      </c>
      <c r="AD383" s="517"/>
      <c r="AF383" s="515"/>
      <c r="AG383" s="513"/>
      <c r="AH383" s="513"/>
      <c r="AI383" s="518"/>
      <c r="AJ383" s="534"/>
      <c r="AK383" s="535"/>
      <c r="AL383" s="516"/>
      <c r="AM383" s="536"/>
      <c r="AN383" s="537"/>
      <c r="AO383" s="536"/>
      <c r="AP383" s="518"/>
      <c r="AQ383" s="518"/>
      <c r="AR383" s="518"/>
      <c r="AS383" s="518"/>
      <c r="AT383" s="518"/>
      <c r="AU383" s="536"/>
      <c r="AV383" s="536"/>
      <c r="AW383" s="538"/>
      <c r="AX383" s="513"/>
      <c r="AY383" s="513"/>
      <c r="AZ383" s="513"/>
      <c r="BA383" s="513"/>
    </row>
    <row r="384" spans="1:53" s="514" customFormat="1" ht="12.75" customHeight="1" x14ac:dyDescent="0.25">
      <c r="A384" s="1138"/>
      <c r="B384" s="539" t="s">
        <v>1177</v>
      </c>
      <c r="C384" s="503"/>
      <c r="D384" s="540"/>
      <c r="E384" s="541" t="s">
        <v>1437</v>
      </c>
      <c r="F384" s="542" t="s">
        <v>1438</v>
      </c>
      <c r="G384" s="543">
        <v>0.74</v>
      </c>
      <c r="H384" s="542">
        <v>0.1</v>
      </c>
      <c r="I384" s="544">
        <f t="shared" ref="I384:I392" si="36">G384*H384</f>
        <v>7.3999999999999996E-2</v>
      </c>
      <c r="J384" s="525" t="s">
        <v>1291</v>
      </c>
      <c r="K384" s="545">
        <v>2</v>
      </c>
      <c r="L384" s="546">
        <v>750</v>
      </c>
      <c r="M384" s="545">
        <v>2</v>
      </c>
      <c r="N384" s="528">
        <v>1.1745000000000001</v>
      </c>
      <c r="O384" s="547" t="s">
        <v>1578</v>
      </c>
      <c r="P384" s="527">
        <v>188900</v>
      </c>
      <c r="Q384" s="548">
        <v>0.19670000000000001</v>
      </c>
      <c r="R384" s="527">
        <f>P384*Q384</f>
        <v>37156.630000000005</v>
      </c>
      <c r="S384" s="527">
        <v>8.1902000000000008</v>
      </c>
      <c r="T384" s="512" t="s">
        <v>1435</v>
      </c>
      <c r="U384" s="523">
        <v>6785401.3499999996</v>
      </c>
      <c r="V384" s="549">
        <v>1.32E-2</v>
      </c>
      <c r="W384" s="512">
        <v>1508.3</v>
      </c>
      <c r="X384" s="528">
        <v>59.38</v>
      </c>
      <c r="Y384" s="527">
        <v>9.1999999999999998E-3</v>
      </c>
      <c r="Z384" s="527"/>
      <c r="AA384" s="512"/>
      <c r="AB384" s="460">
        <v>0.3</v>
      </c>
      <c r="AC384" s="512"/>
      <c r="AD384" s="513"/>
      <c r="AF384" s="550"/>
      <c r="AG384" s="513"/>
      <c r="AH384" s="513"/>
      <c r="AI384" s="513"/>
      <c r="AJ384" s="551"/>
      <c r="AK384" s="513"/>
      <c r="AL384" s="516"/>
      <c r="AM384" s="513"/>
      <c r="AN384" s="513"/>
      <c r="AO384" s="517"/>
      <c r="AP384" s="513"/>
      <c r="AQ384" s="513"/>
      <c r="AR384" s="517"/>
      <c r="AS384" s="517"/>
      <c r="AT384" s="518"/>
      <c r="AU384" s="513"/>
      <c r="AV384" s="517"/>
      <c r="AW384" s="513"/>
      <c r="AX384" s="513"/>
      <c r="AY384" s="513"/>
      <c r="AZ384" s="513"/>
      <c r="BA384" s="513"/>
    </row>
    <row r="385" spans="1:53" s="514" customFormat="1" x14ac:dyDescent="0.25">
      <c r="A385" s="1138"/>
      <c r="B385" s="565" t="s">
        <v>1178</v>
      </c>
      <c r="C385" s="491">
        <f>C373</f>
        <v>43.888814515309463</v>
      </c>
      <c r="D385" s="566"/>
      <c r="E385" s="541" t="s">
        <v>1439</v>
      </c>
      <c r="F385" s="542" t="s">
        <v>1438</v>
      </c>
      <c r="G385" s="543">
        <v>0.27</v>
      </c>
      <c r="H385" s="542">
        <v>0.01</v>
      </c>
      <c r="I385" s="544">
        <f t="shared" si="36"/>
        <v>2.7000000000000001E-3</v>
      </c>
      <c r="J385" s="525" t="s">
        <v>1445</v>
      </c>
      <c r="K385" s="528">
        <v>2</v>
      </c>
      <c r="L385" s="553">
        <v>95</v>
      </c>
      <c r="M385" s="545">
        <v>2</v>
      </c>
      <c r="N385" s="528">
        <v>3.1146400000000001</v>
      </c>
      <c r="O385" s="527" t="s">
        <v>1580</v>
      </c>
      <c r="P385" s="527">
        <v>39500</v>
      </c>
      <c r="Q385" s="548">
        <v>0.19670000000000001</v>
      </c>
      <c r="R385" s="527">
        <f>P385*Q385</f>
        <v>7769.6500000000005</v>
      </c>
      <c r="S385" s="527">
        <v>1.7125999999999999</v>
      </c>
      <c r="T385" s="527"/>
      <c r="U385" s="527"/>
      <c r="V385" s="527"/>
      <c r="W385" s="548"/>
      <c r="X385" s="527"/>
      <c r="Y385" s="527"/>
      <c r="Z385" s="527"/>
      <c r="AA385" s="512"/>
      <c r="AB385" s="460">
        <v>0.3</v>
      </c>
      <c r="AC385" s="512"/>
      <c r="AD385" s="513"/>
      <c r="AF385" s="550"/>
      <c r="AG385" s="513"/>
      <c r="AH385" s="513"/>
      <c r="AI385" s="513"/>
      <c r="AJ385" s="551"/>
      <c r="AK385" s="513"/>
      <c r="AL385" s="516"/>
      <c r="AM385" s="538"/>
      <c r="AN385" s="513"/>
      <c r="AO385" s="517"/>
      <c r="AP385" s="513"/>
      <c r="AQ385" s="513"/>
      <c r="AR385" s="517"/>
      <c r="AS385" s="517"/>
      <c r="AT385" s="513"/>
      <c r="AU385" s="513"/>
      <c r="AV385" s="517"/>
      <c r="AW385" s="513"/>
      <c r="AX385" s="513"/>
      <c r="AY385" s="513"/>
      <c r="AZ385" s="513"/>
      <c r="BA385" s="513"/>
    </row>
    <row r="386" spans="1:53" s="514" customFormat="1" ht="12.75" customHeight="1" x14ac:dyDescent="0.25">
      <c r="A386" s="1138"/>
      <c r="B386" s="521" t="s">
        <v>1179</v>
      </c>
      <c r="C386" s="487">
        <f>C374</f>
        <v>19.495759833054819</v>
      </c>
      <c r="D386" s="566"/>
      <c r="E386" s="541" t="s">
        <v>1440</v>
      </c>
      <c r="F386" s="542" t="s">
        <v>1441</v>
      </c>
      <c r="G386" s="543">
        <v>5.92</v>
      </c>
      <c r="H386" s="555">
        <v>1</v>
      </c>
      <c r="I386" s="544">
        <f t="shared" si="36"/>
        <v>5.92</v>
      </c>
      <c r="J386" s="525" t="s">
        <v>1513</v>
      </c>
      <c r="K386" s="528">
        <v>2</v>
      </c>
      <c r="L386" s="528">
        <v>25</v>
      </c>
      <c r="M386" s="545">
        <v>0.5</v>
      </c>
      <c r="N386" s="528">
        <v>0.13225000000000001</v>
      </c>
      <c r="O386" s="527"/>
      <c r="P386" s="527"/>
      <c r="Q386" s="548"/>
      <c r="R386" s="527"/>
      <c r="S386" s="527"/>
      <c r="T386" s="527"/>
      <c r="U386" s="527"/>
      <c r="V386" s="527"/>
      <c r="W386" s="548"/>
      <c r="X386" s="527"/>
      <c r="Y386" s="527"/>
      <c r="Z386" s="527"/>
      <c r="AA386" s="512"/>
      <c r="AB386" s="460">
        <v>0.3</v>
      </c>
      <c r="AC386" s="512"/>
      <c r="AD386" s="513"/>
      <c r="AF386" s="550"/>
      <c r="AG386" s="513"/>
      <c r="AH386" s="513"/>
      <c r="AI386" s="513"/>
      <c r="AJ386" s="551"/>
      <c r="AK386" s="513"/>
      <c r="AL386" s="516"/>
      <c r="AM386" s="513"/>
      <c r="AN386" s="513"/>
      <c r="AO386" s="517"/>
      <c r="AP386" s="513"/>
      <c r="AQ386" s="513"/>
      <c r="AR386" s="517"/>
      <c r="AS386" s="517"/>
      <c r="AT386" s="513"/>
      <c r="AU386" s="513"/>
      <c r="AV386" s="517"/>
      <c r="AW386" s="513"/>
      <c r="AX386" s="513"/>
      <c r="AY386" s="513"/>
      <c r="AZ386" s="513"/>
      <c r="BA386" s="513"/>
    </row>
    <row r="387" spans="1:53" s="514" customFormat="1" ht="12.75" customHeight="1" x14ac:dyDescent="0.25">
      <c r="A387" s="1138"/>
      <c r="B387" s="521" t="s">
        <v>1180</v>
      </c>
      <c r="C387" s="567"/>
      <c r="D387" s="566"/>
      <c r="E387" s="541" t="s">
        <v>1442</v>
      </c>
      <c r="F387" s="542" t="s">
        <v>1443</v>
      </c>
      <c r="G387" s="543">
        <v>419.5</v>
      </c>
      <c r="H387" s="542">
        <v>0.01</v>
      </c>
      <c r="I387" s="544">
        <f t="shared" si="36"/>
        <v>4.1950000000000003</v>
      </c>
      <c r="J387" s="525"/>
      <c r="K387" s="557"/>
      <c r="L387" s="528"/>
      <c r="M387" s="528"/>
      <c r="N387" s="528"/>
      <c r="O387" s="527"/>
      <c r="P387" s="527"/>
      <c r="Q387" s="527"/>
      <c r="R387" s="527"/>
      <c r="S387" s="527"/>
      <c r="T387" s="527"/>
      <c r="U387" s="527"/>
      <c r="V387" s="527"/>
      <c r="W387" s="527"/>
      <c r="X387" s="527"/>
      <c r="Y387" s="527"/>
      <c r="Z387" s="527"/>
      <c r="AA387" s="512"/>
      <c r="AB387" s="460">
        <v>0.3</v>
      </c>
      <c r="AC387" s="512"/>
      <c r="AD387" s="513"/>
      <c r="AF387" s="550"/>
      <c r="AG387" s="513"/>
      <c r="AH387" s="513"/>
      <c r="AI387" s="513"/>
      <c r="AJ387" s="551"/>
      <c r="AK387" s="513"/>
      <c r="AL387" s="516"/>
      <c r="AM387" s="513"/>
      <c r="AN387" s="513"/>
      <c r="AO387" s="517"/>
      <c r="AP387" s="513"/>
      <c r="AQ387" s="513"/>
      <c r="AR387" s="517"/>
      <c r="AS387" s="517"/>
      <c r="AT387" s="513"/>
      <c r="AU387" s="513"/>
      <c r="AV387" s="517"/>
      <c r="AW387" s="513"/>
      <c r="AX387" s="513"/>
      <c r="AY387" s="513"/>
      <c r="AZ387" s="513"/>
      <c r="BA387" s="513"/>
    </row>
    <row r="388" spans="1:53" s="514" customFormat="1" ht="12.75" customHeight="1" x14ac:dyDescent="0.25">
      <c r="A388" s="1138"/>
      <c r="B388" s="565" t="s">
        <v>1178</v>
      </c>
      <c r="C388" s="568">
        <v>5</v>
      </c>
      <c r="D388" s="566"/>
      <c r="E388" s="541" t="s">
        <v>1444</v>
      </c>
      <c r="F388" s="542" t="s">
        <v>1443</v>
      </c>
      <c r="G388" s="543">
        <v>872</v>
      </c>
      <c r="H388" s="542">
        <v>5.0000000000000001E-3</v>
      </c>
      <c r="I388" s="544">
        <f t="shared" si="36"/>
        <v>4.3600000000000003</v>
      </c>
      <c r="J388" s="525"/>
      <c r="K388" s="557"/>
      <c r="L388" s="528"/>
      <c r="M388" s="528"/>
      <c r="N388" s="528"/>
      <c r="O388" s="527"/>
      <c r="P388" s="527"/>
      <c r="Q388" s="527"/>
      <c r="R388" s="527"/>
      <c r="S388" s="527"/>
      <c r="T388" s="527"/>
      <c r="U388" s="527"/>
      <c r="V388" s="527"/>
      <c r="W388" s="527"/>
      <c r="X388" s="527"/>
      <c r="Y388" s="527"/>
      <c r="Z388" s="527"/>
      <c r="AA388" s="512"/>
      <c r="AB388" s="460">
        <v>0.3</v>
      </c>
      <c r="AC388" s="512"/>
      <c r="AD388" s="513"/>
      <c r="AF388" s="550"/>
      <c r="AG388" s="513"/>
      <c r="AH388" s="513"/>
      <c r="AI388" s="513"/>
      <c r="AJ388" s="558"/>
      <c r="AK388" s="513"/>
      <c r="AL388" s="516"/>
      <c r="AM388" s="513"/>
      <c r="AN388" s="513"/>
      <c r="AO388" s="517"/>
      <c r="AP388" s="513"/>
      <c r="AQ388" s="513"/>
      <c r="AR388" s="517"/>
      <c r="AS388" s="517"/>
      <c r="AT388" s="513"/>
      <c r="AU388" s="513"/>
      <c r="AV388" s="517"/>
      <c r="AW388" s="513"/>
      <c r="AX388" s="513"/>
      <c r="AY388" s="513"/>
      <c r="AZ388" s="513"/>
      <c r="BA388" s="513"/>
    </row>
    <row r="389" spans="1:53" s="514" customFormat="1" ht="12.75" customHeight="1" x14ac:dyDescent="0.25">
      <c r="A389" s="1138"/>
      <c r="B389" s="521" t="s">
        <v>1179</v>
      </c>
      <c r="C389" s="568">
        <v>5</v>
      </c>
      <c r="D389" s="566"/>
      <c r="E389" s="559" t="s">
        <v>582</v>
      </c>
      <c r="F389" s="560" t="s">
        <v>1438</v>
      </c>
      <c r="G389" s="543">
        <v>312.49</v>
      </c>
      <c r="H389" s="542">
        <v>0.3</v>
      </c>
      <c r="I389" s="544">
        <f t="shared" si="36"/>
        <v>93.747</v>
      </c>
      <c r="J389" s="525"/>
      <c r="K389" s="557"/>
      <c r="L389" s="546"/>
      <c r="M389" s="545"/>
      <c r="N389" s="528"/>
      <c r="O389" s="527"/>
      <c r="P389" s="527"/>
      <c r="Q389" s="527"/>
      <c r="R389" s="527"/>
      <c r="S389" s="527"/>
      <c r="T389" s="527"/>
      <c r="U389" s="527"/>
      <c r="V389" s="527"/>
      <c r="W389" s="527"/>
      <c r="X389" s="527"/>
      <c r="Y389" s="527"/>
      <c r="Z389" s="527"/>
      <c r="AA389" s="512"/>
      <c r="AB389" s="460">
        <v>0.3</v>
      </c>
      <c r="AC389" s="512"/>
      <c r="AD389" s="513"/>
      <c r="AF389" s="550"/>
      <c r="AG389" s="513"/>
      <c r="AH389" s="513"/>
      <c r="AI389" s="513"/>
      <c r="AJ389" s="558"/>
      <c r="AK389" s="513"/>
      <c r="AL389" s="516"/>
      <c r="AM389" s="513"/>
      <c r="AN389" s="513"/>
      <c r="AO389" s="517"/>
      <c r="AP389" s="513"/>
      <c r="AQ389" s="513"/>
      <c r="AR389" s="517"/>
      <c r="AS389" s="517"/>
      <c r="AT389" s="513"/>
      <c r="AU389" s="513"/>
      <c r="AV389" s="517"/>
      <c r="AW389" s="513"/>
      <c r="AX389" s="513"/>
      <c r="AY389" s="513"/>
      <c r="AZ389" s="513"/>
      <c r="BA389" s="513"/>
    </row>
    <row r="390" spans="1:53" s="514" customFormat="1" ht="12.75" customHeight="1" x14ac:dyDescent="0.25">
      <c r="A390" s="1138"/>
      <c r="B390" s="569" t="s">
        <v>1181</v>
      </c>
      <c r="C390" s="502">
        <f>C385*C388+C386*C389</f>
        <v>316.92287174182138</v>
      </c>
      <c r="D390" s="566"/>
      <c r="E390" s="559" t="s">
        <v>18</v>
      </c>
      <c r="F390" s="560" t="s">
        <v>1438</v>
      </c>
      <c r="G390" s="543">
        <v>0.94</v>
      </c>
      <c r="H390" s="542">
        <v>1</v>
      </c>
      <c r="I390" s="544">
        <f t="shared" si="36"/>
        <v>0.94</v>
      </c>
      <c r="J390" s="525"/>
      <c r="K390" s="557"/>
      <c r="L390" s="528"/>
      <c r="M390" s="528"/>
      <c r="N390" s="528"/>
      <c r="O390" s="527"/>
      <c r="P390" s="527"/>
      <c r="Q390" s="527"/>
      <c r="R390" s="527"/>
      <c r="S390" s="527"/>
      <c r="T390" s="527"/>
      <c r="U390" s="527"/>
      <c r="V390" s="527"/>
      <c r="W390" s="527"/>
      <c r="X390" s="527"/>
      <c r="Y390" s="527"/>
      <c r="Z390" s="527"/>
      <c r="AA390" s="512"/>
      <c r="AB390" s="460">
        <v>0.3</v>
      </c>
      <c r="AC390" s="512"/>
      <c r="AD390" s="513"/>
      <c r="AF390" s="550"/>
      <c r="AG390" s="513"/>
      <c r="AH390" s="513"/>
      <c r="AI390" s="513"/>
      <c r="AJ390" s="551"/>
      <c r="AK390" s="513"/>
      <c r="AL390" s="516"/>
      <c r="AM390" s="513"/>
      <c r="AN390" s="513"/>
      <c r="AO390" s="517"/>
      <c r="AP390" s="513"/>
      <c r="AQ390" s="513"/>
      <c r="AR390" s="517"/>
      <c r="AS390" s="517"/>
      <c r="AT390" s="513"/>
      <c r="AU390" s="513"/>
      <c r="AV390" s="517"/>
      <c r="AW390" s="513"/>
      <c r="AX390" s="513"/>
      <c r="AY390" s="513"/>
      <c r="AZ390" s="513"/>
      <c r="BA390" s="513"/>
    </row>
    <row r="391" spans="1:53" s="514" customFormat="1" ht="12.75" customHeight="1" x14ac:dyDescent="0.25">
      <c r="A391" s="1138"/>
      <c r="B391" s="569"/>
      <c r="C391" s="502"/>
      <c r="D391" s="566"/>
      <c r="E391" s="559" t="s">
        <v>22</v>
      </c>
      <c r="F391" s="560" t="s">
        <v>1441</v>
      </c>
      <c r="G391" s="543">
        <v>1.5</v>
      </c>
      <c r="H391" s="542">
        <v>2</v>
      </c>
      <c r="I391" s="544">
        <f t="shared" si="36"/>
        <v>3</v>
      </c>
      <c r="J391" s="525"/>
      <c r="K391" s="557"/>
      <c r="L391" s="528"/>
      <c r="M391" s="528"/>
      <c r="N391" s="528"/>
      <c r="O391" s="527"/>
      <c r="P391" s="527"/>
      <c r="Q391" s="527"/>
      <c r="R391" s="527"/>
      <c r="S391" s="527"/>
      <c r="T391" s="527"/>
      <c r="U391" s="527"/>
      <c r="V391" s="527"/>
      <c r="W391" s="527"/>
      <c r="X391" s="527"/>
      <c r="Y391" s="527"/>
      <c r="Z391" s="527"/>
      <c r="AA391" s="512"/>
      <c r="AB391" s="460"/>
      <c r="AC391" s="512"/>
      <c r="AD391" s="513"/>
      <c r="AF391" s="550"/>
      <c r="AG391" s="513"/>
      <c r="AH391" s="513"/>
      <c r="AI391" s="513"/>
      <c r="AJ391" s="551"/>
      <c r="AK391" s="513"/>
      <c r="AL391" s="516"/>
      <c r="AM391" s="513"/>
      <c r="AN391" s="513"/>
      <c r="AO391" s="517"/>
      <c r="AP391" s="513"/>
      <c r="AQ391" s="513"/>
      <c r="AR391" s="517"/>
      <c r="AS391" s="517"/>
      <c r="AT391" s="513"/>
      <c r="AU391" s="513"/>
      <c r="AV391" s="517"/>
      <c r="AW391" s="513"/>
      <c r="AX391" s="513"/>
      <c r="AY391" s="513"/>
      <c r="AZ391" s="513"/>
      <c r="BA391" s="513"/>
    </row>
    <row r="392" spans="1:53" s="514" customFormat="1" ht="12.75" customHeight="1" x14ac:dyDescent="0.25">
      <c r="A392" s="1138"/>
      <c r="B392" s="569"/>
      <c r="C392" s="568"/>
      <c r="D392" s="566"/>
      <c r="E392" s="559" t="s">
        <v>13</v>
      </c>
      <c r="F392" s="560" t="s">
        <v>1441</v>
      </c>
      <c r="G392" s="543">
        <v>1.5</v>
      </c>
      <c r="H392" s="542">
        <v>1</v>
      </c>
      <c r="I392" s="544">
        <f t="shared" si="36"/>
        <v>1.5</v>
      </c>
      <c r="J392" s="525"/>
      <c r="K392" s="557"/>
      <c r="L392" s="528"/>
      <c r="M392" s="528"/>
      <c r="N392" s="528"/>
      <c r="O392" s="527"/>
      <c r="P392" s="527"/>
      <c r="Q392" s="527"/>
      <c r="R392" s="527"/>
      <c r="S392" s="527"/>
      <c r="T392" s="527"/>
      <c r="U392" s="527"/>
      <c r="V392" s="527"/>
      <c r="W392" s="527"/>
      <c r="X392" s="527"/>
      <c r="Y392" s="527"/>
      <c r="Z392" s="527"/>
      <c r="AA392" s="512"/>
      <c r="AB392" s="460">
        <v>0.3</v>
      </c>
      <c r="AC392" s="512"/>
      <c r="AD392" s="513"/>
      <c r="AF392" s="550"/>
      <c r="AG392" s="513"/>
      <c r="AH392" s="513"/>
      <c r="AI392" s="513"/>
      <c r="AJ392" s="558"/>
      <c r="AK392" s="513"/>
      <c r="AL392" s="516"/>
      <c r="AM392" s="513"/>
      <c r="AN392" s="513"/>
      <c r="AO392" s="517"/>
      <c r="AP392" s="513"/>
      <c r="AQ392" s="513"/>
      <c r="AR392" s="517"/>
      <c r="AS392" s="517"/>
      <c r="AT392" s="513"/>
      <c r="AU392" s="513"/>
      <c r="AV392" s="517"/>
      <c r="AW392" s="513"/>
      <c r="AX392" s="513"/>
      <c r="AY392" s="513"/>
      <c r="AZ392" s="513"/>
      <c r="BA392" s="513"/>
    </row>
    <row r="393" spans="1:53" s="514" customFormat="1" ht="56.25" customHeight="1" x14ac:dyDescent="0.25">
      <c r="A393" s="1136" t="s">
        <v>1522</v>
      </c>
      <c r="B393" s="502"/>
      <c r="C393" s="503"/>
      <c r="D393" s="504"/>
      <c r="E393" s="505" t="s">
        <v>488</v>
      </c>
      <c r="F393" s="506" t="s">
        <v>837</v>
      </c>
      <c r="G393" s="503" t="s">
        <v>489</v>
      </c>
      <c r="H393" s="505" t="s">
        <v>1170</v>
      </c>
      <c r="I393" s="507" t="s">
        <v>838</v>
      </c>
      <c r="J393" s="508" t="s">
        <v>1171</v>
      </c>
      <c r="K393" s="508" t="s">
        <v>490</v>
      </c>
      <c r="L393" s="509" t="s">
        <v>489</v>
      </c>
      <c r="M393" s="508" t="s">
        <v>1172</v>
      </c>
      <c r="N393" s="507" t="s">
        <v>838</v>
      </c>
      <c r="O393" s="508" t="s">
        <v>1171</v>
      </c>
      <c r="P393" s="508" t="s">
        <v>826</v>
      </c>
      <c r="Q393" s="508" t="s">
        <v>1173</v>
      </c>
      <c r="R393" s="508" t="s">
        <v>1174</v>
      </c>
      <c r="S393" s="508" t="s">
        <v>839</v>
      </c>
      <c r="T393" s="508" t="s">
        <v>1171</v>
      </c>
      <c r="U393" s="508" t="s">
        <v>1392</v>
      </c>
      <c r="V393" s="508" t="s">
        <v>841</v>
      </c>
      <c r="W393" s="510" t="s">
        <v>1173</v>
      </c>
      <c r="X393" s="508" t="s">
        <v>1394</v>
      </c>
      <c r="Y393" s="508" t="s">
        <v>839</v>
      </c>
      <c r="Z393" s="511"/>
      <c r="AA393" s="512"/>
      <c r="AB393" s="460">
        <v>0.3</v>
      </c>
      <c r="AC393" s="512"/>
      <c r="AD393" s="513"/>
      <c r="AF393" s="515"/>
      <c r="AG393" s="513"/>
      <c r="AH393" s="513"/>
      <c r="AI393" s="513"/>
      <c r="AJ393" s="513"/>
      <c r="AK393" s="513"/>
      <c r="AL393" s="516"/>
      <c r="AM393" s="513"/>
      <c r="AN393" s="513"/>
      <c r="AO393" s="517"/>
      <c r="AP393" s="513"/>
      <c r="AQ393" s="518"/>
      <c r="AR393" s="518"/>
      <c r="AS393" s="518"/>
      <c r="AT393" s="513"/>
      <c r="AU393" s="513"/>
      <c r="AV393" s="517"/>
      <c r="AW393" s="513"/>
      <c r="AX393" s="513"/>
      <c r="AY393" s="513"/>
      <c r="AZ393" s="513"/>
      <c r="BA393" s="513"/>
    </row>
    <row r="394" spans="1:53" s="514" customFormat="1" ht="12" customHeight="1" x14ac:dyDescent="0.25">
      <c r="A394" s="1136"/>
      <c r="B394" s="519" t="s">
        <v>1175</v>
      </c>
      <c r="C394" s="503">
        <f>C401</f>
        <v>348.61515891600357</v>
      </c>
      <c r="D394" s="520">
        <f>C394*$D$7</f>
        <v>70.420262101032719</v>
      </c>
      <c r="E394" s="521" t="s">
        <v>1176</v>
      </c>
      <c r="F394" s="522"/>
      <c r="G394" s="523"/>
      <c r="H394" s="523"/>
      <c r="I394" s="524">
        <f>SUM(I395:I403)</f>
        <v>113.73869999999999</v>
      </c>
      <c r="J394" s="525" t="s">
        <v>1176</v>
      </c>
      <c r="K394" s="526"/>
      <c r="L394" s="527"/>
      <c r="M394" s="527"/>
      <c r="N394" s="528">
        <f>SUM(N395:N403)</f>
        <v>4.4213899999999997</v>
      </c>
      <c r="O394" s="527" t="s">
        <v>1176</v>
      </c>
      <c r="P394" s="527"/>
      <c r="Q394" s="529"/>
      <c r="R394" s="530"/>
      <c r="S394" s="528">
        <f>SUM(S395:S403)</f>
        <v>9.9028000000000009</v>
      </c>
      <c r="T394" s="528"/>
      <c r="U394" s="528"/>
      <c r="V394" s="528"/>
      <c r="W394" s="528"/>
      <c r="X394" s="528"/>
      <c r="Y394" s="528">
        <f>SUM(Y395:Y403)</f>
        <v>9.1999999999999998E-3</v>
      </c>
      <c r="Z394" s="531">
        <f>(C394+D394+I394+N394+S394+Y394)*$Z$7</f>
        <v>711.34245245993532</v>
      </c>
      <c r="AA394" s="532">
        <f>C394+D394+I394+N394+S394+Y394+Z394</f>
        <v>1258.4499634769716</v>
      </c>
      <c r="AB394" s="460">
        <v>0.3</v>
      </c>
      <c r="AC394" s="533">
        <f>AA394*(1+AB394)</f>
        <v>1635.9849525200632</v>
      </c>
      <c r="AD394" s="517"/>
      <c r="AF394" s="515"/>
      <c r="AG394" s="513"/>
      <c r="AH394" s="513"/>
      <c r="AI394" s="518"/>
      <c r="AJ394" s="534"/>
      <c r="AK394" s="535"/>
      <c r="AL394" s="516"/>
      <c r="AM394" s="536"/>
      <c r="AN394" s="537"/>
      <c r="AO394" s="536"/>
      <c r="AP394" s="518"/>
      <c r="AQ394" s="518"/>
      <c r="AR394" s="518"/>
      <c r="AS394" s="518"/>
      <c r="AT394" s="518"/>
      <c r="AU394" s="536"/>
      <c r="AV394" s="536"/>
      <c r="AW394" s="538"/>
      <c r="AX394" s="513"/>
      <c r="AY394" s="513"/>
      <c r="AZ394" s="513"/>
      <c r="BA394" s="513"/>
    </row>
    <row r="395" spans="1:53" s="514" customFormat="1" ht="12.75" customHeight="1" x14ac:dyDescent="0.25">
      <c r="A395" s="1136"/>
      <c r="B395" s="539" t="s">
        <v>1177</v>
      </c>
      <c r="C395" s="503"/>
      <c r="D395" s="540"/>
      <c r="E395" s="541" t="s">
        <v>1437</v>
      </c>
      <c r="F395" s="542" t="s">
        <v>1438</v>
      </c>
      <c r="G395" s="543">
        <v>0.74</v>
      </c>
      <c r="H395" s="542">
        <v>0.1</v>
      </c>
      <c r="I395" s="544">
        <f t="shared" ref="I395:I403" si="37">G395*H395</f>
        <v>7.3999999999999996E-2</v>
      </c>
      <c r="J395" s="525" t="s">
        <v>1291</v>
      </c>
      <c r="K395" s="545">
        <v>2</v>
      </c>
      <c r="L395" s="546">
        <v>750</v>
      </c>
      <c r="M395" s="545">
        <v>2</v>
      </c>
      <c r="N395" s="528">
        <v>1.1745000000000001</v>
      </c>
      <c r="O395" s="547" t="s">
        <v>1578</v>
      </c>
      <c r="P395" s="527">
        <v>188900</v>
      </c>
      <c r="Q395" s="548">
        <v>0.19670000000000001</v>
      </c>
      <c r="R395" s="527">
        <f>P395*Q395</f>
        <v>37156.630000000005</v>
      </c>
      <c r="S395" s="527">
        <v>8.1902000000000008</v>
      </c>
      <c r="T395" s="512" t="s">
        <v>1435</v>
      </c>
      <c r="U395" s="523">
        <v>6785401.3499999996</v>
      </c>
      <c r="V395" s="549">
        <v>1.32E-2</v>
      </c>
      <c r="W395" s="512">
        <v>1508.3</v>
      </c>
      <c r="X395" s="528">
        <v>59.38</v>
      </c>
      <c r="Y395" s="527">
        <v>9.1999999999999998E-3</v>
      </c>
      <c r="Z395" s="527"/>
      <c r="AA395" s="512"/>
      <c r="AB395" s="460">
        <v>0.3</v>
      </c>
      <c r="AC395" s="512"/>
      <c r="AD395" s="513"/>
      <c r="AF395" s="550"/>
      <c r="AG395" s="513"/>
      <c r="AH395" s="513"/>
      <c r="AI395" s="513"/>
      <c r="AJ395" s="551"/>
      <c r="AK395" s="513"/>
      <c r="AL395" s="516"/>
      <c r="AM395" s="513"/>
      <c r="AN395" s="513"/>
      <c r="AO395" s="517"/>
      <c r="AP395" s="513"/>
      <c r="AQ395" s="513"/>
      <c r="AR395" s="517"/>
      <c r="AS395" s="517"/>
      <c r="AT395" s="518"/>
      <c r="AU395" s="513"/>
      <c r="AV395" s="517"/>
      <c r="AW395" s="513"/>
      <c r="AX395" s="513"/>
      <c r="AY395" s="513"/>
      <c r="AZ395" s="513"/>
      <c r="BA395" s="513"/>
    </row>
    <row r="396" spans="1:53" s="514" customFormat="1" x14ac:dyDescent="0.25">
      <c r="A396" s="1136"/>
      <c r="B396" s="565" t="s">
        <v>1178</v>
      </c>
      <c r="C396" s="491">
        <f>C385</f>
        <v>43.888814515309463</v>
      </c>
      <c r="D396" s="566"/>
      <c r="E396" s="541" t="s">
        <v>1439</v>
      </c>
      <c r="F396" s="542" t="s">
        <v>1438</v>
      </c>
      <c r="G396" s="543">
        <v>0.27</v>
      </c>
      <c r="H396" s="542">
        <v>0.01</v>
      </c>
      <c r="I396" s="544">
        <f t="shared" si="37"/>
        <v>2.7000000000000001E-3</v>
      </c>
      <c r="J396" s="525" t="s">
        <v>1445</v>
      </c>
      <c r="K396" s="528">
        <v>2</v>
      </c>
      <c r="L396" s="553">
        <v>95</v>
      </c>
      <c r="M396" s="545">
        <v>2</v>
      </c>
      <c r="N396" s="528">
        <v>3.1146400000000001</v>
      </c>
      <c r="O396" s="527" t="s">
        <v>1580</v>
      </c>
      <c r="P396" s="527">
        <v>39500</v>
      </c>
      <c r="Q396" s="548">
        <v>0.19670000000000001</v>
      </c>
      <c r="R396" s="527">
        <f>P396*Q396</f>
        <v>7769.6500000000005</v>
      </c>
      <c r="S396" s="527">
        <v>1.7125999999999999</v>
      </c>
      <c r="T396" s="527"/>
      <c r="U396" s="527"/>
      <c r="V396" s="527"/>
      <c r="W396" s="548"/>
      <c r="X396" s="527"/>
      <c r="Y396" s="527"/>
      <c r="Z396" s="527"/>
      <c r="AA396" s="512"/>
      <c r="AB396" s="460">
        <v>0.3</v>
      </c>
      <c r="AC396" s="512"/>
      <c r="AD396" s="513"/>
      <c r="AF396" s="550"/>
      <c r="AG396" s="513"/>
      <c r="AH396" s="513"/>
      <c r="AI396" s="513"/>
      <c r="AJ396" s="551"/>
      <c r="AK396" s="513"/>
      <c r="AL396" s="516"/>
      <c r="AM396" s="538"/>
      <c r="AN396" s="513"/>
      <c r="AO396" s="517"/>
      <c r="AP396" s="513"/>
      <c r="AQ396" s="513"/>
      <c r="AR396" s="517"/>
      <c r="AS396" s="517"/>
      <c r="AT396" s="513"/>
      <c r="AU396" s="513"/>
      <c r="AV396" s="517"/>
      <c r="AW396" s="513"/>
      <c r="AX396" s="513"/>
      <c r="AY396" s="513"/>
      <c r="AZ396" s="513"/>
      <c r="BA396" s="513"/>
    </row>
    <row r="397" spans="1:53" s="514" customFormat="1" ht="12.75" customHeight="1" x14ac:dyDescent="0.25">
      <c r="A397" s="1136"/>
      <c r="B397" s="521" t="s">
        <v>1179</v>
      </c>
      <c r="C397" s="487">
        <f xml:space="preserve"> C386</f>
        <v>19.495759833054819</v>
      </c>
      <c r="D397" s="566"/>
      <c r="E397" s="541" t="s">
        <v>1440</v>
      </c>
      <c r="F397" s="542" t="s">
        <v>1441</v>
      </c>
      <c r="G397" s="543">
        <v>5.92</v>
      </c>
      <c r="H397" s="555">
        <v>1</v>
      </c>
      <c r="I397" s="544">
        <f t="shared" si="37"/>
        <v>5.92</v>
      </c>
      <c r="J397" s="525" t="s">
        <v>1513</v>
      </c>
      <c r="K397" s="528">
        <v>2</v>
      </c>
      <c r="L397" s="528">
        <v>25</v>
      </c>
      <c r="M397" s="545">
        <v>0.5</v>
      </c>
      <c r="N397" s="528">
        <v>0.13225000000000001</v>
      </c>
      <c r="O397" s="527"/>
      <c r="P397" s="527"/>
      <c r="Q397" s="548"/>
      <c r="R397" s="527"/>
      <c r="S397" s="527"/>
      <c r="T397" s="527"/>
      <c r="U397" s="527"/>
      <c r="V397" s="527"/>
      <c r="W397" s="548"/>
      <c r="X397" s="527"/>
      <c r="Y397" s="527"/>
      <c r="Z397" s="527"/>
      <c r="AA397" s="512"/>
      <c r="AB397" s="460">
        <v>0.3</v>
      </c>
      <c r="AC397" s="512"/>
      <c r="AD397" s="513"/>
      <c r="AF397" s="550"/>
      <c r="AG397" s="513"/>
      <c r="AH397" s="513"/>
      <c r="AI397" s="513"/>
      <c r="AJ397" s="551"/>
      <c r="AK397" s="513"/>
      <c r="AL397" s="516"/>
      <c r="AM397" s="513"/>
      <c r="AN397" s="513"/>
      <c r="AO397" s="517"/>
      <c r="AP397" s="513"/>
      <c r="AQ397" s="513"/>
      <c r="AR397" s="517"/>
      <c r="AS397" s="517"/>
      <c r="AT397" s="513"/>
      <c r="AU397" s="513"/>
      <c r="AV397" s="517"/>
      <c r="AW397" s="513"/>
      <c r="AX397" s="513"/>
      <c r="AY397" s="513"/>
      <c r="AZ397" s="513"/>
      <c r="BA397" s="513"/>
    </row>
    <row r="398" spans="1:53" s="514" customFormat="1" ht="12.75" customHeight="1" x14ac:dyDescent="0.25">
      <c r="A398" s="1136"/>
      <c r="B398" s="521" t="s">
        <v>1180</v>
      </c>
      <c r="C398" s="567"/>
      <c r="D398" s="566"/>
      <c r="E398" s="541" t="s">
        <v>1442</v>
      </c>
      <c r="F398" s="542" t="s">
        <v>1443</v>
      </c>
      <c r="G398" s="543">
        <v>419.5</v>
      </c>
      <c r="H398" s="542">
        <v>0.01</v>
      </c>
      <c r="I398" s="544">
        <f t="shared" si="37"/>
        <v>4.1950000000000003</v>
      </c>
      <c r="J398" s="525"/>
      <c r="K398" s="557"/>
      <c r="L398" s="528"/>
      <c r="M398" s="528"/>
      <c r="N398" s="528"/>
      <c r="O398" s="527"/>
      <c r="P398" s="527"/>
      <c r="Q398" s="527"/>
      <c r="R398" s="527"/>
      <c r="S398" s="527"/>
      <c r="T398" s="527"/>
      <c r="U398" s="527"/>
      <c r="V398" s="527"/>
      <c r="W398" s="527"/>
      <c r="X398" s="527"/>
      <c r="Y398" s="527"/>
      <c r="Z398" s="527"/>
      <c r="AA398" s="512"/>
      <c r="AB398" s="460">
        <v>0.3</v>
      </c>
      <c r="AC398" s="512"/>
      <c r="AD398" s="513"/>
      <c r="AF398" s="550"/>
      <c r="AG398" s="513"/>
      <c r="AH398" s="513"/>
      <c r="AI398" s="513"/>
      <c r="AJ398" s="551"/>
      <c r="AK398" s="513"/>
      <c r="AL398" s="516"/>
      <c r="AM398" s="513"/>
      <c r="AN398" s="513"/>
      <c r="AO398" s="517"/>
      <c r="AP398" s="513"/>
      <c r="AQ398" s="513"/>
      <c r="AR398" s="517"/>
      <c r="AS398" s="517"/>
      <c r="AT398" s="513"/>
      <c r="AU398" s="513"/>
      <c r="AV398" s="517"/>
      <c r="AW398" s="513"/>
      <c r="AX398" s="513"/>
      <c r="AY398" s="513"/>
      <c r="AZ398" s="513"/>
      <c r="BA398" s="513"/>
    </row>
    <row r="399" spans="1:53" s="514" customFormat="1" ht="12.75" customHeight="1" x14ac:dyDescent="0.25">
      <c r="A399" s="1136"/>
      <c r="B399" s="565" t="s">
        <v>1178</v>
      </c>
      <c r="C399" s="568">
        <v>5.5</v>
      </c>
      <c r="D399" s="566"/>
      <c r="E399" s="541" t="s">
        <v>1444</v>
      </c>
      <c r="F399" s="542" t="s">
        <v>1443</v>
      </c>
      <c r="G399" s="543">
        <v>872</v>
      </c>
      <c r="H399" s="542">
        <v>5.0000000000000001E-3</v>
      </c>
      <c r="I399" s="544">
        <f t="shared" si="37"/>
        <v>4.3600000000000003</v>
      </c>
      <c r="J399" s="525"/>
      <c r="K399" s="557"/>
      <c r="L399" s="528"/>
      <c r="M399" s="528"/>
      <c r="N399" s="528"/>
      <c r="O399" s="527"/>
      <c r="P399" s="527"/>
      <c r="Q399" s="527"/>
      <c r="R399" s="527"/>
      <c r="S399" s="527"/>
      <c r="T399" s="527"/>
      <c r="U399" s="527"/>
      <c r="V399" s="527"/>
      <c r="W399" s="527"/>
      <c r="X399" s="527"/>
      <c r="Y399" s="527"/>
      <c r="Z399" s="527"/>
      <c r="AA399" s="512"/>
      <c r="AB399" s="460">
        <v>0.3</v>
      </c>
      <c r="AC399" s="512"/>
      <c r="AD399" s="513"/>
      <c r="AF399" s="550"/>
      <c r="AG399" s="513"/>
      <c r="AH399" s="513"/>
      <c r="AI399" s="513"/>
      <c r="AJ399" s="558"/>
      <c r="AK399" s="513"/>
      <c r="AL399" s="516"/>
      <c r="AM399" s="513"/>
      <c r="AN399" s="513"/>
      <c r="AO399" s="517"/>
      <c r="AP399" s="513"/>
      <c r="AQ399" s="513"/>
      <c r="AR399" s="517"/>
      <c r="AS399" s="517"/>
      <c r="AT399" s="513"/>
      <c r="AU399" s="513"/>
      <c r="AV399" s="517"/>
      <c r="AW399" s="513"/>
      <c r="AX399" s="513"/>
      <c r="AY399" s="513"/>
      <c r="AZ399" s="513"/>
      <c r="BA399" s="513"/>
    </row>
    <row r="400" spans="1:53" s="514" customFormat="1" ht="12.75" customHeight="1" x14ac:dyDescent="0.25">
      <c r="A400" s="1136"/>
      <c r="B400" s="521" t="s">
        <v>1179</v>
      </c>
      <c r="C400" s="568">
        <v>5.5</v>
      </c>
      <c r="D400" s="566"/>
      <c r="E400" s="559" t="s">
        <v>582</v>
      </c>
      <c r="F400" s="560" t="s">
        <v>1438</v>
      </c>
      <c r="G400" s="543">
        <v>312.49</v>
      </c>
      <c r="H400" s="542">
        <v>0.3</v>
      </c>
      <c r="I400" s="544">
        <f t="shared" si="37"/>
        <v>93.747</v>
      </c>
      <c r="J400" s="525"/>
      <c r="K400" s="557"/>
      <c r="L400" s="546"/>
      <c r="M400" s="545"/>
      <c r="N400" s="528"/>
      <c r="O400" s="527"/>
      <c r="P400" s="527"/>
      <c r="Q400" s="527"/>
      <c r="R400" s="527"/>
      <c r="S400" s="527"/>
      <c r="T400" s="527"/>
      <c r="U400" s="527"/>
      <c r="V400" s="527"/>
      <c r="W400" s="527"/>
      <c r="X400" s="527"/>
      <c r="Y400" s="527"/>
      <c r="Z400" s="527"/>
      <c r="AA400" s="512"/>
      <c r="AB400" s="460">
        <v>0.3</v>
      </c>
      <c r="AC400" s="512"/>
      <c r="AD400" s="513"/>
      <c r="AF400" s="550"/>
      <c r="AG400" s="513"/>
      <c r="AH400" s="513"/>
      <c r="AI400" s="513"/>
      <c r="AJ400" s="558"/>
      <c r="AK400" s="513"/>
      <c r="AL400" s="516"/>
      <c r="AM400" s="513"/>
      <c r="AN400" s="513"/>
      <c r="AO400" s="517"/>
      <c r="AP400" s="513"/>
      <c r="AQ400" s="513"/>
      <c r="AR400" s="517"/>
      <c r="AS400" s="517"/>
      <c r="AT400" s="513"/>
      <c r="AU400" s="513"/>
      <c r="AV400" s="517"/>
      <c r="AW400" s="513"/>
      <c r="AX400" s="513"/>
      <c r="AY400" s="513"/>
      <c r="AZ400" s="513"/>
      <c r="BA400" s="513"/>
    </row>
    <row r="401" spans="1:53" s="514" customFormat="1" ht="12.75" customHeight="1" x14ac:dyDescent="0.25">
      <c r="A401" s="1136"/>
      <c r="B401" s="569" t="s">
        <v>1181</v>
      </c>
      <c r="C401" s="502">
        <f>C396*C399+C397*C400</f>
        <v>348.61515891600357</v>
      </c>
      <c r="D401" s="566"/>
      <c r="E401" s="559" t="s">
        <v>18</v>
      </c>
      <c r="F401" s="560" t="s">
        <v>1438</v>
      </c>
      <c r="G401" s="543">
        <v>0.94</v>
      </c>
      <c r="H401" s="542">
        <v>1</v>
      </c>
      <c r="I401" s="544">
        <f t="shared" si="37"/>
        <v>0.94</v>
      </c>
      <c r="J401" s="525"/>
      <c r="K401" s="557"/>
      <c r="L401" s="528"/>
      <c r="M401" s="528"/>
      <c r="N401" s="528"/>
      <c r="O401" s="527"/>
      <c r="P401" s="527"/>
      <c r="Q401" s="527"/>
      <c r="R401" s="527"/>
      <c r="S401" s="527"/>
      <c r="T401" s="527"/>
      <c r="U401" s="527"/>
      <c r="V401" s="527"/>
      <c r="W401" s="527"/>
      <c r="X401" s="527"/>
      <c r="Y401" s="527"/>
      <c r="Z401" s="527"/>
      <c r="AA401" s="512"/>
      <c r="AB401" s="460">
        <v>0.3</v>
      </c>
      <c r="AC401" s="512"/>
      <c r="AD401" s="513"/>
      <c r="AF401" s="550"/>
      <c r="AG401" s="513"/>
      <c r="AH401" s="513"/>
      <c r="AI401" s="513"/>
      <c r="AJ401" s="551"/>
      <c r="AK401" s="513"/>
      <c r="AL401" s="516"/>
      <c r="AM401" s="513"/>
      <c r="AN401" s="513"/>
      <c r="AO401" s="517"/>
      <c r="AP401" s="513"/>
      <c r="AQ401" s="513"/>
      <c r="AR401" s="517"/>
      <c r="AS401" s="517"/>
      <c r="AT401" s="513"/>
      <c r="AU401" s="513"/>
      <c r="AV401" s="517"/>
      <c r="AW401" s="513"/>
      <c r="AX401" s="513"/>
      <c r="AY401" s="513"/>
      <c r="AZ401" s="513"/>
      <c r="BA401" s="513"/>
    </row>
    <row r="402" spans="1:53" s="514" customFormat="1" ht="12.75" customHeight="1" x14ac:dyDescent="0.25">
      <c r="A402" s="1136"/>
      <c r="B402" s="569"/>
      <c r="C402" s="502"/>
      <c r="D402" s="566"/>
      <c r="E402" s="559" t="s">
        <v>22</v>
      </c>
      <c r="F402" s="560" t="s">
        <v>1441</v>
      </c>
      <c r="G402" s="543">
        <v>1.5</v>
      </c>
      <c r="H402" s="542">
        <v>2</v>
      </c>
      <c r="I402" s="544">
        <f t="shared" si="37"/>
        <v>3</v>
      </c>
      <c r="J402" s="525"/>
      <c r="K402" s="557"/>
      <c r="L402" s="528"/>
      <c r="M402" s="528"/>
      <c r="N402" s="528"/>
      <c r="O402" s="527"/>
      <c r="P402" s="527"/>
      <c r="Q402" s="527"/>
      <c r="R402" s="527"/>
      <c r="S402" s="527"/>
      <c r="T402" s="527"/>
      <c r="U402" s="527"/>
      <c r="V402" s="527"/>
      <c r="W402" s="527"/>
      <c r="X402" s="527"/>
      <c r="Y402" s="527"/>
      <c r="Z402" s="527"/>
      <c r="AA402" s="512"/>
      <c r="AB402" s="460"/>
      <c r="AC402" s="512"/>
      <c r="AD402" s="513"/>
      <c r="AF402" s="550"/>
      <c r="AG402" s="513"/>
      <c r="AH402" s="513"/>
      <c r="AI402" s="513"/>
      <c r="AJ402" s="551"/>
      <c r="AK402" s="513"/>
      <c r="AL402" s="516"/>
      <c r="AM402" s="513"/>
      <c r="AN402" s="513"/>
      <c r="AO402" s="517"/>
      <c r="AP402" s="513"/>
      <c r="AQ402" s="513"/>
      <c r="AR402" s="517"/>
      <c r="AS402" s="517"/>
      <c r="AT402" s="513"/>
      <c r="AU402" s="513"/>
      <c r="AV402" s="517"/>
      <c r="AW402" s="513"/>
      <c r="AX402" s="513"/>
      <c r="AY402" s="513"/>
      <c r="AZ402" s="513"/>
      <c r="BA402" s="513"/>
    </row>
    <row r="403" spans="1:53" s="514" customFormat="1" ht="12.75" customHeight="1" x14ac:dyDescent="0.25">
      <c r="A403" s="1136"/>
      <c r="B403" s="569"/>
      <c r="C403" s="568"/>
      <c r="D403" s="566"/>
      <c r="E403" s="559" t="s">
        <v>13</v>
      </c>
      <c r="F403" s="560" t="s">
        <v>1441</v>
      </c>
      <c r="G403" s="543">
        <v>1.5</v>
      </c>
      <c r="H403" s="542">
        <v>1</v>
      </c>
      <c r="I403" s="544">
        <f t="shared" si="37"/>
        <v>1.5</v>
      </c>
      <c r="J403" s="525"/>
      <c r="K403" s="557"/>
      <c r="L403" s="528"/>
      <c r="M403" s="528"/>
      <c r="N403" s="528"/>
      <c r="O403" s="527"/>
      <c r="P403" s="527"/>
      <c r="Q403" s="527"/>
      <c r="R403" s="527"/>
      <c r="S403" s="527"/>
      <c r="T403" s="527"/>
      <c r="U403" s="527"/>
      <c r="V403" s="527"/>
      <c r="W403" s="527"/>
      <c r="X403" s="527"/>
      <c r="Y403" s="527"/>
      <c r="Z403" s="527"/>
      <c r="AA403" s="512"/>
      <c r="AB403" s="460">
        <v>0.3</v>
      </c>
      <c r="AC403" s="512"/>
      <c r="AD403" s="513"/>
      <c r="AF403" s="550"/>
      <c r="AG403" s="513"/>
      <c r="AH403" s="513"/>
      <c r="AI403" s="513"/>
      <c r="AJ403" s="558"/>
      <c r="AK403" s="513"/>
      <c r="AL403" s="516"/>
      <c r="AM403" s="513"/>
      <c r="AN403" s="513"/>
      <c r="AO403" s="517"/>
      <c r="AP403" s="513"/>
      <c r="AQ403" s="513"/>
      <c r="AR403" s="517"/>
      <c r="AS403" s="517"/>
      <c r="AT403" s="513"/>
      <c r="AU403" s="513"/>
      <c r="AV403" s="517"/>
      <c r="AW403" s="513"/>
      <c r="AX403" s="513"/>
      <c r="AY403" s="513"/>
      <c r="AZ403" s="513"/>
      <c r="BA403" s="513"/>
    </row>
    <row r="404" spans="1:53" s="514" customFormat="1" ht="56.25" customHeight="1" x14ac:dyDescent="0.25">
      <c r="A404" s="1136" t="s">
        <v>1523</v>
      </c>
      <c r="B404" s="503"/>
      <c r="C404" s="503"/>
      <c r="D404" s="504"/>
      <c r="E404" s="505" t="s">
        <v>488</v>
      </c>
      <c r="F404" s="507" t="s">
        <v>837</v>
      </c>
      <c r="G404" s="503" t="s">
        <v>489</v>
      </c>
      <c r="H404" s="505" t="s">
        <v>1170</v>
      </c>
      <c r="I404" s="507" t="s">
        <v>838</v>
      </c>
      <c r="J404" s="508" t="s">
        <v>1171</v>
      </c>
      <c r="K404" s="508" t="s">
        <v>490</v>
      </c>
      <c r="L404" s="509" t="s">
        <v>489</v>
      </c>
      <c r="M404" s="508" t="s">
        <v>1172</v>
      </c>
      <c r="N404" s="507" t="s">
        <v>838</v>
      </c>
      <c r="O404" s="508" t="s">
        <v>1171</v>
      </c>
      <c r="P404" s="508" t="s">
        <v>826</v>
      </c>
      <c r="Q404" s="508" t="s">
        <v>1173</v>
      </c>
      <c r="R404" s="508" t="s">
        <v>1174</v>
      </c>
      <c r="S404" s="508" t="s">
        <v>839</v>
      </c>
      <c r="T404" s="508" t="s">
        <v>1171</v>
      </c>
      <c r="U404" s="508" t="s">
        <v>1392</v>
      </c>
      <c r="V404" s="508" t="s">
        <v>841</v>
      </c>
      <c r="W404" s="510" t="s">
        <v>1173</v>
      </c>
      <c r="X404" s="508" t="s">
        <v>1394</v>
      </c>
      <c r="Y404" s="508" t="s">
        <v>839</v>
      </c>
      <c r="Z404" s="511"/>
      <c r="AA404" s="512"/>
      <c r="AB404" s="460">
        <v>0.3</v>
      </c>
      <c r="AC404" s="512"/>
      <c r="AD404" s="513"/>
      <c r="AF404" s="515"/>
      <c r="AG404" s="513"/>
      <c r="AH404" s="513"/>
      <c r="AI404" s="513"/>
      <c r="AJ404" s="513"/>
      <c r="AK404" s="513"/>
      <c r="AL404" s="516"/>
      <c r="AM404" s="513"/>
      <c r="AN404" s="513"/>
      <c r="AO404" s="517"/>
      <c r="AP404" s="513"/>
      <c r="AQ404" s="518"/>
      <c r="AR404" s="518"/>
      <c r="AS404" s="518"/>
      <c r="AT404" s="513"/>
      <c r="AU404" s="513"/>
      <c r="AV404" s="517"/>
      <c r="AW404" s="513"/>
      <c r="AX404" s="513"/>
      <c r="AY404" s="513"/>
      <c r="AZ404" s="513"/>
      <c r="BA404" s="513"/>
    </row>
    <row r="405" spans="1:53" s="514" customFormat="1" ht="12" customHeight="1" x14ac:dyDescent="0.25">
      <c r="A405" s="1136"/>
      <c r="B405" s="519" t="s">
        <v>1175</v>
      </c>
      <c r="C405" s="503">
        <f>C412</f>
        <v>380.30744609018569</v>
      </c>
      <c r="D405" s="570">
        <f>C405*$D$7</f>
        <v>76.822104110217509</v>
      </c>
      <c r="E405" s="521" t="s">
        <v>1176</v>
      </c>
      <c r="F405" s="571"/>
      <c r="G405" s="523"/>
      <c r="H405" s="523"/>
      <c r="I405" s="524">
        <f>SUM(I406:I414)</f>
        <v>113.73869999999999</v>
      </c>
      <c r="J405" s="525" t="s">
        <v>1176</v>
      </c>
      <c r="K405" s="526"/>
      <c r="L405" s="527"/>
      <c r="M405" s="527"/>
      <c r="N405" s="528">
        <f>SUM(N406:N414)</f>
        <v>4.4213899999999997</v>
      </c>
      <c r="O405" s="527" t="s">
        <v>1176</v>
      </c>
      <c r="P405" s="527"/>
      <c r="Q405" s="529"/>
      <c r="R405" s="530"/>
      <c r="S405" s="528">
        <f>SUM(S406:S414)</f>
        <v>9.9028000000000009</v>
      </c>
      <c r="T405" s="528"/>
      <c r="U405" s="528"/>
      <c r="V405" s="528"/>
      <c r="W405" s="528"/>
      <c r="X405" s="528"/>
      <c r="Y405" s="528">
        <f>SUM(Y406:Y414)</f>
        <v>9.1999999999999998E-3</v>
      </c>
      <c r="Z405" s="531">
        <f>(C405+D405+I405+N405+S405+Y405)*$Z$7</f>
        <v>760.87197039188322</v>
      </c>
      <c r="AA405" s="532">
        <f>C405+D405+I405+N405+S405+Y405+Z405</f>
        <v>1346.0736105922863</v>
      </c>
      <c r="AB405" s="460">
        <v>0.3</v>
      </c>
      <c r="AC405" s="533">
        <f>AA405*(1+AB405)</f>
        <v>1749.8956937699722</v>
      </c>
      <c r="AD405" s="517"/>
      <c r="AF405" s="515"/>
      <c r="AG405" s="513"/>
      <c r="AH405" s="513"/>
      <c r="AI405" s="518"/>
      <c r="AJ405" s="534"/>
      <c r="AK405" s="535"/>
      <c r="AL405" s="516"/>
      <c r="AM405" s="536"/>
      <c r="AN405" s="537"/>
      <c r="AO405" s="536"/>
      <c r="AP405" s="518"/>
      <c r="AQ405" s="518"/>
      <c r="AR405" s="518"/>
      <c r="AS405" s="518"/>
      <c r="AT405" s="518"/>
      <c r="AU405" s="536"/>
      <c r="AV405" s="536"/>
      <c r="AW405" s="538"/>
      <c r="AX405" s="513"/>
      <c r="AY405" s="513"/>
      <c r="AZ405" s="513"/>
      <c r="BA405" s="513"/>
    </row>
    <row r="406" spans="1:53" s="514" customFormat="1" ht="12.75" customHeight="1" x14ac:dyDescent="0.25">
      <c r="A406" s="1136"/>
      <c r="B406" s="572" t="s">
        <v>1177</v>
      </c>
      <c r="C406" s="503"/>
      <c r="D406" s="566"/>
      <c r="E406" s="541" t="s">
        <v>1437</v>
      </c>
      <c r="F406" s="542" t="s">
        <v>1438</v>
      </c>
      <c r="G406" s="543">
        <v>0.74</v>
      </c>
      <c r="H406" s="542">
        <v>0.1</v>
      </c>
      <c r="I406" s="544">
        <f t="shared" ref="I406:I414" si="38">G406*H406</f>
        <v>7.3999999999999996E-2</v>
      </c>
      <c r="J406" s="525" t="s">
        <v>1291</v>
      </c>
      <c r="K406" s="545">
        <v>2</v>
      </c>
      <c r="L406" s="546">
        <v>750</v>
      </c>
      <c r="M406" s="545">
        <v>2</v>
      </c>
      <c r="N406" s="528">
        <v>1.1745000000000001</v>
      </c>
      <c r="O406" s="547" t="s">
        <v>1578</v>
      </c>
      <c r="P406" s="527">
        <v>188900</v>
      </c>
      <c r="Q406" s="548">
        <v>0.19670000000000001</v>
      </c>
      <c r="R406" s="527">
        <f>P406*Q406</f>
        <v>37156.630000000005</v>
      </c>
      <c r="S406" s="527">
        <v>8.1902000000000008</v>
      </c>
      <c r="T406" s="512" t="s">
        <v>1435</v>
      </c>
      <c r="U406" s="523">
        <v>6785401.3499999996</v>
      </c>
      <c r="V406" s="549">
        <v>1.32E-2</v>
      </c>
      <c r="W406" s="512">
        <v>1508.3</v>
      </c>
      <c r="X406" s="528">
        <v>59.38</v>
      </c>
      <c r="Y406" s="527">
        <v>9.1999999999999998E-3</v>
      </c>
      <c r="Z406" s="527"/>
      <c r="AA406" s="512"/>
      <c r="AB406" s="460">
        <v>0.3</v>
      </c>
      <c r="AC406" s="512"/>
      <c r="AD406" s="513"/>
      <c r="AF406" s="550"/>
      <c r="AG406" s="513"/>
      <c r="AH406" s="513"/>
      <c r="AI406" s="513"/>
      <c r="AJ406" s="551"/>
      <c r="AK406" s="513"/>
      <c r="AL406" s="516"/>
      <c r="AM406" s="513"/>
      <c r="AN406" s="513"/>
      <c r="AO406" s="517"/>
      <c r="AP406" s="513"/>
      <c r="AQ406" s="513"/>
      <c r="AR406" s="517"/>
      <c r="AS406" s="517"/>
      <c r="AT406" s="518"/>
      <c r="AU406" s="513"/>
      <c r="AV406" s="517"/>
      <c r="AW406" s="513"/>
      <c r="AX406" s="513"/>
      <c r="AY406" s="513"/>
      <c r="AZ406" s="513"/>
      <c r="BA406" s="513"/>
    </row>
    <row r="407" spans="1:53" s="514" customFormat="1" x14ac:dyDescent="0.25">
      <c r="A407" s="1136"/>
      <c r="B407" s="565" t="s">
        <v>1178</v>
      </c>
      <c r="C407" s="491">
        <f>C396</f>
        <v>43.888814515309463</v>
      </c>
      <c r="D407" s="566"/>
      <c r="E407" s="541" t="s">
        <v>1439</v>
      </c>
      <c r="F407" s="542" t="s">
        <v>1438</v>
      </c>
      <c r="G407" s="543">
        <v>0.27</v>
      </c>
      <c r="H407" s="542">
        <v>0.01</v>
      </c>
      <c r="I407" s="544">
        <f t="shared" si="38"/>
        <v>2.7000000000000001E-3</v>
      </c>
      <c r="J407" s="525" t="s">
        <v>1445</v>
      </c>
      <c r="K407" s="528">
        <v>2</v>
      </c>
      <c r="L407" s="553">
        <v>95</v>
      </c>
      <c r="M407" s="545">
        <v>2</v>
      </c>
      <c r="N407" s="528">
        <v>3.1146400000000001</v>
      </c>
      <c r="O407" s="527" t="s">
        <v>1580</v>
      </c>
      <c r="P407" s="527">
        <v>39500</v>
      </c>
      <c r="Q407" s="548">
        <v>0.19670000000000001</v>
      </c>
      <c r="R407" s="527">
        <f>P407*Q407</f>
        <v>7769.6500000000005</v>
      </c>
      <c r="S407" s="527">
        <v>1.7125999999999999</v>
      </c>
      <c r="T407" s="527"/>
      <c r="U407" s="527"/>
      <c r="V407" s="527"/>
      <c r="W407" s="548"/>
      <c r="X407" s="527"/>
      <c r="Y407" s="527"/>
      <c r="Z407" s="527"/>
      <c r="AA407" s="512"/>
      <c r="AB407" s="460">
        <v>0.3</v>
      </c>
      <c r="AC407" s="512"/>
      <c r="AD407" s="513"/>
      <c r="AF407" s="550"/>
      <c r="AG407" s="513"/>
      <c r="AH407" s="513"/>
      <c r="AI407" s="513"/>
      <c r="AJ407" s="551"/>
      <c r="AK407" s="513"/>
      <c r="AL407" s="516"/>
      <c r="AM407" s="538"/>
      <c r="AN407" s="513"/>
      <c r="AO407" s="517"/>
      <c r="AP407" s="513"/>
      <c r="AQ407" s="513"/>
      <c r="AR407" s="517"/>
      <c r="AS407" s="517"/>
      <c r="AT407" s="513"/>
      <c r="AU407" s="513"/>
      <c r="AV407" s="517"/>
      <c r="AW407" s="513"/>
      <c r="AX407" s="513"/>
      <c r="AY407" s="513"/>
      <c r="AZ407" s="513"/>
      <c r="BA407" s="513"/>
    </row>
    <row r="408" spans="1:53" s="514" customFormat="1" ht="12.75" customHeight="1" x14ac:dyDescent="0.25">
      <c r="A408" s="1136"/>
      <c r="B408" s="521" t="s">
        <v>1179</v>
      </c>
      <c r="C408" s="487">
        <f>C397</f>
        <v>19.495759833054819</v>
      </c>
      <c r="D408" s="566"/>
      <c r="E408" s="541" t="s">
        <v>1440</v>
      </c>
      <c r="F408" s="542" t="s">
        <v>1441</v>
      </c>
      <c r="G408" s="543">
        <v>5.92</v>
      </c>
      <c r="H408" s="555">
        <v>1</v>
      </c>
      <c r="I408" s="544">
        <f t="shared" si="38"/>
        <v>5.92</v>
      </c>
      <c r="J408" s="525" t="s">
        <v>1513</v>
      </c>
      <c r="K408" s="528">
        <v>2</v>
      </c>
      <c r="L408" s="528">
        <v>25</v>
      </c>
      <c r="M408" s="545">
        <v>0.5</v>
      </c>
      <c r="N408" s="528">
        <v>0.13225000000000001</v>
      </c>
      <c r="O408" s="527"/>
      <c r="P408" s="527"/>
      <c r="Q408" s="548"/>
      <c r="R408" s="527"/>
      <c r="S408" s="527"/>
      <c r="T408" s="527"/>
      <c r="U408" s="527"/>
      <c r="V408" s="527"/>
      <c r="W408" s="548"/>
      <c r="X408" s="527"/>
      <c r="Y408" s="527"/>
      <c r="Z408" s="527"/>
      <c r="AA408" s="512"/>
      <c r="AB408" s="460">
        <v>0.3</v>
      </c>
      <c r="AC408" s="512"/>
      <c r="AD408" s="513"/>
      <c r="AF408" s="550"/>
      <c r="AG408" s="513"/>
      <c r="AH408" s="513"/>
      <c r="AI408" s="513"/>
      <c r="AJ408" s="551"/>
      <c r="AK408" s="513"/>
      <c r="AL408" s="516"/>
      <c r="AM408" s="513"/>
      <c r="AN408" s="513"/>
      <c r="AO408" s="517"/>
      <c r="AP408" s="513"/>
      <c r="AQ408" s="513"/>
      <c r="AR408" s="517"/>
      <c r="AS408" s="517"/>
      <c r="AT408" s="513"/>
      <c r="AU408" s="513"/>
      <c r="AV408" s="517"/>
      <c r="AW408" s="513"/>
      <c r="AX408" s="513"/>
      <c r="AY408" s="513"/>
      <c r="AZ408" s="513"/>
      <c r="BA408" s="513"/>
    </row>
    <row r="409" spans="1:53" s="514" customFormat="1" ht="12.75" customHeight="1" x14ac:dyDescent="0.25">
      <c r="A409" s="1136"/>
      <c r="B409" s="521" t="s">
        <v>1180</v>
      </c>
      <c r="C409" s="567"/>
      <c r="D409" s="566"/>
      <c r="E409" s="541" t="s">
        <v>1442</v>
      </c>
      <c r="F409" s="542" t="s">
        <v>1443</v>
      </c>
      <c r="G409" s="543">
        <v>419.5</v>
      </c>
      <c r="H409" s="542">
        <v>0.01</v>
      </c>
      <c r="I409" s="544">
        <f t="shared" si="38"/>
        <v>4.1950000000000003</v>
      </c>
      <c r="J409" s="525"/>
      <c r="K409" s="557"/>
      <c r="L409" s="528"/>
      <c r="M409" s="528"/>
      <c r="N409" s="528"/>
      <c r="O409" s="527"/>
      <c r="P409" s="527"/>
      <c r="Q409" s="527"/>
      <c r="R409" s="527"/>
      <c r="S409" s="527"/>
      <c r="T409" s="527"/>
      <c r="U409" s="527"/>
      <c r="V409" s="527"/>
      <c r="W409" s="527"/>
      <c r="X409" s="527"/>
      <c r="Y409" s="527"/>
      <c r="Z409" s="527"/>
      <c r="AA409" s="512"/>
      <c r="AB409" s="460">
        <v>0.3</v>
      </c>
      <c r="AC409" s="512"/>
      <c r="AD409" s="513"/>
      <c r="AF409" s="550"/>
      <c r="AG409" s="513"/>
      <c r="AH409" s="513"/>
      <c r="AI409" s="513"/>
      <c r="AJ409" s="551"/>
      <c r="AK409" s="513"/>
      <c r="AL409" s="516"/>
      <c r="AM409" s="513"/>
      <c r="AN409" s="513"/>
      <c r="AO409" s="517"/>
      <c r="AP409" s="513"/>
      <c r="AQ409" s="513"/>
      <c r="AR409" s="517"/>
      <c r="AS409" s="517"/>
      <c r="AT409" s="513"/>
      <c r="AU409" s="513"/>
      <c r="AV409" s="517"/>
      <c r="AW409" s="513"/>
      <c r="AX409" s="513"/>
      <c r="AY409" s="513"/>
      <c r="AZ409" s="513"/>
      <c r="BA409" s="513"/>
    </row>
    <row r="410" spans="1:53" s="514" customFormat="1" ht="12.75" customHeight="1" x14ac:dyDescent="0.25">
      <c r="A410" s="1136"/>
      <c r="B410" s="565" t="s">
        <v>1178</v>
      </c>
      <c r="C410" s="568">
        <v>6</v>
      </c>
      <c r="D410" s="566"/>
      <c r="E410" s="541" t="s">
        <v>1444</v>
      </c>
      <c r="F410" s="542" t="s">
        <v>1443</v>
      </c>
      <c r="G410" s="543">
        <v>872</v>
      </c>
      <c r="H410" s="542">
        <v>5.0000000000000001E-3</v>
      </c>
      <c r="I410" s="544">
        <f t="shared" si="38"/>
        <v>4.3600000000000003</v>
      </c>
      <c r="J410" s="525"/>
      <c r="K410" s="557"/>
      <c r="L410" s="528"/>
      <c r="M410" s="528"/>
      <c r="N410" s="528"/>
      <c r="O410" s="527"/>
      <c r="P410" s="527"/>
      <c r="Q410" s="527"/>
      <c r="R410" s="527"/>
      <c r="S410" s="527"/>
      <c r="T410" s="527"/>
      <c r="U410" s="527"/>
      <c r="V410" s="527"/>
      <c r="W410" s="527"/>
      <c r="X410" s="527"/>
      <c r="Y410" s="527"/>
      <c r="Z410" s="527"/>
      <c r="AA410" s="512"/>
      <c r="AB410" s="460">
        <v>0.3</v>
      </c>
      <c r="AC410" s="512"/>
      <c r="AD410" s="513"/>
      <c r="AF410" s="550"/>
      <c r="AG410" s="513"/>
      <c r="AH410" s="513"/>
      <c r="AI410" s="513"/>
      <c r="AJ410" s="558"/>
      <c r="AK410" s="513"/>
      <c r="AL410" s="516"/>
      <c r="AM410" s="513"/>
      <c r="AN410" s="513"/>
      <c r="AO410" s="517"/>
      <c r="AP410" s="513"/>
      <c r="AQ410" s="513"/>
      <c r="AR410" s="517"/>
      <c r="AS410" s="517"/>
      <c r="AT410" s="513"/>
      <c r="AU410" s="513"/>
      <c r="AV410" s="517"/>
      <c r="AW410" s="513"/>
      <c r="AX410" s="513"/>
      <c r="AY410" s="513"/>
      <c r="AZ410" s="513"/>
      <c r="BA410" s="513"/>
    </row>
    <row r="411" spans="1:53" s="514" customFormat="1" ht="12.75" customHeight="1" x14ac:dyDescent="0.25">
      <c r="A411" s="1136"/>
      <c r="B411" s="521" t="s">
        <v>1179</v>
      </c>
      <c r="C411" s="568">
        <v>6</v>
      </c>
      <c r="D411" s="566"/>
      <c r="E411" s="559" t="s">
        <v>582</v>
      </c>
      <c r="F411" s="560" t="s">
        <v>1438</v>
      </c>
      <c r="G411" s="543">
        <v>312.49</v>
      </c>
      <c r="H411" s="542">
        <v>0.3</v>
      </c>
      <c r="I411" s="544">
        <f t="shared" si="38"/>
        <v>93.747</v>
      </c>
      <c r="J411" s="525"/>
      <c r="K411" s="557"/>
      <c r="L411" s="546"/>
      <c r="M411" s="545"/>
      <c r="N411" s="528"/>
      <c r="O411" s="527"/>
      <c r="P411" s="527"/>
      <c r="Q411" s="527"/>
      <c r="R411" s="527"/>
      <c r="S411" s="527"/>
      <c r="T411" s="527"/>
      <c r="U411" s="527"/>
      <c r="V411" s="527"/>
      <c r="W411" s="527"/>
      <c r="X411" s="527"/>
      <c r="Y411" s="527"/>
      <c r="Z411" s="527"/>
      <c r="AA411" s="512"/>
      <c r="AB411" s="460">
        <v>0.3</v>
      </c>
      <c r="AC411" s="512"/>
      <c r="AD411" s="513"/>
      <c r="AF411" s="550"/>
      <c r="AG411" s="513"/>
      <c r="AH411" s="513"/>
      <c r="AI411" s="513"/>
      <c r="AJ411" s="558"/>
      <c r="AK411" s="513"/>
      <c r="AL411" s="516"/>
      <c r="AM411" s="513"/>
      <c r="AN411" s="513"/>
      <c r="AO411" s="517"/>
      <c r="AP411" s="513"/>
      <c r="AQ411" s="513"/>
      <c r="AR411" s="517"/>
      <c r="AS411" s="517"/>
      <c r="AT411" s="513"/>
      <c r="AU411" s="513"/>
      <c r="AV411" s="517"/>
      <c r="AW411" s="513"/>
      <c r="AX411" s="513"/>
      <c r="AY411" s="513"/>
      <c r="AZ411" s="513"/>
      <c r="BA411" s="513"/>
    </row>
    <row r="412" spans="1:53" s="514" customFormat="1" ht="12.75" customHeight="1" x14ac:dyDescent="0.25">
      <c r="A412" s="1136"/>
      <c r="B412" s="569" t="s">
        <v>1181</v>
      </c>
      <c r="C412" s="502">
        <f>C407*C410+C408*C411</f>
        <v>380.30744609018569</v>
      </c>
      <c r="D412" s="566"/>
      <c r="E412" s="645" t="s">
        <v>18</v>
      </c>
      <c r="F412" s="646" t="s">
        <v>1438</v>
      </c>
      <c r="G412" s="543">
        <v>0.94</v>
      </c>
      <c r="H412" s="523">
        <v>1</v>
      </c>
      <c r="I412" s="544">
        <f t="shared" si="38"/>
        <v>0.94</v>
      </c>
      <c r="J412" s="525"/>
      <c r="K412" s="557"/>
      <c r="L412" s="528"/>
      <c r="M412" s="528"/>
      <c r="N412" s="528"/>
      <c r="O412" s="527"/>
      <c r="P412" s="527"/>
      <c r="Q412" s="527"/>
      <c r="R412" s="527"/>
      <c r="S412" s="527"/>
      <c r="T412" s="527"/>
      <c r="U412" s="527"/>
      <c r="V412" s="527"/>
      <c r="W412" s="527"/>
      <c r="X412" s="527"/>
      <c r="Y412" s="527"/>
      <c r="Z412" s="527"/>
      <c r="AA412" s="512"/>
      <c r="AB412" s="460">
        <v>0.3</v>
      </c>
      <c r="AC412" s="512"/>
      <c r="AD412" s="513"/>
      <c r="AF412" s="550"/>
      <c r="AG412" s="513"/>
      <c r="AH412" s="513"/>
      <c r="AI412" s="513"/>
      <c r="AJ412" s="551"/>
      <c r="AK412" s="513"/>
      <c r="AL412" s="516"/>
      <c r="AM412" s="513"/>
      <c r="AN412" s="513"/>
      <c r="AO412" s="517"/>
      <c r="AP412" s="513"/>
      <c r="AQ412" s="513"/>
      <c r="AR412" s="517"/>
      <c r="AS412" s="517"/>
      <c r="AT412" s="513"/>
      <c r="AU412" s="513"/>
      <c r="AV412" s="517"/>
      <c r="AW412" s="513"/>
      <c r="AX412" s="513"/>
      <c r="AY412" s="513"/>
      <c r="AZ412" s="513"/>
      <c r="BA412" s="513"/>
    </row>
    <row r="413" spans="1:53" s="514" customFormat="1" ht="12.75" customHeight="1" x14ac:dyDescent="0.25">
      <c r="A413" s="1136"/>
      <c r="B413" s="569"/>
      <c r="C413" s="502"/>
      <c r="D413" s="566"/>
      <c r="E413" s="645" t="s">
        <v>22</v>
      </c>
      <c r="F413" s="646" t="s">
        <v>1441</v>
      </c>
      <c r="G413" s="543">
        <v>1.5</v>
      </c>
      <c r="H413" s="523">
        <v>2</v>
      </c>
      <c r="I413" s="544">
        <f t="shared" si="38"/>
        <v>3</v>
      </c>
      <c r="J413" s="525"/>
      <c r="K413" s="557"/>
      <c r="L413" s="528"/>
      <c r="M413" s="528"/>
      <c r="N413" s="528"/>
      <c r="O413" s="527"/>
      <c r="P413" s="527"/>
      <c r="Q413" s="527"/>
      <c r="R413" s="527"/>
      <c r="S413" s="527"/>
      <c r="T413" s="527"/>
      <c r="U413" s="527"/>
      <c r="V413" s="527"/>
      <c r="W413" s="527"/>
      <c r="X413" s="527"/>
      <c r="Y413" s="527"/>
      <c r="Z413" s="527"/>
      <c r="AA413" s="512"/>
      <c r="AB413" s="460"/>
      <c r="AC413" s="512"/>
      <c r="AD413" s="513"/>
      <c r="AF413" s="550"/>
      <c r="AG413" s="513"/>
      <c r="AH413" s="513"/>
      <c r="AI413" s="513"/>
      <c r="AJ413" s="551"/>
      <c r="AK413" s="513"/>
      <c r="AL413" s="516"/>
      <c r="AM413" s="513"/>
      <c r="AN413" s="513"/>
      <c r="AO413" s="517"/>
      <c r="AP413" s="513"/>
      <c r="AQ413" s="513"/>
      <c r="AR413" s="517"/>
      <c r="AS413" s="517"/>
      <c r="AT413" s="513"/>
      <c r="AU413" s="513"/>
      <c r="AV413" s="517"/>
      <c r="AW413" s="513"/>
      <c r="AX413" s="513"/>
      <c r="AY413" s="513"/>
      <c r="AZ413" s="513"/>
      <c r="BA413" s="513"/>
    </row>
    <row r="414" spans="1:53" s="514" customFormat="1" ht="12.75" customHeight="1" x14ac:dyDescent="0.25">
      <c r="A414" s="1136"/>
      <c r="B414" s="569"/>
      <c r="C414" s="568"/>
      <c r="D414" s="575"/>
      <c r="E414" s="645" t="s">
        <v>13</v>
      </c>
      <c r="F414" s="646" t="s">
        <v>1441</v>
      </c>
      <c r="G414" s="543">
        <v>1.5</v>
      </c>
      <c r="H414" s="523">
        <v>1</v>
      </c>
      <c r="I414" s="544">
        <f t="shared" si="38"/>
        <v>1.5</v>
      </c>
      <c r="J414" s="525"/>
      <c r="K414" s="557"/>
      <c r="L414" s="528"/>
      <c r="M414" s="528"/>
      <c r="N414" s="528"/>
      <c r="O414" s="527"/>
      <c r="P414" s="527"/>
      <c r="Q414" s="527"/>
      <c r="R414" s="527"/>
      <c r="S414" s="527"/>
      <c r="T414" s="527"/>
      <c r="U414" s="527"/>
      <c r="V414" s="527"/>
      <c r="W414" s="527"/>
      <c r="X414" s="527"/>
      <c r="Y414" s="527"/>
      <c r="Z414" s="527"/>
      <c r="AA414" s="512"/>
      <c r="AB414" s="460">
        <v>0.3</v>
      </c>
      <c r="AC414" s="512"/>
      <c r="AD414" s="513"/>
      <c r="AF414" s="517"/>
      <c r="AG414" s="513"/>
      <c r="AH414" s="513"/>
      <c r="AI414" s="513"/>
      <c r="AJ414" s="558"/>
      <c r="AK414" s="513"/>
      <c r="AL414" s="516"/>
      <c r="AM414" s="513"/>
      <c r="AN414" s="513"/>
      <c r="AO414" s="517"/>
      <c r="AP414" s="513"/>
      <c r="AQ414" s="513"/>
      <c r="AR414" s="517"/>
      <c r="AS414" s="517"/>
      <c r="AT414" s="513"/>
      <c r="AU414" s="513"/>
      <c r="AV414" s="517"/>
      <c r="AW414" s="513"/>
      <c r="AX414" s="513"/>
      <c r="AY414" s="513"/>
      <c r="AZ414" s="513"/>
      <c r="BA414" s="513"/>
    </row>
    <row r="415" spans="1:53" s="514" customFormat="1" ht="56.25" customHeight="1" x14ac:dyDescent="0.25">
      <c r="A415" s="1136" t="s">
        <v>1524</v>
      </c>
      <c r="B415" s="503"/>
      <c r="C415" s="502"/>
      <c r="D415" s="570"/>
      <c r="E415" s="576" t="s">
        <v>488</v>
      </c>
      <c r="F415" s="507" t="s">
        <v>837</v>
      </c>
      <c r="G415" s="503" t="s">
        <v>489</v>
      </c>
      <c r="H415" s="505" t="s">
        <v>1170</v>
      </c>
      <c r="I415" s="507" t="s">
        <v>838</v>
      </c>
      <c r="J415" s="508" t="s">
        <v>1171</v>
      </c>
      <c r="K415" s="508" t="s">
        <v>490</v>
      </c>
      <c r="L415" s="509" t="s">
        <v>489</v>
      </c>
      <c r="M415" s="508" t="s">
        <v>1172</v>
      </c>
      <c r="N415" s="507" t="s">
        <v>838</v>
      </c>
      <c r="O415" s="508" t="s">
        <v>1171</v>
      </c>
      <c r="P415" s="508" t="s">
        <v>826</v>
      </c>
      <c r="Q415" s="508" t="s">
        <v>1173</v>
      </c>
      <c r="R415" s="508" t="s">
        <v>1174</v>
      </c>
      <c r="S415" s="508" t="s">
        <v>839</v>
      </c>
      <c r="T415" s="508" t="s">
        <v>1171</v>
      </c>
      <c r="U415" s="508" t="s">
        <v>1392</v>
      </c>
      <c r="V415" s="508" t="s">
        <v>841</v>
      </c>
      <c r="W415" s="510" t="s">
        <v>1173</v>
      </c>
      <c r="X415" s="508" t="s">
        <v>1394</v>
      </c>
      <c r="Y415" s="508" t="s">
        <v>839</v>
      </c>
      <c r="Z415" s="511"/>
      <c r="AA415" s="512"/>
      <c r="AB415" s="460">
        <v>0.3</v>
      </c>
      <c r="AC415" s="512"/>
      <c r="AD415" s="513"/>
      <c r="AF415" s="515"/>
      <c r="AG415" s="513"/>
      <c r="AH415" s="513"/>
      <c r="AI415" s="513"/>
      <c r="AJ415" s="513"/>
      <c r="AK415" s="513"/>
      <c r="AL415" s="516"/>
      <c r="AM415" s="513"/>
      <c r="AN415" s="513"/>
      <c r="AO415" s="517"/>
      <c r="AP415" s="513"/>
      <c r="AQ415" s="518"/>
      <c r="AR415" s="518"/>
      <c r="AS415" s="518"/>
      <c r="AT415" s="513"/>
      <c r="AU415" s="513"/>
      <c r="AV415" s="517"/>
      <c r="AW415" s="513"/>
      <c r="AX415" s="513"/>
      <c r="AY415" s="513"/>
      <c r="AZ415" s="513"/>
      <c r="BA415" s="513"/>
    </row>
    <row r="416" spans="1:53" s="514" customFormat="1" ht="12" customHeight="1" x14ac:dyDescent="0.25">
      <c r="A416" s="1136"/>
      <c r="B416" s="519" t="s">
        <v>1175</v>
      </c>
      <c r="C416" s="502">
        <f>C423</f>
        <v>507.07659478691426</v>
      </c>
      <c r="D416" s="570">
        <f>C416*$D$7</f>
        <v>102.42947214695668</v>
      </c>
      <c r="E416" s="573" t="s">
        <v>1176</v>
      </c>
      <c r="F416" s="571"/>
      <c r="G416" s="523"/>
      <c r="H416" s="523"/>
      <c r="I416" s="524">
        <f>SUM(I417:I426)</f>
        <v>44.624200000000002</v>
      </c>
      <c r="J416" s="525" t="s">
        <v>1176</v>
      </c>
      <c r="K416" s="526"/>
      <c r="L416" s="527"/>
      <c r="M416" s="527"/>
      <c r="N416" s="528">
        <f>SUM(N417:N426)</f>
        <v>4.4213899999999997</v>
      </c>
      <c r="O416" s="527" t="s">
        <v>1176</v>
      </c>
      <c r="P416" s="527"/>
      <c r="Q416" s="529"/>
      <c r="R416" s="530"/>
      <c r="S416" s="528">
        <f>SUM(S417:S426)</f>
        <v>9.9028000000000009</v>
      </c>
      <c r="T416" s="528"/>
      <c r="U416" s="528"/>
      <c r="V416" s="528"/>
      <c r="W416" s="528"/>
      <c r="X416" s="528"/>
      <c r="Y416" s="528">
        <f>SUM(Y417:Y426)</f>
        <v>9.1999999999999998E-3</v>
      </c>
      <c r="Z416" s="531">
        <f>(C416+D416+I416+N416+S416+Y416)*$Z$7</f>
        <v>869.1282198260111</v>
      </c>
      <c r="AA416" s="532">
        <f>C416+D416+I416+N416+S416+Y416+Z416</f>
        <v>1537.5918767598819</v>
      </c>
      <c r="AB416" s="460">
        <v>0.3</v>
      </c>
      <c r="AC416" s="533">
        <f>AA416*(1+AB416)</f>
        <v>1998.8694397878464</v>
      </c>
      <c r="AD416" s="517"/>
      <c r="AF416" s="515"/>
      <c r="AG416" s="513"/>
      <c r="AH416" s="513"/>
      <c r="AI416" s="518"/>
      <c r="AJ416" s="534"/>
      <c r="AK416" s="535"/>
      <c r="AL416" s="516"/>
      <c r="AM416" s="536"/>
      <c r="AN416" s="537"/>
      <c r="AO416" s="536"/>
      <c r="AP416" s="518"/>
      <c r="AQ416" s="518"/>
      <c r="AR416" s="518"/>
      <c r="AS416" s="518"/>
      <c r="AT416" s="518"/>
      <c r="AU416" s="536"/>
      <c r="AV416" s="536"/>
      <c r="AW416" s="538"/>
      <c r="AX416" s="513"/>
      <c r="AY416" s="513"/>
      <c r="AZ416" s="513"/>
      <c r="BA416" s="513"/>
    </row>
    <row r="417" spans="1:53" s="514" customFormat="1" ht="12.75" customHeight="1" x14ac:dyDescent="0.25">
      <c r="A417" s="1136"/>
      <c r="B417" s="572" t="s">
        <v>1177</v>
      </c>
      <c r="C417" s="502"/>
      <c r="D417" s="566"/>
      <c r="E417" s="541" t="s">
        <v>1437</v>
      </c>
      <c r="F417" s="542" t="s">
        <v>1438</v>
      </c>
      <c r="G417" s="543">
        <v>0.74</v>
      </c>
      <c r="H417" s="542">
        <v>0.1</v>
      </c>
      <c r="I417" s="544">
        <f t="shared" ref="I417:I426" si="39">G417*H417</f>
        <v>7.3999999999999996E-2</v>
      </c>
      <c r="J417" s="525" t="s">
        <v>1291</v>
      </c>
      <c r="K417" s="545">
        <v>2</v>
      </c>
      <c r="L417" s="546">
        <v>750</v>
      </c>
      <c r="M417" s="545">
        <v>2</v>
      </c>
      <c r="N417" s="528">
        <v>1.1745000000000001</v>
      </c>
      <c r="O417" s="547" t="s">
        <v>1578</v>
      </c>
      <c r="P417" s="527">
        <v>188900</v>
      </c>
      <c r="Q417" s="548">
        <v>0.19670000000000001</v>
      </c>
      <c r="R417" s="527">
        <f>P417*Q417</f>
        <v>37156.630000000005</v>
      </c>
      <c r="S417" s="527">
        <v>8.1902000000000008</v>
      </c>
      <c r="T417" s="512" t="s">
        <v>1435</v>
      </c>
      <c r="U417" s="523">
        <v>6785401.3499999996</v>
      </c>
      <c r="V417" s="549">
        <v>1.32E-2</v>
      </c>
      <c r="W417" s="512">
        <v>1508.3</v>
      </c>
      <c r="X417" s="528">
        <v>59.38</v>
      </c>
      <c r="Y417" s="527">
        <v>9.1999999999999998E-3</v>
      </c>
      <c r="Z417" s="527"/>
      <c r="AA417" s="512"/>
      <c r="AB417" s="460">
        <v>0.3</v>
      </c>
      <c r="AC417" s="512"/>
      <c r="AD417" s="513"/>
      <c r="AF417" s="550"/>
      <c r="AG417" s="513"/>
      <c r="AH417" s="513"/>
      <c r="AI417" s="513"/>
      <c r="AJ417" s="551"/>
      <c r="AK417" s="513"/>
      <c r="AL417" s="516"/>
      <c r="AM417" s="513"/>
      <c r="AN417" s="513"/>
      <c r="AO417" s="517"/>
      <c r="AP417" s="513"/>
      <c r="AQ417" s="513"/>
      <c r="AR417" s="517"/>
      <c r="AS417" s="517"/>
      <c r="AT417" s="518"/>
      <c r="AU417" s="513"/>
      <c r="AV417" s="517"/>
      <c r="AW417" s="513"/>
      <c r="AX417" s="513"/>
      <c r="AY417" s="513"/>
      <c r="AZ417" s="513"/>
      <c r="BA417" s="513"/>
    </row>
    <row r="418" spans="1:53" s="514" customFormat="1" x14ac:dyDescent="0.25">
      <c r="A418" s="1136"/>
      <c r="B418" s="565" t="s">
        <v>1178</v>
      </c>
      <c r="C418" s="491">
        <f>C407</f>
        <v>43.888814515309463</v>
      </c>
      <c r="D418" s="566"/>
      <c r="E418" s="541" t="s">
        <v>1439</v>
      </c>
      <c r="F418" s="542" t="s">
        <v>1438</v>
      </c>
      <c r="G418" s="543">
        <v>0.27</v>
      </c>
      <c r="H418" s="542">
        <v>0.01</v>
      </c>
      <c r="I418" s="544">
        <f t="shared" si="39"/>
        <v>2.7000000000000001E-3</v>
      </c>
      <c r="J418" s="525" t="s">
        <v>1445</v>
      </c>
      <c r="K418" s="528">
        <v>2</v>
      </c>
      <c r="L418" s="553">
        <v>95</v>
      </c>
      <c r="M418" s="545">
        <v>2</v>
      </c>
      <c r="N418" s="528">
        <v>3.1146400000000001</v>
      </c>
      <c r="O418" s="527" t="s">
        <v>1580</v>
      </c>
      <c r="P418" s="527">
        <v>39500</v>
      </c>
      <c r="Q418" s="548">
        <v>0.19670000000000001</v>
      </c>
      <c r="R418" s="527">
        <f>P418*Q418</f>
        <v>7769.6500000000005</v>
      </c>
      <c r="S418" s="527">
        <v>1.7125999999999999</v>
      </c>
      <c r="T418" s="527"/>
      <c r="U418" s="527"/>
      <c r="V418" s="527"/>
      <c r="W418" s="548"/>
      <c r="X418" s="527"/>
      <c r="Y418" s="527"/>
      <c r="Z418" s="527"/>
      <c r="AA418" s="512"/>
      <c r="AB418" s="460">
        <v>0.3</v>
      </c>
      <c r="AC418" s="512"/>
      <c r="AD418" s="513"/>
      <c r="AF418" s="550"/>
      <c r="AG418" s="513"/>
      <c r="AH418" s="513"/>
      <c r="AI418" s="513"/>
      <c r="AJ418" s="551"/>
      <c r="AK418" s="513"/>
      <c r="AL418" s="516"/>
      <c r="AM418" s="538"/>
      <c r="AN418" s="513"/>
      <c r="AO418" s="517"/>
      <c r="AP418" s="513"/>
      <c r="AQ418" s="513"/>
      <c r="AR418" s="517"/>
      <c r="AS418" s="517"/>
      <c r="AT418" s="513"/>
      <c r="AU418" s="513"/>
      <c r="AV418" s="517"/>
      <c r="AW418" s="513"/>
      <c r="AX418" s="513"/>
      <c r="AY418" s="513"/>
      <c r="AZ418" s="513"/>
      <c r="BA418" s="513"/>
    </row>
    <row r="419" spans="1:53" s="514" customFormat="1" ht="12.75" customHeight="1" x14ac:dyDescent="0.25">
      <c r="A419" s="1136"/>
      <c r="B419" s="521" t="s">
        <v>1179</v>
      </c>
      <c r="C419" s="487">
        <f>C408</f>
        <v>19.495759833054819</v>
      </c>
      <c r="D419" s="566"/>
      <c r="E419" s="541" t="s">
        <v>1440</v>
      </c>
      <c r="F419" s="542" t="s">
        <v>1441</v>
      </c>
      <c r="G419" s="543">
        <v>5.92</v>
      </c>
      <c r="H419" s="555">
        <v>1</v>
      </c>
      <c r="I419" s="544">
        <f t="shared" si="39"/>
        <v>5.92</v>
      </c>
      <c r="J419" s="525" t="s">
        <v>1513</v>
      </c>
      <c r="K419" s="528">
        <v>2</v>
      </c>
      <c r="L419" s="528">
        <v>25</v>
      </c>
      <c r="M419" s="545">
        <v>0.5</v>
      </c>
      <c r="N419" s="528">
        <v>0.13225000000000001</v>
      </c>
      <c r="O419" s="527"/>
      <c r="P419" s="527"/>
      <c r="Q419" s="548"/>
      <c r="R419" s="527"/>
      <c r="S419" s="527"/>
      <c r="T419" s="527"/>
      <c r="U419" s="527"/>
      <c r="V419" s="527"/>
      <c r="W419" s="548"/>
      <c r="X419" s="527"/>
      <c r="Y419" s="527"/>
      <c r="Z419" s="527"/>
      <c r="AA419" s="512"/>
      <c r="AB419" s="460">
        <v>0.3</v>
      </c>
      <c r="AC419" s="512"/>
      <c r="AD419" s="513"/>
      <c r="AF419" s="550"/>
      <c r="AG419" s="513"/>
      <c r="AH419" s="513"/>
      <c r="AI419" s="513"/>
      <c r="AJ419" s="551"/>
      <c r="AK419" s="513"/>
      <c r="AL419" s="516"/>
      <c r="AM419" s="513"/>
      <c r="AN419" s="513"/>
      <c r="AO419" s="517"/>
      <c r="AP419" s="513"/>
      <c r="AQ419" s="513"/>
      <c r="AR419" s="517"/>
      <c r="AS419" s="517"/>
      <c r="AT419" s="513"/>
      <c r="AU419" s="513"/>
      <c r="AV419" s="517"/>
      <c r="AW419" s="513"/>
      <c r="AX419" s="513"/>
      <c r="AY419" s="513"/>
      <c r="AZ419" s="513"/>
      <c r="BA419" s="513"/>
    </row>
    <row r="420" spans="1:53" s="514" customFormat="1" ht="12.75" customHeight="1" x14ac:dyDescent="0.25">
      <c r="A420" s="1136"/>
      <c r="B420" s="521" t="s">
        <v>1180</v>
      </c>
      <c r="C420" s="567"/>
      <c r="D420" s="566"/>
      <c r="E420" s="541" t="s">
        <v>1442</v>
      </c>
      <c r="F420" s="542" t="s">
        <v>1443</v>
      </c>
      <c r="G420" s="543">
        <v>419.5</v>
      </c>
      <c r="H420" s="542">
        <v>0.01</v>
      </c>
      <c r="I420" s="544">
        <f t="shared" si="39"/>
        <v>4.1950000000000003</v>
      </c>
      <c r="J420" s="525"/>
      <c r="K420" s="557"/>
      <c r="L420" s="528"/>
      <c r="M420" s="528"/>
      <c r="N420" s="528"/>
      <c r="O420" s="527"/>
      <c r="P420" s="527"/>
      <c r="Q420" s="527"/>
      <c r="R420" s="527"/>
      <c r="S420" s="527"/>
      <c r="T420" s="527"/>
      <c r="U420" s="527"/>
      <c r="V420" s="527"/>
      <c r="W420" s="527"/>
      <c r="X420" s="527"/>
      <c r="Y420" s="527"/>
      <c r="Z420" s="527"/>
      <c r="AA420" s="512"/>
      <c r="AB420" s="460">
        <v>0.3</v>
      </c>
      <c r="AC420" s="512"/>
      <c r="AD420" s="513"/>
      <c r="AF420" s="550"/>
      <c r="AG420" s="513"/>
      <c r="AH420" s="513"/>
      <c r="AI420" s="513"/>
      <c r="AJ420" s="551"/>
      <c r="AK420" s="513"/>
      <c r="AL420" s="516"/>
      <c r="AM420" s="513"/>
      <c r="AN420" s="513"/>
      <c r="AO420" s="517"/>
      <c r="AP420" s="513"/>
      <c r="AQ420" s="513"/>
      <c r="AR420" s="517"/>
      <c r="AS420" s="517"/>
      <c r="AT420" s="513"/>
      <c r="AU420" s="513"/>
      <c r="AV420" s="517"/>
      <c r="AW420" s="513"/>
      <c r="AX420" s="513"/>
      <c r="AY420" s="513"/>
      <c r="AZ420" s="513"/>
      <c r="BA420" s="513"/>
    </row>
    <row r="421" spans="1:53" s="514" customFormat="1" ht="12.75" customHeight="1" x14ac:dyDescent="0.25">
      <c r="A421" s="1136"/>
      <c r="B421" s="565" t="s">
        <v>1178</v>
      </c>
      <c r="C421" s="568">
        <v>8</v>
      </c>
      <c r="D421" s="566"/>
      <c r="E421" s="541" t="s">
        <v>1444</v>
      </c>
      <c r="F421" s="542" t="s">
        <v>1443</v>
      </c>
      <c r="G421" s="543">
        <v>872</v>
      </c>
      <c r="H421" s="542">
        <v>5.0000000000000001E-3</v>
      </c>
      <c r="I421" s="544">
        <f t="shared" si="39"/>
        <v>4.3600000000000003</v>
      </c>
      <c r="J421" s="525"/>
      <c r="K421" s="557"/>
      <c r="L421" s="528"/>
      <c r="M421" s="528"/>
      <c r="N421" s="528"/>
      <c r="O421" s="527"/>
      <c r="P421" s="527"/>
      <c r="Q421" s="527"/>
      <c r="R421" s="527"/>
      <c r="S421" s="527"/>
      <c r="T421" s="527"/>
      <c r="U421" s="527"/>
      <c r="V421" s="527"/>
      <c r="W421" s="527"/>
      <c r="X421" s="527"/>
      <c r="Y421" s="527"/>
      <c r="Z421" s="527"/>
      <c r="AA421" s="512"/>
      <c r="AB421" s="460">
        <v>0.3</v>
      </c>
      <c r="AC421" s="512"/>
      <c r="AD421" s="513"/>
      <c r="AF421" s="550"/>
      <c r="AG421" s="513"/>
      <c r="AH421" s="513"/>
      <c r="AI421" s="513"/>
      <c r="AJ421" s="558"/>
      <c r="AK421" s="513"/>
      <c r="AL421" s="516"/>
      <c r="AM421" s="513"/>
      <c r="AN421" s="513"/>
      <c r="AO421" s="517"/>
      <c r="AP421" s="513"/>
      <c r="AQ421" s="513"/>
      <c r="AR421" s="517"/>
      <c r="AS421" s="517"/>
      <c r="AT421" s="513"/>
      <c r="AU421" s="513"/>
      <c r="AV421" s="517"/>
      <c r="AW421" s="513"/>
      <c r="AX421" s="513"/>
      <c r="AY421" s="513"/>
      <c r="AZ421" s="513"/>
      <c r="BA421" s="513"/>
    </row>
    <row r="422" spans="1:53" s="514" customFormat="1" ht="12.75" customHeight="1" x14ac:dyDescent="0.25">
      <c r="A422" s="1136"/>
      <c r="B422" s="521" t="s">
        <v>1179</v>
      </c>
      <c r="C422" s="568">
        <v>8</v>
      </c>
      <c r="D422" s="566"/>
      <c r="E422" s="559" t="s">
        <v>581</v>
      </c>
      <c r="F422" s="560" t="s">
        <v>1438</v>
      </c>
      <c r="G422" s="543">
        <v>16.39</v>
      </c>
      <c r="H422" s="542">
        <v>0.25</v>
      </c>
      <c r="I422" s="544">
        <f t="shared" si="39"/>
        <v>4.0975000000000001</v>
      </c>
      <c r="J422" s="525"/>
      <c r="K422" s="557"/>
      <c r="L422" s="546"/>
      <c r="M422" s="545"/>
      <c r="N422" s="528"/>
      <c r="O422" s="527"/>
      <c r="P422" s="527"/>
      <c r="Q422" s="527"/>
      <c r="R422" s="527"/>
      <c r="S422" s="527"/>
      <c r="T422" s="527"/>
      <c r="U422" s="527"/>
      <c r="V422" s="527"/>
      <c r="W422" s="527"/>
      <c r="X422" s="527"/>
      <c r="Y422" s="527"/>
      <c r="Z422" s="527"/>
      <c r="AA422" s="512"/>
      <c r="AB422" s="460">
        <v>0.3</v>
      </c>
      <c r="AC422" s="512"/>
      <c r="AD422" s="513"/>
      <c r="AF422" s="550"/>
      <c r="AG422" s="513"/>
      <c r="AH422" s="513"/>
      <c r="AI422" s="513"/>
      <c r="AJ422" s="558"/>
      <c r="AK422" s="513"/>
      <c r="AL422" s="516"/>
      <c r="AM422" s="513"/>
      <c r="AN422" s="513"/>
      <c r="AO422" s="517"/>
      <c r="AP422" s="513"/>
      <c r="AQ422" s="513"/>
      <c r="AR422" s="517"/>
      <c r="AS422" s="517"/>
      <c r="AT422" s="513"/>
      <c r="AU422" s="513"/>
      <c r="AV422" s="517"/>
      <c r="AW422" s="513"/>
      <c r="AX422" s="513"/>
      <c r="AY422" s="513"/>
      <c r="AZ422" s="513"/>
      <c r="BA422" s="513"/>
    </row>
    <row r="423" spans="1:53" s="514" customFormat="1" ht="12.75" customHeight="1" x14ac:dyDescent="0.25">
      <c r="A423" s="1136"/>
      <c r="B423" s="569" t="s">
        <v>1181</v>
      </c>
      <c r="C423" s="502">
        <f>C418*C421+C419*C422</f>
        <v>507.07659478691426</v>
      </c>
      <c r="D423" s="566"/>
      <c r="E423" s="559" t="s">
        <v>26</v>
      </c>
      <c r="F423" s="560" t="s">
        <v>1</v>
      </c>
      <c r="G423" s="543">
        <v>6.67</v>
      </c>
      <c r="H423" s="542">
        <v>0.5</v>
      </c>
      <c r="I423" s="544">
        <f t="shared" si="39"/>
        <v>3.335</v>
      </c>
      <c r="J423" s="525"/>
      <c r="K423" s="557"/>
      <c r="L423" s="528"/>
      <c r="M423" s="528"/>
      <c r="N423" s="528"/>
      <c r="O423" s="527"/>
      <c r="P423" s="527"/>
      <c r="Q423" s="527"/>
      <c r="R423" s="527"/>
      <c r="S423" s="527"/>
      <c r="T423" s="527"/>
      <c r="U423" s="527"/>
      <c r="V423" s="527"/>
      <c r="W423" s="527"/>
      <c r="X423" s="527"/>
      <c r="Y423" s="527"/>
      <c r="Z423" s="527"/>
      <c r="AA423" s="512"/>
      <c r="AB423" s="460">
        <v>0.3</v>
      </c>
      <c r="AC423" s="512"/>
      <c r="AD423" s="513"/>
      <c r="AF423" s="550"/>
      <c r="AG423" s="513"/>
      <c r="AH423" s="513"/>
      <c r="AI423" s="513"/>
      <c r="AJ423" s="551"/>
      <c r="AK423" s="513"/>
      <c r="AL423" s="516"/>
      <c r="AM423" s="513"/>
      <c r="AN423" s="513"/>
      <c r="AO423" s="517"/>
      <c r="AP423" s="513"/>
      <c r="AQ423" s="513"/>
      <c r="AR423" s="517"/>
      <c r="AS423" s="517"/>
      <c r="AT423" s="513"/>
      <c r="AU423" s="513"/>
      <c r="AV423" s="517"/>
      <c r="AW423" s="513"/>
      <c r="AX423" s="513"/>
      <c r="AY423" s="513"/>
      <c r="AZ423" s="513"/>
      <c r="BA423" s="513"/>
    </row>
    <row r="424" spans="1:53" s="514" customFormat="1" ht="12.75" customHeight="1" x14ac:dyDescent="0.25">
      <c r="A424" s="1136"/>
      <c r="B424" s="647"/>
      <c r="C424" s="502"/>
      <c r="D424" s="566"/>
      <c r="E424" s="559" t="s">
        <v>27</v>
      </c>
      <c r="F424" s="560" t="s">
        <v>1</v>
      </c>
      <c r="G424" s="543">
        <v>13.78</v>
      </c>
      <c r="H424" s="542">
        <v>1.5</v>
      </c>
      <c r="I424" s="544">
        <f t="shared" si="39"/>
        <v>20.669999999999998</v>
      </c>
      <c r="J424" s="525"/>
      <c r="K424" s="557"/>
      <c r="L424" s="528"/>
      <c r="M424" s="528"/>
      <c r="N424" s="528"/>
      <c r="O424" s="527"/>
      <c r="P424" s="527"/>
      <c r="Q424" s="527"/>
      <c r="R424" s="527"/>
      <c r="S424" s="527"/>
      <c r="T424" s="527"/>
      <c r="U424" s="527"/>
      <c r="V424" s="527"/>
      <c r="W424" s="527"/>
      <c r="X424" s="527"/>
      <c r="Y424" s="527"/>
      <c r="Z424" s="527"/>
      <c r="AA424" s="512"/>
      <c r="AB424" s="460"/>
      <c r="AC424" s="512"/>
      <c r="AD424" s="513"/>
      <c r="AF424" s="550"/>
      <c r="AG424" s="513"/>
      <c r="AH424" s="513"/>
      <c r="AI424" s="513"/>
      <c r="AJ424" s="551"/>
      <c r="AK424" s="513"/>
      <c r="AL424" s="516"/>
      <c r="AM424" s="513"/>
      <c r="AN424" s="513"/>
      <c r="AO424" s="517"/>
      <c r="AP424" s="513"/>
      <c r="AQ424" s="513"/>
      <c r="AR424" s="517"/>
      <c r="AS424" s="517"/>
      <c r="AT424" s="513"/>
      <c r="AU424" s="513"/>
      <c r="AV424" s="517"/>
      <c r="AW424" s="513"/>
      <c r="AX424" s="513"/>
      <c r="AY424" s="513"/>
      <c r="AZ424" s="513"/>
      <c r="BA424" s="513"/>
    </row>
    <row r="425" spans="1:53" s="514" customFormat="1" ht="12.75" customHeight="1" x14ac:dyDescent="0.25">
      <c r="A425" s="1136"/>
      <c r="B425" s="569"/>
      <c r="C425" s="502"/>
      <c r="D425" s="566"/>
      <c r="E425" s="559" t="s">
        <v>18</v>
      </c>
      <c r="F425" s="560" t="s">
        <v>1438</v>
      </c>
      <c r="G425" s="543">
        <v>0.94</v>
      </c>
      <c r="H425" s="542">
        <v>0.5</v>
      </c>
      <c r="I425" s="544">
        <f t="shared" si="39"/>
        <v>0.47</v>
      </c>
      <c r="J425" s="525"/>
      <c r="K425" s="557"/>
      <c r="L425" s="528"/>
      <c r="M425" s="528"/>
      <c r="N425" s="528"/>
      <c r="O425" s="527"/>
      <c r="P425" s="527"/>
      <c r="Q425" s="527"/>
      <c r="R425" s="527"/>
      <c r="S425" s="527"/>
      <c r="T425" s="527"/>
      <c r="U425" s="527"/>
      <c r="V425" s="527"/>
      <c r="W425" s="527"/>
      <c r="X425" s="527"/>
      <c r="Y425" s="527"/>
      <c r="Z425" s="527"/>
      <c r="AA425" s="512"/>
      <c r="AB425" s="460"/>
      <c r="AC425" s="512"/>
      <c r="AD425" s="513"/>
      <c r="AF425" s="550"/>
      <c r="AG425" s="513"/>
      <c r="AH425" s="513"/>
      <c r="AI425" s="513"/>
      <c r="AJ425" s="551"/>
      <c r="AK425" s="513"/>
      <c r="AL425" s="516"/>
      <c r="AM425" s="513"/>
      <c r="AN425" s="513"/>
      <c r="AO425" s="517"/>
      <c r="AP425" s="513"/>
      <c r="AQ425" s="513"/>
      <c r="AR425" s="517"/>
      <c r="AS425" s="517"/>
      <c r="AT425" s="513"/>
      <c r="AU425" s="513"/>
      <c r="AV425" s="517"/>
      <c r="AW425" s="513"/>
      <c r="AX425" s="513"/>
      <c r="AY425" s="513"/>
      <c r="AZ425" s="513"/>
      <c r="BA425" s="513"/>
    </row>
    <row r="426" spans="1:53" s="514" customFormat="1" ht="12.75" customHeight="1" x14ac:dyDescent="0.25">
      <c r="A426" s="1136"/>
      <c r="B426" s="569"/>
      <c r="C426" s="568"/>
      <c r="D426" s="566"/>
      <c r="E426" s="559" t="s">
        <v>13</v>
      </c>
      <c r="F426" s="560" t="s">
        <v>1441</v>
      </c>
      <c r="G426" s="543">
        <v>1.5</v>
      </c>
      <c r="H426" s="542">
        <v>1</v>
      </c>
      <c r="I426" s="544">
        <f t="shared" si="39"/>
        <v>1.5</v>
      </c>
      <c r="J426" s="525"/>
      <c r="K426" s="557"/>
      <c r="L426" s="528"/>
      <c r="M426" s="528"/>
      <c r="N426" s="528"/>
      <c r="O426" s="527"/>
      <c r="P426" s="527"/>
      <c r="Q426" s="527"/>
      <c r="R426" s="527"/>
      <c r="S426" s="527"/>
      <c r="T426" s="527"/>
      <c r="U426" s="527"/>
      <c r="V426" s="527"/>
      <c r="W426" s="527"/>
      <c r="X426" s="527"/>
      <c r="Y426" s="527"/>
      <c r="Z426" s="527"/>
      <c r="AA426" s="512"/>
      <c r="AB426" s="460">
        <v>0.3</v>
      </c>
      <c r="AC426" s="512"/>
      <c r="AD426" s="513"/>
      <c r="AF426" s="550"/>
      <c r="AG426" s="513"/>
      <c r="AH426" s="513"/>
      <c r="AI426" s="513"/>
      <c r="AJ426" s="558"/>
      <c r="AK426" s="513"/>
      <c r="AL426" s="516"/>
      <c r="AM426" s="513"/>
      <c r="AN426" s="513"/>
      <c r="AO426" s="517"/>
      <c r="AP426" s="513"/>
      <c r="AQ426" s="513"/>
      <c r="AR426" s="517"/>
      <c r="AS426" s="517"/>
      <c r="AT426" s="513"/>
      <c r="AU426" s="513"/>
      <c r="AV426" s="517"/>
      <c r="AW426" s="513"/>
      <c r="AX426" s="513"/>
      <c r="AY426" s="513"/>
      <c r="AZ426" s="513"/>
      <c r="BA426" s="513"/>
    </row>
    <row r="427" spans="1:53" s="514" customFormat="1" ht="56.25" customHeight="1" x14ac:dyDescent="0.25">
      <c r="A427" s="1136" t="s">
        <v>1529</v>
      </c>
      <c r="B427" s="503"/>
      <c r="C427" s="502"/>
      <c r="D427" s="570"/>
      <c r="E427" s="576" t="s">
        <v>488</v>
      </c>
      <c r="F427" s="507" t="s">
        <v>837</v>
      </c>
      <c r="G427" s="503" t="s">
        <v>489</v>
      </c>
      <c r="H427" s="505" t="s">
        <v>1170</v>
      </c>
      <c r="I427" s="507" t="s">
        <v>838</v>
      </c>
      <c r="J427" s="508" t="s">
        <v>1171</v>
      </c>
      <c r="K427" s="508" t="s">
        <v>490</v>
      </c>
      <c r="L427" s="509" t="s">
        <v>489</v>
      </c>
      <c r="M427" s="508" t="s">
        <v>1172</v>
      </c>
      <c r="N427" s="507" t="s">
        <v>838</v>
      </c>
      <c r="O427" s="508" t="s">
        <v>1171</v>
      </c>
      <c r="P427" s="508" t="s">
        <v>826</v>
      </c>
      <c r="Q427" s="508" t="s">
        <v>1173</v>
      </c>
      <c r="R427" s="508" t="s">
        <v>1174</v>
      </c>
      <c r="S427" s="508" t="s">
        <v>839</v>
      </c>
      <c r="T427" s="508" t="s">
        <v>1171</v>
      </c>
      <c r="U427" s="508" t="s">
        <v>1392</v>
      </c>
      <c r="V427" s="508" t="s">
        <v>841</v>
      </c>
      <c r="W427" s="510" t="s">
        <v>1173</v>
      </c>
      <c r="X427" s="508" t="s">
        <v>1394</v>
      </c>
      <c r="Y427" s="508" t="s">
        <v>839</v>
      </c>
      <c r="Z427" s="511"/>
      <c r="AA427" s="512"/>
      <c r="AB427" s="460">
        <v>0.3</v>
      </c>
      <c r="AC427" s="512"/>
      <c r="AD427" s="513"/>
      <c r="AF427" s="515"/>
      <c r="AG427" s="513"/>
      <c r="AH427" s="513"/>
      <c r="AI427" s="513"/>
      <c r="AJ427" s="513"/>
      <c r="AK427" s="513"/>
      <c r="AL427" s="516"/>
      <c r="AM427" s="513"/>
      <c r="AN427" s="513"/>
      <c r="AO427" s="517"/>
      <c r="AP427" s="513"/>
      <c r="AQ427" s="518"/>
      <c r="AR427" s="518"/>
      <c r="AS427" s="518"/>
      <c r="AT427" s="513"/>
      <c r="AU427" s="513"/>
      <c r="AV427" s="517"/>
      <c r="AW427" s="513"/>
      <c r="AX427" s="513"/>
      <c r="AY427" s="513"/>
      <c r="AZ427" s="513"/>
      <c r="BA427" s="513"/>
    </row>
    <row r="428" spans="1:53" s="514" customFormat="1" ht="12" customHeight="1" x14ac:dyDescent="0.25">
      <c r="A428" s="1136"/>
      <c r="B428" s="519" t="s">
        <v>1175</v>
      </c>
      <c r="C428" s="502">
        <f>C435</f>
        <v>760.61489218037138</v>
      </c>
      <c r="D428" s="570">
        <f>C428*$D$7</f>
        <v>153.64420822043502</v>
      </c>
      <c r="E428" s="573" t="s">
        <v>1176</v>
      </c>
      <c r="F428" s="571"/>
      <c r="G428" s="523"/>
      <c r="H428" s="523"/>
      <c r="I428" s="524">
        <f>SUM(I429:I438)</f>
        <v>47.959199999999996</v>
      </c>
      <c r="J428" s="525" t="s">
        <v>1176</v>
      </c>
      <c r="K428" s="526"/>
      <c r="L428" s="527"/>
      <c r="M428" s="527"/>
      <c r="N428" s="528">
        <f>SUM(N429:N438)</f>
        <v>4.4213899999999997</v>
      </c>
      <c r="O428" s="527" t="s">
        <v>1176</v>
      </c>
      <c r="P428" s="527"/>
      <c r="Q428" s="529"/>
      <c r="R428" s="530"/>
      <c r="S428" s="528">
        <f>SUM(S429:S438)</f>
        <v>9.9028000000000009</v>
      </c>
      <c r="T428" s="528"/>
      <c r="U428" s="528"/>
      <c r="V428" s="528"/>
      <c r="W428" s="528"/>
      <c r="X428" s="528"/>
      <c r="Y428" s="528">
        <f>SUM(Y429:Y438)</f>
        <v>9.1999999999999998E-3</v>
      </c>
      <c r="Z428" s="531">
        <f>(C428+D428+I428+N428+S428+Y428)*$Z$7</f>
        <v>1269.7004892370669</v>
      </c>
      <c r="AA428" s="532">
        <f>C428+D428+I428+N428+S428+Y428+Z428</f>
        <v>2246.2521796378733</v>
      </c>
      <c r="AB428" s="460">
        <v>0.3</v>
      </c>
      <c r="AC428" s="533">
        <f>AA428*(1+AB428)</f>
        <v>2920.1278335292354</v>
      </c>
      <c r="AD428" s="517"/>
      <c r="AF428" s="515"/>
      <c r="AG428" s="513"/>
      <c r="AH428" s="513"/>
      <c r="AI428" s="518"/>
      <c r="AJ428" s="534"/>
      <c r="AK428" s="535"/>
      <c r="AL428" s="516"/>
      <c r="AM428" s="536"/>
      <c r="AN428" s="537"/>
      <c r="AO428" s="536"/>
      <c r="AP428" s="518"/>
      <c r="AQ428" s="518"/>
      <c r="AR428" s="518"/>
      <c r="AS428" s="518"/>
      <c r="AT428" s="518"/>
      <c r="AU428" s="536"/>
      <c r="AV428" s="536"/>
      <c r="AW428" s="538"/>
      <c r="AX428" s="513"/>
      <c r="AY428" s="513"/>
      <c r="AZ428" s="513"/>
      <c r="BA428" s="513"/>
    </row>
    <row r="429" spans="1:53" s="514" customFormat="1" ht="12.75" customHeight="1" x14ac:dyDescent="0.25">
      <c r="A429" s="1136"/>
      <c r="B429" s="572" t="s">
        <v>1177</v>
      </c>
      <c r="C429" s="502"/>
      <c r="D429" s="566"/>
      <c r="E429" s="541" t="s">
        <v>1437</v>
      </c>
      <c r="F429" s="542" t="s">
        <v>1438</v>
      </c>
      <c r="G429" s="543">
        <v>0.74</v>
      </c>
      <c r="H429" s="542">
        <v>0.1</v>
      </c>
      <c r="I429" s="544">
        <f t="shared" ref="I429:I438" si="40">G429*H429</f>
        <v>7.3999999999999996E-2</v>
      </c>
      <c r="J429" s="525" t="s">
        <v>1291</v>
      </c>
      <c r="K429" s="545">
        <v>2</v>
      </c>
      <c r="L429" s="546">
        <v>750</v>
      </c>
      <c r="M429" s="545">
        <v>2</v>
      </c>
      <c r="N429" s="528">
        <v>1.1745000000000001</v>
      </c>
      <c r="O429" s="547" t="s">
        <v>1578</v>
      </c>
      <c r="P429" s="527">
        <v>188900</v>
      </c>
      <c r="Q429" s="548">
        <v>0.19670000000000001</v>
      </c>
      <c r="R429" s="527">
        <f>P429*Q429</f>
        <v>37156.630000000005</v>
      </c>
      <c r="S429" s="527">
        <v>8.1902000000000008</v>
      </c>
      <c r="T429" s="512" t="s">
        <v>1435</v>
      </c>
      <c r="U429" s="523">
        <v>6785401.3499999996</v>
      </c>
      <c r="V429" s="549">
        <v>1.32E-2</v>
      </c>
      <c r="W429" s="512">
        <v>1508.3</v>
      </c>
      <c r="X429" s="528">
        <v>59.38</v>
      </c>
      <c r="Y429" s="527">
        <v>9.1999999999999998E-3</v>
      </c>
      <c r="Z429" s="527"/>
      <c r="AA429" s="512"/>
      <c r="AB429" s="460">
        <v>0.3</v>
      </c>
      <c r="AC429" s="512"/>
      <c r="AD429" s="513"/>
      <c r="AF429" s="550"/>
      <c r="AG429" s="513"/>
      <c r="AH429" s="513"/>
      <c r="AI429" s="513"/>
      <c r="AJ429" s="551"/>
      <c r="AK429" s="513"/>
      <c r="AL429" s="516"/>
      <c r="AM429" s="513"/>
      <c r="AN429" s="513"/>
      <c r="AO429" s="517"/>
      <c r="AP429" s="513"/>
      <c r="AQ429" s="513"/>
      <c r="AR429" s="517"/>
      <c r="AS429" s="517"/>
      <c r="AT429" s="518"/>
      <c r="AU429" s="513"/>
      <c r="AV429" s="517"/>
      <c r="AW429" s="513"/>
      <c r="AX429" s="513"/>
      <c r="AY429" s="513"/>
      <c r="AZ429" s="513"/>
      <c r="BA429" s="513"/>
    </row>
    <row r="430" spans="1:53" s="514" customFormat="1" x14ac:dyDescent="0.25">
      <c r="A430" s="1136"/>
      <c r="B430" s="565" t="s">
        <v>1178</v>
      </c>
      <c r="C430" s="491">
        <f>C418</f>
        <v>43.888814515309463</v>
      </c>
      <c r="D430" s="566"/>
      <c r="E430" s="541" t="s">
        <v>1439</v>
      </c>
      <c r="F430" s="542" t="s">
        <v>1438</v>
      </c>
      <c r="G430" s="543">
        <v>0.27</v>
      </c>
      <c r="H430" s="542">
        <v>0.01</v>
      </c>
      <c r="I430" s="544">
        <f t="shared" si="40"/>
        <v>2.7000000000000001E-3</v>
      </c>
      <c r="J430" s="525" t="s">
        <v>1445</v>
      </c>
      <c r="K430" s="528">
        <v>2</v>
      </c>
      <c r="L430" s="553">
        <v>95</v>
      </c>
      <c r="M430" s="545">
        <v>2</v>
      </c>
      <c r="N430" s="528">
        <v>3.1146400000000001</v>
      </c>
      <c r="O430" s="527" t="s">
        <v>1580</v>
      </c>
      <c r="P430" s="527">
        <v>39500</v>
      </c>
      <c r="Q430" s="548">
        <v>0.19670000000000001</v>
      </c>
      <c r="R430" s="527">
        <f>P430*Q430</f>
        <v>7769.6500000000005</v>
      </c>
      <c r="S430" s="527">
        <v>1.7125999999999999</v>
      </c>
      <c r="T430" s="527"/>
      <c r="U430" s="527"/>
      <c r="V430" s="527"/>
      <c r="W430" s="548"/>
      <c r="X430" s="527"/>
      <c r="Y430" s="527"/>
      <c r="Z430" s="527"/>
      <c r="AA430" s="512"/>
      <c r="AB430" s="460">
        <v>0.3</v>
      </c>
      <c r="AC430" s="512"/>
      <c r="AD430" s="513"/>
      <c r="AF430" s="550"/>
      <c r="AG430" s="513"/>
      <c r="AH430" s="513"/>
      <c r="AI430" s="513"/>
      <c r="AJ430" s="551"/>
      <c r="AK430" s="513"/>
      <c r="AL430" s="516"/>
      <c r="AM430" s="538"/>
      <c r="AN430" s="513"/>
      <c r="AO430" s="517"/>
      <c r="AP430" s="513"/>
      <c r="AQ430" s="513"/>
      <c r="AR430" s="517"/>
      <c r="AS430" s="517"/>
      <c r="AT430" s="513"/>
      <c r="AU430" s="513"/>
      <c r="AV430" s="517"/>
      <c r="AW430" s="513"/>
      <c r="AX430" s="513"/>
      <c r="AY430" s="513"/>
      <c r="AZ430" s="513"/>
      <c r="BA430" s="513"/>
    </row>
    <row r="431" spans="1:53" s="514" customFormat="1" ht="12.75" customHeight="1" x14ac:dyDescent="0.25">
      <c r="A431" s="1136"/>
      <c r="B431" s="521" t="s">
        <v>1179</v>
      </c>
      <c r="C431" s="487">
        <f>C419</f>
        <v>19.495759833054819</v>
      </c>
      <c r="D431" s="566"/>
      <c r="E431" s="541" t="s">
        <v>1440</v>
      </c>
      <c r="F431" s="542" t="s">
        <v>1441</v>
      </c>
      <c r="G431" s="543">
        <v>5.92</v>
      </c>
      <c r="H431" s="555">
        <v>1</v>
      </c>
      <c r="I431" s="544">
        <f t="shared" si="40"/>
        <v>5.92</v>
      </c>
      <c r="J431" s="525" t="s">
        <v>1513</v>
      </c>
      <c r="K431" s="528">
        <v>2</v>
      </c>
      <c r="L431" s="528">
        <v>25</v>
      </c>
      <c r="M431" s="545">
        <v>0.5</v>
      </c>
      <c r="N431" s="528">
        <v>0.13225000000000001</v>
      </c>
      <c r="O431" s="527"/>
      <c r="P431" s="527"/>
      <c r="Q431" s="548"/>
      <c r="R431" s="527"/>
      <c r="S431" s="527"/>
      <c r="T431" s="527"/>
      <c r="U431" s="527"/>
      <c r="V431" s="527"/>
      <c r="W431" s="548"/>
      <c r="X431" s="527"/>
      <c r="Y431" s="527"/>
      <c r="Z431" s="527"/>
      <c r="AA431" s="512"/>
      <c r="AB431" s="460">
        <v>0.3</v>
      </c>
      <c r="AC431" s="512"/>
      <c r="AD431" s="513"/>
      <c r="AF431" s="550"/>
      <c r="AG431" s="513"/>
      <c r="AH431" s="513"/>
      <c r="AI431" s="513"/>
      <c r="AJ431" s="551"/>
      <c r="AK431" s="513"/>
      <c r="AL431" s="516"/>
      <c r="AM431" s="513"/>
      <c r="AN431" s="513"/>
      <c r="AO431" s="517"/>
      <c r="AP431" s="513"/>
      <c r="AQ431" s="513"/>
      <c r="AR431" s="517"/>
      <c r="AS431" s="517"/>
      <c r="AT431" s="513"/>
      <c r="AU431" s="513"/>
      <c r="AV431" s="517"/>
      <c r="AW431" s="513"/>
      <c r="AX431" s="513"/>
      <c r="AY431" s="513"/>
      <c r="AZ431" s="513"/>
      <c r="BA431" s="513"/>
    </row>
    <row r="432" spans="1:53" s="514" customFormat="1" ht="12.75" customHeight="1" x14ac:dyDescent="0.25">
      <c r="A432" s="1136"/>
      <c r="B432" s="521" t="s">
        <v>1180</v>
      </c>
      <c r="C432" s="567"/>
      <c r="D432" s="566"/>
      <c r="E432" s="541" t="s">
        <v>1442</v>
      </c>
      <c r="F432" s="542" t="s">
        <v>1443</v>
      </c>
      <c r="G432" s="543">
        <v>419.5</v>
      </c>
      <c r="H432" s="542">
        <v>0.01</v>
      </c>
      <c r="I432" s="544">
        <f t="shared" si="40"/>
        <v>4.1950000000000003</v>
      </c>
      <c r="J432" s="525"/>
      <c r="K432" s="557"/>
      <c r="L432" s="528"/>
      <c r="M432" s="528"/>
      <c r="N432" s="528"/>
      <c r="O432" s="527"/>
      <c r="P432" s="527"/>
      <c r="Q432" s="527"/>
      <c r="R432" s="527"/>
      <c r="S432" s="527"/>
      <c r="T432" s="527"/>
      <c r="U432" s="527"/>
      <c r="V432" s="527"/>
      <c r="W432" s="527"/>
      <c r="X432" s="527"/>
      <c r="Y432" s="527"/>
      <c r="Z432" s="527"/>
      <c r="AA432" s="512"/>
      <c r="AB432" s="460">
        <v>0.3</v>
      </c>
      <c r="AC432" s="512"/>
      <c r="AD432" s="513"/>
      <c r="AF432" s="550"/>
      <c r="AG432" s="513"/>
      <c r="AH432" s="513"/>
      <c r="AI432" s="513"/>
      <c r="AJ432" s="551"/>
      <c r="AK432" s="513"/>
      <c r="AL432" s="516"/>
      <c r="AM432" s="513"/>
      <c r="AN432" s="513"/>
      <c r="AO432" s="517"/>
      <c r="AP432" s="513"/>
      <c r="AQ432" s="513"/>
      <c r="AR432" s="517"/>
      <c r="AS432" s="517"/>
      <c r="AT432" s="513"/>
      <c r="AU432" s="513"/>
      <c r="AV432" s="517"/>
      <c r="AW432" s="513"/>
      <c r="AX432" s="513"/>
      <c r="AY432" s="513"/>
      <c r="AZ432" s="513"/>
      <c r="BA432" s="513"/>
    </row>
    <row r="433" spans="1:53" s="514" customFormat="1" ht="12.75" customHeight="1" x14ac:dyDescent="0.25">
      <c r="A433" s="1136"/>
      <c r="B433" s="565" t="s">
        <v>1178</v>
      </c>
      <c r="C433" s="568">
        <v>12</v>
      </c>
      <c r="D433" s="566"/>
      <c r="E433" s="541" t="s">
        <v>1444</v>
      </c>
      <c r="F433" s="542" t="s">
        <v>1443</v>
      </c>
      <c r="G433" s="543">
        <v>872</v>
      </c>
      <c r="H433" s="542">
        <v>5.0000000000000001E-3</v>
      </c>
      <c r="I433" s="544">
        <f t="shared" si="40"/>
        <v>4.3600000000000003</v>
      </c>
      <c r="J433" s="525"/>
      <c r="K433" s="557"/>
      <c r="L433" s="528"/>
      <c r="M433" s="528"/>
      <c r="N433" s="528"/>
      <c r="O433" s="527"/>
      <c r="P433" s="527"/>
      <c r="Q433" s="527"/>
      <c r="R433" s="527"/>
      <c r="S433" s="527"/>
      <c r="T433" s="527"/>
      <c r="U433" s="527"/>
      <c r="V433" s="527"/>
      <c r="W433" s="527"/>
      <c r="X433" s="527"/>
      <c r="Y433" s="527"/>
      <c r="Z433" s="527"/>
      <c r="AA433" s="512"/>
      <c r="AB433" s="460">
        <v>0.3</v>
      </c>
      <c r="AC433" s="512"/>
      <c r="AD433" s="513"/>
      <c r="AF433" s="550"/>
      <c r="AG433" s="513"/>
      <c r="AH433" s="513"/>
      <c r="AI433" s="513"/>
      <c r="AJ433" s="558"/>
      <c r="AK433" s="513"/>
      <c r="AL433" s="516"/>
      <c r="AM433" s="513"/>
      <c r="AN433" s="513"/>
      <c r="AO433" s="517"/>
      <c r="AP433" s="513"/>
      <c r="AQ433" s="513"/>
      <c r="AR433" s="517"/>
      <c r="AS433" s="517"/>
      <c r="AT433" s="513"/>
      <c r="AU433" s="513"/>
      <c r="AV433" s="517"/>
      <c r="AW433" s="513"/>
      <c r="AX433" s="513"/>
      <c r="AY433" s="513"/>
      <c r="AZ433" s="513"/>
      <c r="BA433" s="513"/>
    </row>
    <row r="434" spans="1:53" s="514" customFormat="1" ht="12.75" customHeight="1" x14ac:dyDescent="0.25">
      <c r="A434" s="1136"/>
      <c r="B434" s="521" t="s">
        <v>1179</v>
      </c>
      <c r="C434" s="568">
        <v>12</v>
      </c>
      <c r="D434" s="566"/>
      <c r="E434" s="559" t="s">
        <v>581</v>
      </c>
      <c r="F434" s="560" t="s">
        <v>1438</v>
      </c>
      <c r="G434" s="543">
        <v>16.39</v>
      </c>
      <c r="H434" s="542">
        <v>0.25</v>
      </c>
      <c r="I434" s="544">
        <f t="shared" si="40"/>
        <v>4.0975000000000001</v>
      </c>
      <c r="J434" s="525"/>
      <c r="K434" s="557"/>
      <c r="L434" s="546"/>
      <c r="M434" s="545"/>
      <c r="N434" s="528"/>
      <c r="O434" s="527"/>
      <c r="P434" s="527"/>
      <c r="Q434" s="527"/>
      <c r="R434" s="527"/>
      <c r="S434" s="527"/>
      <c r="T434" s="527"/>
      <c r="U434" s="527"/>
      <c r="V434" s="527"/>
      <c r="W434" s="527"/>
      <c r="X434" s="527"/>
      <c r="Y434" s="527"/>
      <c r="Z434" s="527"/>
      <c r="AA434" s="512"/>
      <c r="AB434" s="460">
        <v>0.3</v>
      </c>
      <c r="AC434" s="512"/>
      <c r="AD434" s="513"/>
      <c r="AF434" s="550"/>
      <c r="AG434" s="513"/>
      <c r="AH434" s="513"/>
      <c r="AI434" s="513"/>
      <c r="AJ434" s="558"/>
      <c r="AK434" s="513"/>
      <c r="AL434" s="516"/>
      <c r="AM434" s="513"/>
      <c r="AN434" s="513"/>
      <c r="AO434" s="517"/>
      <c r="AP434" s="513"/>
      <c r="AQ434" s="513"/>
      <c r="AR434" s="517"/>
      <c r="AS434" s="517"/>
      <c r="AT434" s="513"/>
      <c r="AU434" s="513"/>
      <c r="AV434" s="517"/>
      <c r="AW434" s="513"/>
      <c r="AX434" s="513"/>
      <c r="AY434" s="513"/>
      <c r="AZ434" s="513"/>
      <c r="BA434" s="513"/>
    </row>
    <row r="435" spans="1:53" s="514" customFormat="1" ht="12.75" customHeight="1" x14ac:dyDescent="0.25">
      <c r="A435" s="1136"/>
      <c r="B435" s="569" t="s">
        <v>1181</v>
      </c>
      <c r="C435" s="502">
        <f>C430*C433+C431*C434</f>
        <v>760.61489218037138</v>
      </c>
      <c r="D435" s="566"/>
      <c r="E435" s="645" t="s">
        <v>26</v>
      </c>
      <c r="F435" s="646" t="s">
        <v>1</v>
      </c>
      <c r="G435" s="543">
        <v>6.67</v>
      </c>
      <c r="H435" s="523">
        <v>1</v>
      </c>
      <c r="I435" s="544">
        <f t="shared" si="40"/>
        <v>6.67</v>
      </c>
      <c r="J435" s="525"/>
      <c r="K435" s="557"/>
      <c r="L435" s="528"/>
      <c r="M435" s="528"/>
      <c r="N435" s="528"/>
      <c r="O435" s="527"/>
      <c r="P435" s="527"/>
      <c r="Q435" s="527"/>
      <c r="R435" s="527"/>
      <c r="S435" s="527"/>
      <c r="T435" s="527"/>
      <c r="U435" s="527"/>
      <c r="V435" s="527"/>
      <c r="W435" s="527"/>
      <c r="X435" s="527"/>
      <c r="Y435" s="527"/>
      <c r="Z435" s="527"/>
      <c r="AA435" s="512"/>
      <c r="AB435" s="460">
        <v>0.3</v>
      </c>
      <c r="AC435" s="512"/>
      <c r="AD435" s="513"/>
      <c r="AF435" s="550"/>
      <c r="AG435" s="513"/>
      <c r="AH435" s="513"/>
      <c r="AI435" s="513"/>
      <c r="AJ435" s="551"/>
      <c r="AK435" s="513"/>
      <c r="AL435" s="516"/>
      <c r="AM435" s="513"/>
      <c r="AN435" s="513"/>
      <c r="AO435" s="517"/>
      <c r="AP435" s="513"/>
      <c r="AQ435" s="513"/>
      <c r="AR435" s="517"/>
      <c r="AS435" s="517"/>
      <c r="AT435" s="513"/>
      <c r="AU435" s="513"/>
      <c r="AV435" s="517"/>
      <c r="AW435" s="513"/>
      <c r="AX435" s="513"/>
      <c r="AY435" s="513"/>
      <c r="AZ435" s="513"/>
      <c r="BA435" s="513"/>
    </row>
    <row r="436" spans="1:53" s="514" customFormat="1" ht="12.75" customHeight="1" x14ac:dyDescent="0.25">
      <c r="A436" s="1136"/>
      <c r="B436" s="569"/>
      <c r="C436" s="502"/>
      <c r="D436" s="566"/>
      <c r="E436" s="645" t="s">
        <v>27</v>
      </c>
      <c r="F436" s="646" t="s">
        <v>1</v>
      </c>
      <c r="G436" s="543">
        <v>13.78</v>
      </c>
      <c r="H436" s="523">
        <v>1.5</v>
      </c>
      <c r="I436" s="544">
        <f t="shared" si="40"/>
        <v>20.669999999999998</v>
      </c>
      <c r="J436" s="525"/>
      <c r="K436" s="557"/>
      <c r="L436" s="528"/>
      <c r="M436" s="528"/>
      <c r="N436" s="528"/>
      <c r="O436" s="527"/>
      <c r="P436" s="527"/>
      <c r="Q436" s="527"/>
      <c r="R436" s="527"/>
      <c r="S436" s="527"/>
      <c r="T436" s="527"/>
      <c r="U436" s="527"/>
      <c r="V436" s="527"/>
      <c r="W436" s="527"/>
      <c r="X436" s="527"/>
      <c r="Y436" s="527"/>
      <c r="Z436" s="527"/>
      <c r="AA436" s="512"/>
      <c r="AB436" s="460"/>
      <c r="AC436" s="512"/>
      <c r="AD436" s="513"/>
      <c r="AF436" s="550"/>
      <c r="AG436" s="513"/>
      <c r="AH436" s="513"/>
      <c r="AI436" s="513"/>
      <c r="AJ436" s="551"/>
      <c r="AK436" s="513"/>
      <c r="AL436" s="516"/>
      <c r="AM436" s="513"/>
      <c r="AN436" s="513"/>
      <c r="AO436" s="517"/>
      <c r="AP436" s="513"/>
      <c r="AQ436" s="513"/>
      <c r="AR436" s="517"/>
      <c r="AS436" s="517"/>
      <c r="AT436" s="513"/>
      <c r="AU436" s="513"/>
      <c r="AV436" s="517"/>
      <c r="AW436" s="513"/>
      <c r="AX436" s="513"/>
      <c r="AY436" s="513"/>
      <c r="AZ436" s="513"/>
      <c r="BA436" s="513"/>
    </row>
    <row r="437" spans="1:53" s="514" customFormat="1" ht="12.75" customHeight="1" x14ac:dyDescent="0.25">
      <c r="A437" s="1136"/>
      <c r="B437" s="569"/>
      <c r="C437" s="502"/>
      <c r="D437" s="566"/>
      <c r="E437" s="645" t="s">
        <v>18</v>
      </c>
      <c r="F437" s="646" t="s">
        <v>1438</v>
      </c>
      <c r="G437" s="543">
        <v>0.94</v>
      </c>
      <c r="H437" s="523">
        <v>0.5</v>
      </c>
      <c r="I437" s="544">
        <f t="shared" si="40"/>
        <v>0.47</v>
      </c>
      <c r="J437" s="525"/>
      <c r="K437" s="557"/>
      <c r="L437" s="528"/>
      <c r="M437" s="528"/>
      <c r="N437" s="528"/>
      <c r="O437" s="527"/>
      <c r="P437" s="527"/>
      <c r="Q437" s="527"/>
      <c r="R437" s="527"/>
      <c r="S437" s="527"/>
      <c r="T437" s="527"/>
      <c r="U437" s="527"/>
      <c r="V437" s="527"/>
      <c r="W437" s="527"/>
      <c r="X437" s="527"/>
      <c r="Y437" s="527"/>
      <c r="Z437" s="527"/>
      <c r="AA437" s="512"/>
      <c r="AB437" s="460"/>
      <c r="AC437" s="512"/>
      <c r="AD437" s="513"/>
      <c r="AF437" s="550"/>
      <c r="AG437" s="513"/>
      <c r="AH437" s="513"/>
      <c r="AI437" s="513"/>
      <c r="AJ437" s="551"/>
      <c r="AK437" s="513"/>
      <c r="AL437" s="516"/>
      <c r="AM437" s="513"/>
      <c r="AN437" s="513"/>
      <c r="AO437" s="517"/>
      <c r="AP437" s="513"/>
      <c r="AQ437" s="513"/>
      <c r="AR437" s="517"/>
      <c r="AS437" s="517"/>
      <c r="AT437" s="513"/>
      <c r="AU437" s="513"/>
      <c r="AV437" s="517"/>
      <c r="AW437" s="513"/>
      <c r="AX437" s="513"/>
      <c r="AY437" s="513"/>
      <c r="AZ437" s="513"/>
      <c r="BA437" s="513"/>
    </row>
    <row r="438" spans="1:53" s="514" customFormat="1" ht="12.75" customHeight="1" x14ac:dyDescent="0.25">
      <c r="A438" s="1136"/>
      <c r="B438" s="569"/>
      <c r="C438" s="568"/>
      <c r="D438" s="566"/>
      <c r="E438" s="645" t="s">
        <v>13</v>
      </c>
      <c r="F438" s="646" t="s">
        <v>1441</v>
      </c>
      <c r="G438" s="543">
        <v>1.5</v>
      </c>
      <c r="H438" s="523">
        <v>1</v>
      </c>
      <c r="I438" s="544">
        <f t="shared" si="40"/>
        <v>1.5</v>
      </c>
      <c r="J438" s="525"/>
      <c r="K438" s="557"/>
      <c r="L438" s="528"/>
      <c r="M438" s="528"/>
      <c r="N438" s="528"/>
      <c r="O438" s="527"/>
      <c r="P438" s="527"/>
      <c r="Q438" s="527"/>
      <c r="R438" s="527"/>
      <c r="S438" s="527"/>
      <c r="T438" s="527"/>
      <c r="U438" s="527"/>
      <c r="V438" s="527"/>
      <c r="W438" s="527"/>
      <c r="X438" s="527"/>
      <c r="Y438" s="527"/>
      <c r="Z438" s="527"/>
      <c r="AA438" s="512"/>
      <c r="AB438" s="460">
        <v>0.3</v>
      </c>
      <c r="AC438" s="512"/>
      <c r="AD438" s="513"/>
      <c r="AF438" s="517"/>
      <c r="AG438" s="513"/>
      <c r="AH438" s="513"/>
      <c r="AI438" s="513"/>
      <c r="AJ438" s="558"/>
      <c r="AK438" s="513"/>
      <c r="AL438" s="516"/>
      <c r="AM438" s="513"/>
      <c r="AN438" s="513"/>
      <c r="AO438" s="517"/>
      <c r="AP438" s="513"/>
      <c r="AQ438" s="513"/>
      <c r="AR438" s="517"/>
      <c r="AS438" s="517"/>
      <c r="AT438" s="513"/>
      <c r="AU438" s="513"/>
      <c r="AV438" s="517"/>
      <c r="AW438" s="513"/>
      <c r="AX438" s="513"/>
      <c r="AY438" s="513"/>
      <c r="AZ438" s="513"/>
      <c r="BA438" s="513"/>
    </row>
    <row r="439" spans="1:53" s="514" customFormat="1" ht="56.25" customHeight="1" x14ac:dyDescent="0.25">
      <c r="A439" s="1136" t="s">
        <v>1530</v>
      </c>
      <c r="B439" s="503"/>
      <c r="C439" s="502"/>
      <c r="D439" s="570"/>
      <c r="E439" s="576" t="s">
        <v>488</v>
      </c>
      <c r="F439" s="507" t="s">
        <v>837</v>
      </c>
      <c r="G439" s="503" t="s">
        <v>489</v>
      </c>
      <c r="H439" s="505" t="s">
        <v>1170</v>
      </c>
      <c r="I439" s="507" t="s">
        <v>838</v>
      </c>
      <c r="J439" s="508" t="s">
        <v>1171</v>
      </c>
      <c r="K439" s="508" t="s">
        <v>490</v>
      </c>
      <c r="L439" s="509" t="s">
        <v>489</v>
      </c>
      <c r="M439" s="508" t="s">
        <v>1172</v>
      </c>
      <c r="N439" s="507" t="s">
        <v>838</v>
      </c>
      <c r="O439" s="508" t="s">
        <v>1171</v>
      </c>
      <c r="P439" s="508" t="s">
        <v>826</v>
      </c>
      <c r="Q439" s="508" t="s">
        <v>1173</v>
      </c>
      <c r="R439" s="508" t="s">
        <v>1174</v>
      </c>
      <c r="S439" s="508" t="s">
        <v>839</v>
      </c>
      <c r="T439" s="508" t="s">
        <v>1171</v>
      </c>
      <c r="U439" s="508" t="s">
        <v>1392</v>
      </c>
      <c r="V439" s="508" t="s">
        <v>841</v>
      </c>
      <c r="W439" s="510" t="s">
        <v>1173</v>
      </c>
      <c r="X439" s="508" t="s">
        <v>1394</v>
      </c>
      <c r="Y439" s="508" t="s">
        <v>839</v>
      </c>
      <c r="Z439" s="511"/>
      <c r="AA439" s="512"/>
      <c r="AB439" s="460">
        <v>0.3</v>
      </c>
      <c r="AC439" s="512"/>
      <c r="AD439" s="513"/>
      <c r="AF439" s="515"/>
      <c r="AG439" s="513"/>
      <c r="AH439" s="513"/>
      <c r="AI439" s="513"/>
      <c r="AJ439" s="513"/>
      <c r="AK439" s="513"/>
      <c r="AL439" s="516"/>
      <c r="AM439" s="513"/>
      <c r="AN439" s="513"/>
      <c r="AO439" s="517"/>
      <c r="AP439" s="513"/>
      <c r="AQ439" s="518"/>
      <c r="AR439" s="518"/>
      <c r="AS439" s="518"/>
      <c r="AT439" s="513"/>
      <c r="AU439" s="513"/>
      <c r="AV439" s="517"/>
      <c r="AW439" s="513"/>
      <c r="AX439" s="513"/>
      <c r="AY439" s="513"/>
      <c r="AZ439" s="513"/>
      <c r="BA439" s="513"/>
    </row>
    <row r="440" spans="1:53" s="514" customFormat="1" ht="12" customHeight="1" x14ac:dyDescent="0.25">
      <c r="A440" s="1136"/>
      <c r="B440" s="519" t="s">
        <v>1175</v>
      </c>
      <c r="C440" s="502">
        <f>C447</f>
        <v>1014.1531895738285</v>
      </c>
      <c r="D440" s="570">
        <f>C440*$D$7</f>
        <v>204.85894429391337</v>
      </c>
      <c r="E440" s="573" t="s">
        <v>1176</v>
      </c>
      <c r="F440" s="571"/>
      <c r="G440" s="523"/>
      <c r="H440" s="523"/>
      <c r="I440" s="524">
        <f>SUM(I441:I450)</f>
        <v>54.849199999999996</v>
      </c>
      <c r="J440" s="525" t="s">
        <v>1176</v>
      </c>
      <c r="K440" s="526"/>
      <c r="L440" s="527"/>
      <c r="M440" s="527"/>
      <c r="N440" s="528">
        <f>SUM(N441:N450)</f>
        <v>4.4213899999999997</v>
      </c>
      <c r="O440" s="527" t="s">
        <v>1176</v>
      </c>
      <c r="P440" s="527"/>
      <c r="Q440" s="529"/>
      <c r="R440" s="530"/>
      <c r="S440" s="528">
        <f>SUM(S441:S450)</f>
        <v>9.9028000000000009</v>
      </c>
      <c r="T440" s="528"/>
      <c r="U440" s="528"/>
      <c r="V440" s="528"/>
      <c r="W440" s="528"/>
      <c r="X440" s="528"/>
      <c r="Y440" s="528">
        <f>SUM(Y441:Y450)</f>
        <v>9.1999999999999998E-3</v>
      </c>
      <c r="Z440" s="531">
        <f>(C440+D440+I440+N440+S440+Y440)*$Z$7</f>
        <v>1674.8949258960085</v>
      </c>
      <c r="AA440" s="532">
        <f>C440+D440+I440+N440+S440+Y440+Z440</f>
        <v>2963.0896497637505</v>
      </c>
      <c r="AB440" s="460">
        <v>0.3</v>
      </c>
      <c r="AC440" s="533">
        <f>AA440*(1+AB440)</f>
        <v>3852.0165446928759</v>
      </c>
      <c r="AD440" s="517"/>
      <c r="AF440" s="515"/>
      <c r="AG440" s="513"/>
      <c r="AH440" s="513"/>
      <c r="AI440" s="518"/>
      <c r="AJ440" s="534"/>
      <c r="AK440" s="535"/>
      <c r="AL440" s="516"/>
      <c r="AM440" s="536"/>
      <c r="AN440" s="537"/>
      <c r="AO440" s="536"/>
      <c r="AP440" s="518"/>
      <c r="AQ440" s="518"/>
      <c r="AR440" s="518"/>
      <c r="AS440" s="518"/>
      <c r="AT440" s="518"/>
      <c r="AU440" s="536"/>
      <c r="AV440" s="536"/>
      <c r="AW440" s="538"/>
      <c r="AX440" s="513"/>
      <c r="AY440" s="513"/>
      <c r="AZ440" s="513"/>
      <c r="BA440" s="513"/>
    </row>
    <row r="441" spans="1:53" s="514" customFormat="1" ht="12.75" customHeight="1" x14ac:dyDescent="0.25">
      <c r="A441" s="1136"/>
      <c r="B441" s="572" t="s">
        <v>1177</v>
      </c>
      <c r="C441" s="502"/>
      <c r="D441" s="566"/>
      <c r="E441" s="541" t="s">
        <v>1437</v>
      </c>
      <c r="F441" s="542" t="s">
        <v>1438</v>
      </c>
      <c r="G441" s="543">
        <v>0.74</v>
      </c>
      <c r="H441" s="542">
        <v>0.1</v>
      </c>
      <c r="I441" s="544">
        <f t="shared" ref="I441:I450" si="41">G441*H441</f>
        <v>7.3999999999999996E-2</v>
      </c>
      <c r="J441" s="525" t="s">
        <v>1291</v>
      </c>
      <c r="K441" s="545">
        <v>2</v>
      </c>
      <c r="L441" s="546">
        <v>750</v>
      </c>
      <c r="M441" s="545">
        <v>2</v>
      </c>
      <c r="N441" s="528">
        <v>1.1745000000000001</v>
      </c>
      <c r="O441" s="547" t="s">
        <v>1578</v>
      </c>
      <c r="P441" s="527">
        <v>188900</v>
      </c>
      <c r="Q441" s="548">
        <v>0.19670000000000001</v>
      </c>
      <c r="R441" s="527">
        <f>P441*Q441</f>
        <v>37156.630000000005</v>
      </c>
      <c r="S441" s="527">
        <v>8.1902000000000008</v>
      </c>
      <c r="T441" s="512" t="s">
        <v>1435</v>
      </c>
      <c r="U441" s="523">
        <v>6785401.3499999996</v>
      </c>
      <c r="V441" s="549">
        <v>1.32E-2</v>
      </c>
      <c r="W441" s="512">
        <v>1508.3</v>
      </c>
      <c r="X441" s="528">
        <v>59.38</v>
      </c>
      <c r="Y441" s="527">
        <v>9.1999999999999998E-3</v>
      </c>
      <c r="Z441" s="527"/>
      <c r="AA441" s="512"/>
      <c r="AB441" s="460">
        <v>0.3</v>
      </c>
      <c r="AC441" s="512"/>
      <c r="AD441" s="513"/>
      <c r="AF441" s="550"/>
      <c r="AG441" s="513"/>
      <c r="AH441" s="513"/>
      <c r="AI441" s="513"/>
      <c r="AJ441" s="551"/>
      <c r="AK441" s="513"/>
      <c r="AL441" s="516"/>
      <c r="AM441" s="513"/>
      <c r="AN441" s="513"/>
      <c r="AO441" s="517"/>
      <c r="AP441" s="513"/>
      <c r="AQ441" s="513"/>
      <c r="AR441" s="517"/>
      <c r="AS441" s="517"/>
      <c r="AT441" s="518"/>
      <c r="AU441" s="513"/>
      <c r="AV441" s="517"/>
      <c r="AW441" s="513"/>
      <c r="AX441" s="513"/>
      <c r="AY441" s="513"/>
      <c r="AZ441" s="513"/>
      <c r="BA441" s="513"/>
    </row>
    <row r="442" spans="1:53" s="514" customFormat="1" x14ac:dyDescent="0.25">
      <c r="A442" s="1136"/>
      <c r="B442" s="565" t="s">
        <v>1178</v>
      </c>
      <c r="C442" s="491">
        <f>C430</f>
        <v>43.888814515309463</v>
      </c>
      <c r="D442" s="566"/>
      <c r="E442" s="541" t="s">
        <v>1439</v>
      </c>
      <c r="F442" s="542" t="s">
        <v>1438</v>
      </c>
      <c r="G442" s="543">
        <v>0.27</v>
      </c>
      <c r="H442" s="542">
        <v>0.01</v>
      </c>
      <c r="I442" s="544">
        <f t="shared" si="41"/>
        <v>2.7000000000000001E-3</v>
      </c>
      <c r="J442" s="525" t="s">
        <v>1445</v>
      </c>
      <c r="K442" s="528">
        <v>2</v>
      </c>
      <c r="L442" s="553">
        <v>95</v>
      </c>
      <c r="M442" s="545">
        <v>2</v>
      </c>
      <c r="N442" s="528">
        <v>3.1146400000000001</v>
      </c>
      <c r="O442" s="527" t="s">
        <v>1580</v>
      </c>
      <c r="P442" s="527">
        <v>39500</v>
      </c>
      <c r="Q442" s="548">
        <v>0.19670000000000001</v>
      </c>
      <c r="R442" s="527">
        <f>P442*Q442</f>
        <v>7769.6500000000005</v>
      </c>
      <c r="S442" s="527">
        <v>1.7125999999999999</v>
      </c>
      <c r="T442" s="527"/>
      <c r="U442" s="527"/>
      <c r="V442" s="527"/>
      <c r="W442" s="548"/>
      <c r="X442" s="527"/>
      <c r="Y442" s="527"/>
      <c r="Z442" s="527"/>
      <c r="AA442" s="512"/>
      <c r="AB442" s="460">
        <v>0.3</v>
      </c>
      <c r="AC442" s="512"/>
      <c r="AD442" s="513"/>
      <c r="AF442" s="550"/>
      <c r="AG442" s="513"/>
      <c r="AH442" s="513"/>
      <c r="AI442" s="513"/>
      <c r="AJ442" s="551"/>
      <c r="AK442" s="513"/>
      <c r="AL442" s="516"/>
      <c r="AM442" s="538"/>
      <c r="AN442" s="513"/>
      <c r="AO442" s="517"/>
      <c r="AP442" s="513"/>
      <c r="AQ442" s="513"/>
      <c r="AR442" s="517"/>
      <c r="AS442" s="517"/>
      <c r="AT442" s="513"/>
      <c r="AU442" s="513"/>
      <c r="AV442" s="517"/>
      <c r="AW442" s="513"/>
      <c r="AX442" s="513"/>
      <c r="AY442" s="513"/>
      <c r="AZ442" s="513"/>
      <c r="BA442" s="513"/>
    </row>
    <row r="443" spans="1:53" s="514" customFormat="1" ht="12.75" customHeight="1" x14ac:dyDescent="0.25">
      <c r="A443" s="1136"/>
      <c r="B443" s="521" t="s">
        <v>1179</v>
      </c>
      <c r="C443" s="487">
        <f>C431</f>
        <v>19.495759833054819</v>
      </c>
      <c r="D443" s="566"/>
      <c r="E443" s="541" t="s">
        <v>1440</v>
      </c>
      <c r="F443" s="542" t="s">
        <v>1441</v>
      </c>
      <c r="G443" s="543">
        <v>5.92</v>
      </c>
      <c r="H443" s="555">
        <v>1</v>
      </c>
      <c r="I443" s="544">
        <f t="shared" si="41"/>
        <v>5.92</v>
      </c>
      <c r="J443" s="525" t="s">
        <v>1513</v>
      </c>
      <c r="K443" s="528">
        <v>2</v>
      </c>
      <c r="L443" s="528">
        <v>25</v>
      </c>
      <c r="M443" s="545">
        <v>0.5</v>
      </c>
      <c r="N443" s="528">
        <v>0.13225000000000001</v>
      </c>
      <c r="O443" s="527"/>
      <c r="P443" s="527"/>
      <c r="Q443" s="548"/>
      <c r="R443" s="527"/>
      <c r="S443" s="527"/>
      <c r="T443" s="527"/>
      <c r="U443" s="527"/>
      <c r="V443" s="527"/>
      <c r="W443" s="548"/>
      <c r="X443" s="527"/>
      <c r="Y443" s="527"/>
      <c r="Z443" s="527"/>
      <c r="AA443" s="512"/>
      <c r="AB443" s="460">
        <v>0.3</v>
      </c>
      <c r="AC443" s="512"/>
      <c r="AD443" s="513"/>
      <c r="AF443" s="550"/>
      <c r="AG443" s="513"/>
      <c r="AH443" s="513"/>
      <c r="AI443" s="513"/>
      <c r="AJ443" s="551"/>
      <c r="AK443" s="513"/>
      <c r="AL443" s="516"/>
      <c r="AM443" s="513"/>
      <c r="AN443" s="513"/>
      <c r="AO443" s="517"/>
      <c r="AP443" s="513"/>
      <c r="AQ443" s="513"/>
      <c r="AR443" s="517"/>
      <c r="AS443" s="517"/>
      <c r="AT443" s="513"/>
      <c r="AU443" s="513"/>
      <c r="AV443" s="517"/>
      <c r="AW443" s="513"/>
      <c r="AX443" s="513"/>
      <c r="AY443" s="513"/>
      <c r="AZ443" s="513"/>
      <c r="BA443" s="513"/>
    </row>
    <row r="444" spans="1:53" s="514" customFormat="1" ht="12.75" customHeight="1" x14ac:dyDescent="0.25">
      <c r="A444" s="1136"/>
      <c r="B444" s="521" t="s">
        <v>1180</v>
      </c>
      <c r="C444" s="567"/>
      <c r="D444" s="566"/>
      <c r="E444" s="541" t="s">
        <v>1442</v>
      </c>
      <c r="F444" s="542" t="s">
        <v>1443</v>
      </c>
      <c r="G444" s="543">
        <v>419.5</v>
      </c>
      <c r="H444" s="542">
        <v>0.01</v>
      </c>
      <c r="I444" s="544">
        <f t="shared" si="41"/>
        <v>4.1950000000000003</v>
      </c>
      <c r="J444" s="525"/>
      <c r="K444" s="557"/>
      <c r="L444" s="528"/>
      <c r="M444" s="528"/>
      <c r="N444" s="528"/>
      <c r="O444" s="527"/>
      <c r="P444" s="527"/>
      <c r="Q444" s="527"/>
      <c r="R444" s="527"/>
      <c r="S444" s="527"/>
      <c r="T444" s="527"/>
      <c r="U444" s="527"/>
      <c r="V444" s="527"/>
      <c r="W444" s="527"/>
      <c r="X444" s="527"/>
      <c r="Y444" s="527"/>
      <c r="Z444" s="527"/>
      <c r="AA444" s="512"/>
      <c r="AB444" s="460">
        <v>0.3</v>
      </c>
      <c r="AC444" s="512"/>
      <c r="AD444" s="513"/>
      <c r="AF444" s="550"/>
      <c r="AG444" s="513"/>
      <c r="AH444" s="513"/>
      <c r="AI444" s="513"/>
      <c r="AJ444" s="551"/>
      <c r="AK444" s="513"/>
      <c r="AL444" s="516"/>
      <c r="AM444" s="513"/>
      <c r="AN444" s="513"/>
      <c r="AO444" s="517"/>
      <c r="AP444" s="513"/>
      <c r="AQ444" s="513"/>
      <c r="AR444" s="517"/>
      <c r="AS444" s="517"/>
      <c r="AT444" s="513"/>
      <c r="AU444" s="513"/>
      <c r="AV444" s="517"/>
      <c r="AW444" s="513"/>
      <c r="AX444" s="513"/>
      <c r="AY444" s="513"/>
      <c r="AZ444" s="513"/>
      <c r="BA444" s="513"/>
    </row>
    <row r="445" spans="1:53" s="514" customFormat="1" ht="12.75" customHeight="1" x14ac:dyDescent="0.25">
      <c r="A445" s="1136"/>
      <c r="B445" s="565" t="s">
        <v>1178</v>
      </c>
      <c r="C445" s="568">
        <v>16</v>
      </c>
      <c r="D445" s="566"/>
      <c r="E445" s="541" t="s">
        <v>1444</v>
      </c>
      <c r="F445" s="542" t="s">
        <v>1443</v>
      </c>
      <c r="G445" s="543">
        <v>872</v>
      </c>
      <c r="H445" s="542">
        <v>5.0000000000000001E-3</v>
      </c>
      <c r="I445" s="544">
        <f t="shared" si="41"/>
        <v>4.3600000000000003</v>
      </c>
      <c r="J445" s="525"/>
      <c r="K445" s="557"/>
      <c r="L445" s="528"/>
      <c r="M445" s="528"/>
      <c r="N445" s="528"/>
      <c r="O445" s="527"/>
      <c r="P445" s="527"/>
      <c r="Q445" s="527"/>
      <c r="R445" s="527"/>
      <c r="S445" s="527"/>
      <c r="T445" s="527"/>
      <c r="U445" s="527"/>
      <c r="V445" s="527"/>
      <c r="W445" s="527"/>
      <c r="X445" s="527"/>
      <c r="Y445" s="527"/>
      <c r="Z445" s="527"/>
      <c r="AA445" s="512"/>
      <c r="AB445" s="460">
        <v>0.3</v>
      </c>
      <c r="AC445" s="512"/>
      <c r="AD445" s="513"/>
      <c r="AF445" s="550"/>
      <c r="AG445" s="513"/>
      <c r="AH445" s="513"/>
      <c r="AI445" s="513"/>
      <c r="AJ445" s="558"/>
      <c r="AK445" s="513"/>
      <c r="AL445" s="516"/>
      <c r="AM445" s="513"/>
      <c r="AN445" s="513"/>
      <c r="AO445" s="517"/>
      <c r="AP445" s="513"/>
      <c r="AQ445" s="513"/>
      <c r="AR445" s="517"/>
      <c r="AS445" s="517"/>
      <c r="AT445" s="513"/>
      <c r="AU445" s="513"/>
      <c r="AV445" s="517"/>
      <c r="AW445" s="513"/>
      <c r="AX445" s="513"/>
      <c r="AY445" s="513"/>
      <c r="AZ445" s="513"/>
      <c r="BA445" s="513"/>
    </row>
    <row r="446" spans="1:53" s="514" customFormat="1" ht="12.75" customHeight="1" x14ac:dyDescent="0.25">
      <c r="A446" s="1136"/>
      <c r="B446" s="521" t="s">
        <v>1179</v>
      </c>
      <c r="C446" s="568">
        <v>16</v>
      </c>
      <c r="D446" s="566"/>
      <c r="E446" s="559" t="s">
        <v>581</v>
      </c>
      <c r="F446" s="560" t="s">
        <v>1438</v>
      </c>
      <c r="G446" s="543">
        <v>16.39</v>
      </c>
      <c r="H446" s="542">
        <v>0.25</v>
      </c>
      <c r="I446" s="544">
        <f t="shared" si="41"/>
        <v>4.0975000000000001</v>
      </c>
      <c r="J446" s="525"/>
      <c r="K446" s="557"/>
      <c r="L446" s="546"/>
      <c r="M446" s="545"/>
      <c r="N446" s="528"/>
      <c r="O446" s="527"/>
      <c r="P446" s="527"/>
      <c r="Q446" s="527"/>
      <c r="R446" s="527"/>
      <c r="S446" s="527"/>
      <c r="T446" s="527"/>
      <c r="U446" s="527"/>
      <c r="V446" s="527"/>
      <c r="W446" s="527"/>
      <c r="X446" s="527"/>
      <c r="Y446" s="527"/>
      <c r="Z446" s="527"/>
      <c r="AA446" s="512"/>
      <c r="AB446" s="460">
        <v>0.3</v>
      </c>
      <c r="AC446" s="512"/>
      <c r="AD446" s="513"/>
      <c r="AF446" s="550"/>
      <c r="AG446" s="513"/>
      <c r="AH446" s="513"/>
      <c r="AI446" s="513"/>
      <c r="AJ446" s="558"/>
      <c r="AK446" s="513"/>
      <c r="AL446" s="516"/>
      <c r="AM446" s="513"/>
      <c r="AN446" s="513"/>
      <c r="AO446" s="517"/>
      <c r="AP446" s="513"/>
      <c r="AQ446" s="513"/>
      <c r="AR446" s="517"/>
      <c r="AS446" s="517"/>
      <c r="AT446" s="513"/>
      <c r="AU446" s="513"/>
      <c r="AV446" s="517"/>
      <c r="AW446" s="513"/>
      <c r="AX446" s="513"/>
      <c r="AY446" s="513"/>
      <c r="AZ446" s="513"/>
      <c r="BA446" s="513"/>
    </row>
    <row r="447" spans="1:53" s="514" customFormat="1" ht="12.75" customHeight="1" x14ac:dyDescent="0.25">
      <c r="A447" s="1136"/>
      <c r="B447" s="569" t="s">
        <v>1181</v>
      </c>
      <c r="C447" s="502">
        <f>C442*C445+C443*C446</f>
        <v>1014.1531895738285</v>
      </c>
      <c r="D447" s="566"/>
      <c r="E447" s="645" t="s">
        <v>26</v>
      </c>
      <c r="F447" s="646" t="s">
        <v>1</v>
      </c>
      <c r="G447" s="543">
        <v>6.67</v>
      </c>
      <c r="H447" s="523">
        <v>1</v>
      </c>
      <c r="I447" s="544">
        <f t="shared" si="41"/>
        <v>6.67</v>
      </c>
      <c r="J447" s="525"/>
      <c r="K447" s="557"/>
      <c r="L447" s="528"/>
      <c r="M447" s="528"/>
      <c r="N447" s="528"/>
      <c r="O447" s="527"/>
      <c r="P447" s="527"/>
      <c r="Q447" s="527"/>
      <c r="R447" s="527"/>
      <c r="S447" s="527"/>
      <c r="T447" s="527"/>
      <c r="U447" s="527"/>
      <c r="V447" s="527"/>
      <c r="W447" s="527"/>
      <c r="X447" s="527"/>
      <c r="Y447" s="527"/>
      <c r="Z447" s="527"/>
      <c r="AA447" s="512"/>
      <c r="AB447" s="460">
        <v>0.3</v>
      </c>
      <c r="AC447" s="512"/>
      <c r="AD447" s="513"/>
      <c r="AF447" s="550"/>
      <c r="AG447" s="513"/>
      <c r="AH447" s="513"/>
      <c r="AI447" s="513"/>
      <c r="AJ447" s="551"/>
      <c r="AK447" s="513"/>
      <c r="AL447" s="516"/>
      <c r="AM447" s="513"/>
      <c r="AN447" s="513"/>
      <c r="AO447" s="517"/>
      <c r="AP447" s="513"/>
      <c r="AQ447" s="513"/>
      <c r="AR447" s="517"/>
      <c r="AS447" s="517"/>
      <c r="AT447" s="513"/>
      <c r="AU447" s="513"/>
      <c r="AV447" s="517"/>
      <c r="AW447" s="513"/>
      <c r="AX447" s="513"/>
      <c r="AY447" s="513"/>
      <c r="AZ447" s="513"/>
      <c r="BA447" s="513"/>
    </row>
    <row r="448" spans="1:53" s="514" customFormat="1" ht="12.75" customHeight="1" x14ac:dyDescent="0.25">
      <c r="A448" s="1136"/>
      <c r="B448" s="569"/>
      <c r="C448" s="502"/>
      <c r="D448" s="566"/>
      <c r="E448" s="645" t="s">
        <v>18</v>
      </c>
      <c r="F448" s="646" t="s">
        <v>1438</v>
      </c>
      <c r="G448" s="543">
        <v>0.94</v>
      </c>
      <c r="H448" s="523">
        <v>0.5</v>
      </c>
      <c r="I448" s="544">
        <f t="shared" si="41"/>
        <v>0.47</v>
      </c>
      <c r="J448" s="525"/>
      <c r="K448" s="557"/>
      <c r="L448" s="528"/>
      <c r="M448" s="528"/>
      <c r="N448" s="528"/>
      <c r="O448" s="527"/>
      <c r="P448" s="527"/>
      <c r="Q448" s="527"/>
      <c r="R448" s="527"/>
      <c r="S448" s="527"/>
      <c r="T448" s="527"/>
      <c r="U448" s="527"/>
      <c r="V448" s="527"/>
      <c r="W448" s="527"/>
      <c r="X448" s="527"/>
      <c r="Y448" s="527"/>
      <c r="Z448" s="527"/>
      <c r="AA448" s="512"/>
      <c r="AB448" s="460"/>
      <c r="AC448" s="512"/>
      <c r="AD448" s="513"/>
      <c r="AF448" s="550"/>
      <c r="AG448" s="513"/>
      <c r="AH448" s="513"/>
      <c r="AI448" s="513"/>
      <c r="AJ448" s="551"/>
      <c r="AK448" s="513"/>
      <c r="AL448" s="516"/>
      <c r="AM448" s="513"/>
      <c r="AN448" s="513"/>
      <c r="AO448" s="517"/>
      <c r="AP448" s="513"/>
      <c r="AQ448" s="513"/>
      <c r="AR448" s="517"/>
      <c r="AS448" s="517"/>
      <c r="AT448" s="513"/>
      <c r="AU448" s="513"/>
      <c r="AV448" s="517"/>
      <c r="AW448" s="513"/>
      <c r="AX448" s="513"/>
      <c r="AY448" s="513"/>
      <c r="AZ448" s="513"/>
      <c r="BA448" s="513"/>
    </row>
    <row r="449" spans="1:53" s="514" customFormat="1" ht="12.75" customHeight="1" x14ac:dyDescent="0.25">
      <c r="A449" s="1136"/>
      <c r="B449" s="569"/>
      <c r="C449" s="502"/>
      <c r="D449" s="566"/>
      <c r="E449" s="645" t="s">
        <v>13</v>
      </c>
      <c r="F449" s="646" t="s">
        <v>1441</v>
      </c>
      <c r="G449" s="543">
        <v>1.5</v>
      </c>
      <c r="H449" s="523">
        <v>1</v>
      </c>
      <c r="I449" s="544">
        <f t="shared" si="41"/>
        <v>1.5</v>
      </c>
      <c r="J449" s="525"/>
      <c r="K449" s="557"/>
      <c r="L449" s="528"/>
      <c r="M449" s="528"/>
      <c r="N449" s="528"/>
      <c r="O449" s="527"/>
      <c r="P449" s="527"/>
      <c r="Q449" s="527"/>
      <c r="R449" s="527"/>
      <c r="S449" s="527"/>
      <c r="T449" s="527"/>
      <c r="U449" s="527"/>
      <c r="V449" s="527"/>
      <c r="W449" s="527"/>
      <c r="X449" s="527"/>
      <c r="Y449" s="527"/>
      <c r="Z449" s="527"/>
      <c r="AA449" s="512"/>
      <c r="AB449" s="460"/>
      <c r="AC449" s="512"/>
      <c r="AD449" s="513"/>
      <c r="AF449" s="550"/>
      <c r="AG449" s="513"/>
      <c r="AH449" s="513"/>
      <c r="AI449" s="513"/>
      <c r="AJ449" s="551"/>
      <c r="AK449" s="513"/>
      <c r="AL449" s="516"/>
      <c r="AM449" s="513"/>
      <c r="AN449" s="513"/>
      <c r="AO449" s="517"/>
      <c r="AP449" s="513"/>
      <c r="AQ449" s="513"/>
      <c r="AR449" s="517"/>
      <c r="AS449" s="517"/>
      <c r="AT449" s="513"/>
      <c r="AU449" s="513"/>
      <c r="AV449" s="517"/>
      <c r="AW449" s="513"/>
      <c r="AX449" s="513"/>
      <c r="AY449" s="513"/>
      <c r="AZ449" s="513"/>
      <c r="BA449" s="513"/>
    </row>
    <row r="450" spans="1:53" s="514" customFormat="1" ht="12.75" customHeight="1" x14ac:dyDescent="0.25">
      <c r="A450" s="1136"/>
      <c r="B450" s="569"/>
      <c r="C450" s="568"/>
      <c r="D450" s="566"/>
      <c r="E450" s="645" t="s">
        <v>27</v>
      </c>
      <c r="F450" s="646" t="s">
        <v>1</v>
      </c>
      <c r="G450" s="543">
        <v>13.78</v>
      </c>
      <c r="H450" s="523">
        <v>2</v>
      </c>
      <c r="I450" s="544">
        <f t="shared" si="41"/>
        <v>27.56</v>
      </c>
      <c r="J450" s="525"/>
      <c r="K450" s="557"/>
      <c r="L450" s="528"/>
      <c r="M450" s="528"/>
      <c r="N450" s="528"/>
      <c r="O450" s="527"/>
      <c r="P450" s="527"/>
      <c r="Q450" s="527"/>
      <c r="R450" s="527"/>
      <c r="S450" s="527"/>
      <c r="T450" s="527"/>
      <c r="U450" s="527"/>
      <c r="V450" s="527"/>
      <c r="W450" s="527"/>
      <c r="X450" s="527"/>
      <c r="Y450" s="527"/>
      <c r="Z450" s="527"/>
      <c r="AA450" s="512"/>
      <c r="AB450" s="460">
        <v>0.3</v>
      </c>
      <c r="AC450" s="512"/>
      <c r="AD450" s="513"/>
      <c r="AF450" s="517"/>
      <c r="AG450" s="513"/>
      <c r="AH450" s="513"/>
      <c r="AI450" s="513"/>
      <c r="AJ450" s="558"/>
      <c r="AK450" s="513"/>
      <c r="AL450" s="516"/>
      <c r="AM450" s="513"/>
      <c r="AN450" s="513"/>
      <c r="AO450" s="517"/>
      <c r="AP450" s="513"/>
      <c r="AQ450" s="513"/>
      <c r="AR450" s="517"/>
      <c r="AS450" s="517"/>
      <c r="AT450" s="513"/>
      <c r="AU450" s="513"/>
      <c r="AV450" s="517"/>
      <c r="AW450" s="513"/>
      <c r="AX450" s="513"/>
      <c r="AY450" s="513"/>
      <c r="AZ450" s="513"/>
      <c r="BA450" s="513"/>
    </row>
    <row r="451" spans="1:53" s="514" customFormat="1" ht="56.25" customHeight="1" x14ac:dyDescent="0.25">
      <c r="A451" s="1136" t="s">
        <v>1531</v>
      </c>
      <c r="B451" s="503"/>
      <c r="C451" s="502"/>
      <c r="D451" s="570"/>
      <c r="E451" s="576" t="s">
        <v>488</v>
      </c>
      <c r="F451" s="507" t="s">
        <v>837</v>
      </c>
      <c r="G451" s="503" t="s">
        <v>489</v>
      </c>
      <c r="H451" s="505" t="s">
        <v>1170</v>
      </c>
      <c r="I451" s="507" t="s">
        <v>838</v>
      </c>
      <c r="J451" s="508" t="s">
        <v>1171</v>
      </c>
      <c r="K451" s="508" t="s">
        <v>490</v>
      </c>
      <c r="L451" s="509" t="s">
        <v>489</v>
      </c>
      <c r="M451" s="508" t="s">
        <v>1172</v>
      </c>
      <c r="N451" s="507" t="s">
        <v>838</v>
      </c>
      <c r="O451" s="508" t="s">
        <v>1171</v>
      </c>
      <c r="P451" s="508" t="s">
        <v>826</v>
      </c>
      <c r="Q451" s="508" t="s">
        <v>1173</v>
      </c>
      <c r="R451" s="508" t="s">
        <v>1174</v>
      </c>
      <c r="S451" s="508" t="s">
        <v>839</v>
      </c>
      <c r="T451" s="508" t="s">
        <v>1171</v>
      </c>
      <c r="U451" s="508" t="s">
        <v>1392</v>
      </c>
      <c r="V451" s="508" t="s">
        <v>841</v>
      </c>
      <c r="W451" s="510" t="s">
        <v>1173</v>
      </c>
      <c r="X451" s="508" t="s">
        <v>1394</v>
      </c>
      <c r="Y451" s="508" t="s">
        <v>839</v>
      </c>
      <c r="Z451" s="511"/>
      <c r="AA451" s="512"/>
      <c r="AB451" s="460">
        <v>0.3</v>
      </c>
      <c r="AC451" s="512"/>
      <c r="AD451" s="513"/>
      <c r="AF451" s="515"/>
      <c r="AG451" s="513"/>
      <c r="AH451" s="513"/>
      <c r="AI451" s="513"/>
      <c r="AJ451" s="513"/>
      <c r="AK451" s="513"/>
      <c r="AL451" s="516"/>
      <c r="AM451" s="513"/>
      <c r="AN451" s="513"/>
      <c r="AO451" s="517"/>
      <c r="AP451" s="513"/>
      <c r="AQ451" s="518"/>
      <c r="AR451" s="518"/>
      <c r="AS451" s="518"/>
      <c r="AT451" s="513"/>
      <c r="AU451" s="513"/>
      <c r="AV451" s="517"/>
      <c r="AW451" s="513"/>
      <c r="AX451" s="513"/>
      <c r="AY451" s="513"/>
      <c r="AZ451" s="513"/>
      <c r="BA451" s="513"/>
    </row>
    <row r="452" spans="1:53" s="514" customFormat="1" ht="12" customHeight="1" x14ac:dyDescent="0.25">
      <c r="A452" s="1136"/>
      <c r="B452" s="519" t="s">
        <v>1175</v>
      </c>
      <c r="C452" s="502">
        <f>C459</f>
        <v>570.46116913527862</v>
      </c>
      <c r="D452" s="570">
        <f>C452*$D$7</f>
        <v>115.23315616532629</v>
      </c>
      <c r="E452" s="573" t="s">
        <v>1176</v>
      </c>
      <c r="F452" s="571"/>
      <c r="G452" s="523"/>
      <c r="H452" s="523"/>
      <c r="I452" s="524">
        <f>SUM(I453:I462)</f>
        <v>64.787700000000001</v>
      </c>
      <c r="J452" s="525" t="s">
        <v>1176</v>
      </c>
      <c r="K452" s="526"/>
      <c r="L452" s="527"/>
      <c r="M452" s="527"/>
      <c r="N452" s="528">
        <f>SUM(N453:N462)</f>
        <v>4.4213899999999997</v>
      </c>
      <c r="O452" s="527" t="s">
        <v>1176</v>
      </c>
      <c r="P452" s="527"/>
      <c r="Q452" s="529"/>
      <c r="R452" s="530"/>
      <c r="S452" s="528">
        <f>SUM(S453:S462)</f>
        <v>9.9028000000000009</v>
      </c>
      <c r="T452" s="528"/>
      <c r="U452" s="528"/>
      <c r="V452" s="528"/>
      <c r="W452" s="528"/>
      <c r="X452" s="528"/>
      <c r="Y452" s="528">
        <f>SUM(Y453:Y462)</f>
        <v>9.1999999999999998E-3</v>
      </c>
      <c r="Z452" s="531">
        <f>(C452+D452+I452+N452+S452+Y452)*$Z$7</f>
        <v>994.40359023357507</v>
      </c>
      <c r="AA452" s="532">
        <f>C452+D452+I452+N452+S452+Y452+Z452</f>
        <v>1759.2190055341798</v>
      </c>
      <c r="AB452" s="460">
        <v>0.3</v>
      </c>
      <c r="AC452" s="533">
        <f>AA452*(1+AB452)</f>
        <v>2286.9847071944337</v>
      </c>
      <c r="AD452" s="517"/>
      <c r="AF452" s="515"/>
      <c r="AG452" s="513"/>
      <c r="AH452" s="513"/>
      <c r="AI452" s="518"/>
      <c r="AJ452" s="534"/>
      <c r="AK452" s="535"/>
      <c r="AL452" s="516"/>
      <c r="AM452" s="536"/>
      <c r="AN452" s="537"/>
      <c r="AO452" s="536"/>
      <c r="AP452" s="518"/>
      <c r="AQ452" s="518"/>
      <c r="AR452" s="518"/>
      <c r="AS452" s="518"/>
      <c r="AT452" s="518"/>
      <c r="AU452" s="536"/>
      <c r="AV452" s="536"/>
      <c r="AW452" s="538"/>
      <c r="AX452" s="513"/>
      <c r="AY452" s="513"/>
      <c r="AZ452" s="513"/>
      <c r="BA452" s="513"/>
    </row>
    <row r="453" spans="1:53" s="514" customFormat="1" ht="12.75" customHeight="1" x14ac:dyDescent="0.25">
      <c r="A453" s="1136"/>
      <c r="B453" s="572" t="s">
        <v>1177</v>
      </c>
      <c r="C453" s="502"/>
      <c r="D453" s="566"/>
      <c r="E453" s="541" t="s">
        <v>1437</v>
      </c>
      <c r="F453" s="542" t="s">
        <v>1438</v>
      </c>
      <c r="G453" s="543">
        <v>0.74</v>
      </c>
      <c r="H453" s="542">
        <v>0.1</v>
      </c>
      <c r="I453" s="544">
        <f t="shared" ref="I453:I461" si="42">G453*H453</f>
        <v>7.3999999999999996E-2</v>
      </c>
      <c r="J453" s="525" t="s">
        <v>1291</v>
      </c>
      <c r="K453" s="545">
        <v>2</v>
      </c>
      <c r="L453" s="546">
        <v>750</v>
      </c>
      <c r="M453" s="545">
        <v>2</v>
      </c>
      <c r="N453" s="528">
        <v>1.1745000000000001</v>
      </c>
      <c r="O453" s="547" t="s">
        <v>1578</v>
      </c>
      <c r="P453" s="527">
        <v>188900</v>
      </c>
      <c r="Q453" s="548">
        <v>0.19670000000000001</v>
      </c>
      <c r="R453" s="527">
        <f>P453*Q453</f>
        <v>37156.630000000005</v>
      </c>
      <c r="S453" s="527">
        <v>8.1902000000000008</v>
      </c>
      <c r="T453" s="512" t="s">
        <v>1435</v>
      </c>
      <c r="U453" s="523">
        <v>6785401.3499999996</v>
      </c>
      <c r="V453" s="549">
        <v>1.32E-2</v>
      </c>
      <c r="W453" s="512">
        <v>1508.3</v>
      </c>
      <c r="X453" s="528">
        <v>59.38</v>
      </c>
      <c r="Y453" s="527">
        <v>9.1999999999999998E-3</v>
      </c>
      <c r="Z453" s="527"/>
      <c r="AA453" s="512"/>
      <c r="AB453" s="460">
        <v>0.3</v>
      </c>
      <c r="AC453" s="512"/>
      <c r="AD453" s="513"/>
      <c r="AF453" s="550"/>
      <c r="AG453" s="513"/>
      <c r="AH453" s="513"/>
      <c r="AI453" s="513"/>
      <c r="AJ453" s="551"/>
      <c r="AK453" s="513"/>
      <c r="AL453" s="516"/>
      <c r="AM453" s="513"/>
      <c r="AN453" s="513"/>
      <c r="AO453" s="517"/>
      <c r="AP453" s="513"/>
      <c r="AQ453" s="513"/>
      <c r="AR453" s="517"/>
      <c r="AS453" s="517"/>
      <c r="AT453" s="518"/>
      <c r="AU453" s="513"/>
      <c r="AV453" s="517"/>
      <c r="AW453" s="513"/>
      <c r="AX453" s="513"/>
      <c r="AY453" s="513"/>
      <c r="AZ453" s="513"/>
      <c r="BA453" s="513"/>
    </row>
    <row r="454" spans="1:53" s="514" customFormat="1" x14ac:dyDescent="0.25">
      <c r="A454" s="1136"/>
      <c r="B454" s="565" t="s">
        <v>1178</v>
      </c>
      <c r="C454" s="491">
        <f>C442</f>
        <v>43.888814515309463</v>
      </c>
      <c r="D454" s="566"/>
      <c r="E454" s="541" t="s">
        <v>1439</v>
      </c>
      <c r="F454" s="542" t="s">
        <v>1438</v>
      </c>
      <c r="G454" s="543">
        <v>0.27</v>
      </c>
      <c r="H454" s="542">
        <v>0.01</v>
      </c>
      <c r="I454" s="544">
        <f t="shared" si="42"/>
        <v>2.7000000000000001E-3</v>
      </c>
      <c r="J454" s="525" t="s">
        <v>1445</v>
      </c>
      <c r="K454" s="528">
        <v>2</v>
      </c>
      <c r="L454" s="553">
        <v>95</v>
      </c>
      <c r="M454" s="545">
        <v>2</v>
      </c>
      <c r="N454" s="528">
        <v>3.1146400000000001</v>
      </c>
      <c r="O454" s="527" t="s">
        <v>1580</v>
      </c>
      <c r="P454" s="527">
        <v>39500</v>
      </c>
      <c r="Q454" s="548">
        <v>0.19670000000000001</v>
      </c>
      <c r="R454" s="527">
        <f>P454*Q454</f>
        <v>7769.6500000000005</v>
      </c>
      <c r="S454" s="527">
        <v>1.7125999999999999</v>
      </c>
      <c r="T454" s="527"/>
      <c r="U454" s="527"/>
      <c r="V454" s="527"/>
      <c r="W454" s="548"/>
      <c r="X454" s="527"/>
      <c r="Y454" s="527"/>
      <c r="Z454" s="527"/>
      <c r="AA454" s="512"/>
      <c r="AB454" s="460">
        <v>0.3</v>
      </c>
      <c r="AC454" s="512"/>
      <c r="AD454" s="513"/>
      <c r="AF454" s="550"/>
      <c r="AG454" s="513"/>
      <c r="AH454" s="513"/>
      <c r="AI454" s="513"/>
      <c r="AJ454" s="551"/>
      <c r="AK454" s="513"/>
      <c r="AL454" s="516"/>
      <c r="AM454" s="538"/>
      <c r="AN454" s="513"/>
      <c r="AO454" s="517"/>
      <c r="AP454" s="513"/>
      <c r="AQ454" s="513"/>
      <c r="AR454" s="517"/>
      <c r="AS454" s="517"/>
      <c r="AT454" s="513"/>
      <c r="AU454" s="513"/>
      <c r="AV454" s="517"/>
      <c r="AW454" s="513"/>
      <c r="AX454" s="513"/>
      <c r="AY454" s="513"/>
      <c r="AZ454" s="513"/>
      <c r="BA454" s="513"/>
    </row>
    <row r="455" spans="1:53" s="514" customFormat="1" ht="12.75" customHeight="1" x14ac:dyDescent="0.25">
      <c r="A455" s="1136"/>
      <c r="B455" s="521" t="s">
        <v>1179</v>
      </c>
      <c r="C455" s="487">
        <f>C443</f>
        <v>19.495759833054819</v>
      </c>
      <c r="D455" s="566"/>
      <c r="E455" s="541" t="s">
        <v>1440</v>
      </c>
      <c r="F455" s="542" t="s">
        <v>1441</v>
      </c>
      <c r="G455" s="543">
        <v>5.92</v>
      </c>
      <c r="H455" s="555">
        <v>1</v>
      </c>
      <c r="I455" s="544">
        <f t="shared" si="42"/>
        <v>5.92</v>
      </c>
      <c r="J455" s="525" t="s">
        <v>1513</v>
      </c>
      <c r="K455" s="528">
        <v>2</v>
      </c>
      <c r="L455" s="528">
        <v>25</v>
      </c>
      <c r="M455" s="545">
        <v>0.5</v>
      </c>
      <c r="N455" s="528">
        <v>0.13225000000000001</v>
      </c>
      <c r="O455" s="527"/>
      <c r="P455" s="527"/>
      <c r="Q455" s="548"/>
      <c r="R455" s="527"/>
      <c r="S455" s="527"/>
      <c r="T455" s="527"/>
      <c r="U455" s="527"/>
      <c r="V455" s="527"/>
      <c r="W455" s="548"/>
      <c r="X455" s="527"/>
      <c r="Y455" s="527"/>
      <c r="Z455" s="527"/>
      <c r="AA455" s="512"/>
      <c r="AB455" s="460">
        <v>0.3</v>
      </c>
      <c r="AC455" s="512"/>
      <c r="AD455" s="513"/>
      <c r="AF455" s="550"/>
      <c r="AG455" s="513"/>
      <c r="AH455" s="513"/>
      <c r="AI455" s="513"/>
      <c r="AJ455" s="551"/>
      <c r="AK455" s="513"/>
      <c r="AL455" s="516"/>
      <c r="AM455" s="513"/>
      <c r="AN455" s="513"/>
      <c r="AO455" s="517"/>
      <c r="AP455" s="513"/>
      <c r="AQ455" s="513"/>
      <c r="AR455" s="517"/>
      <c r="AS455" s="517"/>
      <c r="AT455" s="513"/>
      <c r="AU455" s="513"/>
      <c r="AV455" s="517"/>
      <c r="AW455" s="513"/>
      <c r="AX455" s="513"/>
      <c r="AY455" s="513"/>
      <c r="AZ455" s="513"/>
      <c r="BA455" s="513"/>
    </row>
    <row r="456" spans="1:53" s="514" customFormat="1" ht="12.75" customHeight="1" x14ac:dyDescent="0.25">
      <c r="A456" s="1136"/>
      <c r="B456" s="521" t="s">
        <v>1180</v>
      </c>
      <c r="C456" s="567"/>
      <c r="D456" s="566"/>
      <c r="E456" s="541" t="s">
        <v>1442</v>
      </c>
      <c r="F456" s="542" t="s">
        <v>1443</v>
      </c>
      <c r="G456" s="543">
        <v>419.5</v>
      </c>
      <c r="H456" s="542">
        <v>0.01</v>
      </c>
      <c r="I456" s="544">
        <f t="shared" si="42"/>
        <v>4.1950000000000003</v>
      </c>
      <c r="J456" s="525"/>
      <c r="K456" s="557"/>
      <c r="L456" s="528"/>
      <c r="M456" s="528"/>
      <c r="N456" s="528"/>
      <c r="O456" s="527"/>
      <c r="P456" s="527"/>
      <c r="Q456" s="527"/>
      <c r="R456" s="527"/>
      <c r="S456" s="527"/>
      <c r="T456" s="527"/>
      <c r="U456" s="527"/>
      <c r="V456" s="527"/>
      <c r="W456" s="527"/>
      <c r="X456" s="527"/>
      <c r="Y456" s="527"/>
      <c r="Z456" s="527"/>
      <c r="AA456" s="512"/>
      <c r="AB456" s="460">
        <v>0.3</v>
      </c>
      <c r="AC456" s="512"/>
      <c r="AD456" s="513"/>
      <c r="AF456" s="550"/>
      <c r="AG456" s="513"/>
      <c r="AH456" s="513"/>
      <c r="AI456" s="513"/>
      <c r="AJ456" s="551"/>
      <c r="AK456" s="513"/>
      <c r="AL456" s="516"/>
      <c r="AM456" s="513"/>
      <c r="AN456" s="513"/>
      <c r="AO456" s="517"/>
      <c r="AP456" s="513"/>
      <c r="AQ456" s="513"/>
      <c r="AR456" s="517"/>
      <c r="AS456" s="517"/>
      <c r="AT456" s="513"/>
      <c r="AU456" s="513"/>
      <c r="AV456" s="517"/>
      <c r="AW456" s="513"/>
      <c r="AX456" s="513"/>
      <c r="AY456" s="513"/>
      <c r="AZ456" s="513"/>
      <c r="BA456" s="513"/>
    </row>
    <row r="457" spans="1:53" s="514" customFormat="1" ht="12.75" customHeight="1" x14ac:dyDescent="0.25">
      <c r="A457" s="1136"/>
      <c r="B457" s="565" t="s">
        <v>1178</v>
      </c>
      <c r="C457" s="568">
        <v>9</v>
      </c>
      <c r="D457" s="566"/>
      <c r="E457" s="541" t="s">
        <v>1444</v>
      </c>
      <c r="F457" s="542" t="s">
        <v>1443</v>
      </c>
      <c r="G457" s="543">
        <v>872</v>
      </c>
      <c r="H457" s="542">
        <v>5.0000000000000001E-3</v>
      </c>
      <c r="I457" s="544">
        <f t="shared" si="42"/>
        <v>4.3600000000000003</v>
      </c>
      <c r="J457" s="525"/>
      <c r="K457" s="557"/>
      <c r="L457" s="528"/>
      <c r="M457" s="528"/>
      <c r="N457" s="528"/>
      <c r="O457" s="527"/>
      <c r="P457" s="527"/>
      <c r="Q457" s="527"/>
      <c r="R457" s="527"/>
      <c r="S457" s="527"/>
      <c r="T457" s="527"/>
      <c r="U457" s="527"/>
      <c r="V457" s="527"/>
      <c r="W457" s="527"/>
      <c r="X457" s="527"/>
      <c r="Y457" s="527"/>
      <c r="Z457" s="527"/>
      <c r="AA457" s="512"/>
      <c r="AB457" s="460">
        <v>0.3</v>
      </c>
      <c r="AC457" s="512"/>
      <c r="AD457" s="513"/>
      <c r="AF457" s="550"/>
      <c r="AG457" s="513"/>
      <c r="AH457" s="513"/>
      <c r="AI457" s="513"/>
      <c r="AJ457" s="558"/>
      <c r="AK457" s="513"/>
      <c r="AL457" s="516"/>
      <c r="AM457" s="513"/>
      <c r="AN457" s="513"/>
      <c r="AO457" s="517"/>
      <c r="AP457" s="513"/>
      <c r="AQ457" s="513"/>
      <c r="AR457" s="517"/>
      <c r="AS457" s="517"/>
      <c r="AT457" s="513"/>
      <c r="AU457" s="513"/>
      <c r="AV457" s="517"/>
      <c r="AW457" s="513"/>
      <c r="AX457" s="513"/>
      <c r="AY457" s="513"/>
      <c r="AZ457" s="513"/>
      <c r="BA457" s="513"/>
    </row>
    <row r="458" spans="1:53" s="514" customFormat="1" ht="12.75" customHeight="1" x14ac:dyDescent="0.25">
      <c r="A458" s="1136"/>
      <c r="B458" s="521" t="s">
        <v>1179</v>
      </c>
      <c r="C458" s="568">
        <v>9</v>
      </c>
      <c r="D458" s="566"/>
      <c r="E458" s="559" t="s">
        <v>582</v>
      </c>
      <c r="F458" s="560" t="s">
        <v>1438</v>
      </c>
      <c r="G458" s="543">
        <v>149.77000000000001</v>
      </c>
      <c r="H458" s="542">
        <v>0.3</v>
      </c>
      <c r="I458" s="544">
        <f t="shared" si="42"/>
        <v>44.931000000000004</v>
      </c>
      <c r="J458" s="525"/>
      <c r="K458" s="557"/>
      <c r="L458" s="546"/>
      <c r="M458" s="545"/>
      <c r="N458" s="528"/>
      <c r="O458" s="527"/>
      <c r="P458" s="527"/>
      <c r="Q458" s="527"/>
      <c r="R458" s="527"/>
      <c r="S458" s="527"/>
      <c r="T458" s="527"/>
      <c r="U458" s="527"/>
      <c r="V458" s="527"/>
      <c r="W458" s="527"/>
      <c r="X458" s="527"/>
      <c r="Y458" s="527"/>
      <c r="Z458" s="527"/>
      <c r="AA458" s="512"/>
      <c r="AB458" s="460">
        <v>0.3</v>
      </c>
      <c r="AC458" s="512"/>
      <c r="AD458" s="513"/>
      <c r="AF458" s="550"/>
      <c r="AG458" s="513"/>
      <c r="AH458" s="513"/>
      <c r="AI458" s="513"/>
      <c r="AJ458" s="558"/>
      <c r="AK458" s="513"/>
      <c r="AL458" s="516"/>
      <c r="AM458" s="513"/>
      <c r="AN458" s="513"/>
      <c r="AO458" s="517"/>
      <c r="AP458" s="513"/>
      <c r="AQ458" s="513"/>
      <c r="AR458" s="517"/>
      <c r="AS458" s="517"/>
      <c r="AT458" s="513"/>
      <c r="AU458" s="513"/>
      <c r="AV458" s="517"/>
      <c r="AW458" s="513"/>
      <c r="AX458" s="513"/>
      <c r="AY458" s="513"/>
      <c r="AZ458" s="513"/>
      <c r="BA458" s="513"/>
    </row>
    <row r="459" spans="1:53" s="514" customFormat="1" ht="12.75" customHeight="1" x14ac:dyDescent="0.25">
      <c r="A459" s="1136"/>
      <c r="B459" s="569" t="s">
        <v>1181</v>
      </c>
      <c r="C459" s="502">
        <f>C454*C457+C455*C458</f>
        <v>570.46116913527862</v>
      </c>
      <c r="D459" s="566"/>
      <c r="E459" s="559" t="s">
        <v>26</v>
      </c>
      <c r="F459" s="560" t="s">
        <v>1</v>
      </c>
      <c r="G459" s="543">
        <v>6.67</v>
      </c>
      <c r="H459" s="542">
        <v>0.5</v>
      </c>
      <c r="I459" s="544">
        <f t="shared" si="42"/>
        <v>3.335</v>
      </c>
      <c r="J459" s="525"/>
      <c r="K459" s="557"/>
      <c r="L459" s="528"/>
      <c r="M459" s="528"/>
      <c r="N459" s="528"/>
      <c r="O459" s="527"/>
      <c r="P459" s="527"/>
      <c r="Q459" s="527"/>
      <c r="R459" s="527"/>
      <c r="S459" s="527"/>
      <c r="T459" s="527"/>
      <c r="U459" s="527"/>
      <c r="V459" s="527"/>
      <c r="W459" s="527"/>
      <c r="X459" s="527"/>
      <c r="Y459" s="527"/>
      <c r="Z459" s="527"/>
      <c r="AA459" s="512"/>
      <c r="AB459" s="460">
        <v>0.3</v>
      </c>
      <c r="AC459" s="512"/>
      <c r="AD459" s="513"/>
      <c r="AF459" s="550"/>
      <c r="AG459" s="513"/>
      <c r="AH459" s="513"/>
      <c r="AI459" s="513"/>
      <c r="AJ459" s="551"/>
      <c r="AK459" s="513"/>
      <c r="AL459" s="516"/>
      <c r="AM459" s="513"/>
      <c r="AN459" s="513"/>
      <c r="AO459" s="517"/>
      <c r="AP459" s="513"/>
      <c r="AQ459" s="513"/>
      <c r="AR459" s="517"/>
      <c r="AS459" s="517"/>
      <c r="AT459" s="513"/>
      <c r="AU459" s="513"/>
      <c r="AV459" s="517"/>
      <c r="AW459" s="513"/>
      <c r="AX459" s="513"/>
      <c r="AY459" s="513"/>
      <c r="AZ459" s="513"/>
      <c r="BA459" s="513"/>
    </row>
    <row r="460" spans="1:53" s="514" customFormat="1" ht="12.75" customHeight="1" x14ac:dyDescent="0.25">
      <c r="A460" s="1136"/>
      <c r="B460" s="569"/>
      <c r="C460" s="502"/>
      <c r="D460" s="566"/>
      <c r="E460" s="559" t="s">
        <v>18</v>
      </c>
      <c r="F460" s="560" t="s">
        <v>1438</v>
      </c>
      <c r="G460" s="543">
        <v>0.94</v>
      </c>
      <c r="H460" s="542">
        <v>0.5</v>
      </c>
      <c r="I460" s="544">
        <f t="shared" si="42"/>
        <v>0.47</v>
      </c>
      <c r="J460" s="525"/>
      <c r="K460" s="557"/>
      <c r="L460" s="528"/>
      <c r="M460" s="528"/>
      <c r="N460" s="528"/>
      <c r="O460" s="527"/>
      <c r="P460" s="527"/>
      <c r="Q460" s="527"/>
      <c r="R460" s="527"/>
      <c r="S460" s="527"/>
      <c r="T460" s="527"/>
      <c r="U460" s="527"/>
      <c r="V460" s="527"/>
      <c r="W460" s="527"/>
      <c r="X460" s="527"/>
      <c r="Y460" s="527"/>
      <c r="Z460" s="527"/>
      <c r="AA460" s="512"/>
      <c r="AB460" s="460"/>
      <c r="AC460" s="512"/>
      <c r="AD460" s="513"/>
      <c r="AF460" s="550"/>
      <c r="AG460" s="513"/>
      <c r="AH460" s="513"/>
      <c r="AI460" s="513"/>
      <c r="AJ460" s="551"/>
      <c r="AK460" s="513"/>
      <c r="AL460" s="516"/>
      <c r="AM460" s="513"/>
      <c r="AN460" s="513"/>
      <c r="AO460" s="517"/>
      <c r="AP460" s="513"/>
      <c r="AQ460" s="513"/>
      <c r="AR460" s="517"/>
      <c r="AS460" s="517"/>
      <c r="AT460" s="513"/>
      <c r="AU460" s="513"/>
      <c r="AV460" s="517"/>
      <c r="AW460" s="513"/>
      <c r="AX460" s="513"/>
      <c r="AY460" s="513"/>
      <c r="AZ460" s="513"/>
      <c r="BA460" s="513"/>
    </row>
    <row r="461" spans="1:53" s="514" customFormat="1" ht="12.75" customHeight="1" x14ac:dyDescent="0.25">
      <c r="A461" s="1136"/>
      <c r="B461" s="569"/>
      <c r="C461" s="502"/>
      <c r="D461" s="566"/>
      <c r="E461" s="559" t="s">
        <v>13</v>
      </c>
      <c r="F461" s="560" t="s">
        <v>1441</v>
      </c>
      <c r="G461" s="543">
        <v>1.5</v>
      </c>
      <c r="H461" s="542">
        <v>1</v>
      </c>
      <c r="I461" s="544">
        <f t="shared" si="42"/>
        <v>1.5</v>
      </c>
      <c r="J461" s="525"/>
      <c r="K461" s="557"/>
      <c r="L461" s="528"/>
      <c r="M461" s="528"/>
      <c r="N461" s="528"/>
      <c r="O461" s="527"/>
      <c r="P461" s="527"/>
      <c r="Q461" s="527"/>
      <c r="R461" s="527"/>
      <c r="S461" s="527"/>
      <c r="T461" s="527"/>
      <c r="U461" s="527"/>
      <c r="V461" s="527"/>
      <c r="W461" s="527"/>
      <c r="X461" s="527"/>
      <c r="Y461" s="527"/>
      <c r="Z461" s="527"/>
      <c r="AA461" s="512"/>
      <c r="AB461" s="460"/>
      <c r="AC461" s="512"/>
      <c r="AD461" s="513"/>
      <c r="AF461" s="550"/>
      <c r="AG461" s="513"/>
      <c r="AH461" s="513"/>
      <c r="AI461" s="513"/>
      <c r="AJ461" s="551"/>
      <c r="AK461" s="513"/>
      <c r="AL461" s="516"/>
      <c r="AM461" s="513"/>
      <c r="AN461" s="513"/>
      <c r="AO461" s="517"/>
      <c r="AP461" s="513"/>
      <c r="AQ461" s="513"/>
      <c r="AR461" s="517"/>
      <c r="AS461" s="517"/>
      <c r="AT461" s="513"/>
      <c r="AU461" s="513"/>
      <c r="AV461" s="517"/>
      <c r="AW461" s="513"/>
      <c r="AX461" s="513"/>
      <c r="AY461" s="513"/>
      <c r="AZ461" s="513"/>
      <c r="BA461" s="513"/>
    </row>
    <row r="462" spans="1:53" s="514" customFormat="1" ht="12.75" customHeight="1" x14ac:dyDescent="0.25">
      <c r="A462" s="1136"/>
      <c r="B462" s="569"/>
      <c r="C462" s="568"/>
      <c r="D462" s="566"/>
      <c r="E462" s="559"/>
      <c r="F462" s="560"/>
      <c r="G462" s="543"/>
      <c r="H462" s="542"/>
      <c r="I462" s="544"/>
      <c r="J462" s="525"/>
      <c r="K462" s="557"/>
      <c r="L462" s="528"/>
      <c r="M462" s="528"/>
      <c r="N462" s="528"/>
      <c r="O462" s="527"/>
      <c r="P462" s="527"/>
      <c r="Q462" s="527"/>
      <c r="R462" s="527"/>
      <c r="S462" s="527"/>
      <c r="T462" s="527"/>
      <c r="U462" s="527"/>
      <c r="V462" s="527"/>
      <c r="W462" s="527"/>
      <c r="X462" s="527"/>
      <c r="Y462" s="527"/>
      <c r="Z462" s="527"/>
      <c r="AA462" s="512"/>
      <c r="AB462" s="460">
        <v>0.3</v>
      </c>
      <c r="AC462" s="512"/>
      <c r="AD462" s="513"/>
      <c r="AF462" s="550"/>
      <c r="AG462" s="513"/>
      <c r="AH462" s="513"/>
      <c r="AI462" s="513"/>
      <c r="AJ462" s="558"/>
      <c r="AK462" s="513"/>
      <c r="AL462" s="516"/>
      <c r="AM462" s="513"/>
      <c r="AN462" s="513"/>
      <c r="AO462" s="517"/>
      <c r="AP462" s="513"/>
      <c r="AQ462" s="513"/>
      <c r="AR462" s="517"/>
      <c r="AS462" s="517"/>
      <c r="AT462" s="513"/>
      <c r="AU462" s="513"/>
      <c r="AV462" s="517"/>
      <c r="AW462" s="513"/>
      <c r="AX462" s="513"/>
      <c r="AY462" s="513"/>
      <c r="AZ462" s="513"/>
      <c r="BA462" s="513"/>
    </row>
    <row r="463" spans="1:53" s="514" customFormat="1" ht="56.25" customHeight="1" x14ac:dyDescent="0.25">
      <c r="A463" s="1136" t="s">
        <v>1532</v>
      </c>
      <c r="B463" s="503"/>
      <c r="C463" s="502"/>
      <c r="D463" s="570"/>
      <c r="E463" s="576" t="s">
        <v>488</v>
      </c>
      <c r="F463" s="507" t="s">
        <v>837</v>
      </c>
      <c r="G463" s="503" t="s">
        <v>489</v>
      </c>
      <c r="H463" s="505" t="s">
        <v>1170</v>
      </c>
      <c r="I463" s="507" t="s">
        <v>838</v>
      </c>
      <c r="J463" s="508" t="s">
        <v>1171</v>
      </c>
      <c r="K463" s="508" t="s">
        <v>490</v>
      </c>
      <c r="L463" s="509" t="s">
        <v>489</v>
      </c>
      <c r="M463" s="508" t="s">
        <v>1172</v>
      </c>
      <c r="N463" s="507" t="s">
        <v>838</v>
      </c>
      <c r="O463" s="508" t="s">
        <v>1171</v>
      </c>
      <c r="P463" s="508" t="s">
        <v>826</v>
      </c>
      <c r="Q463" s="508" t="s">
        <v>1173</v>
      </c>
      <c r="R463" s="508" t="s">
        <v>1174</v>
      </c>
      <c r="S463" s="508" t="s">
        <v>839</v>
      </c>
      <c r="T463" s="508" t="s">
        <v>1171</v>
      </c>
      <c r="U463" s="508" t="s">
        <v>1392</v>
      </c>
      <c r="V463" s="508" t="s">
        <v>841</v>
      </c>
      <c r="W463" s="510" t="s">
        <v>1173</v>
      </c>
      <c r="X463" s="508" t="s">
        <v>1394</v>
      </c>
      <c r="Y463" s="508" t="s">
        <v>839</v>
      </c>
      <c r="Z463" s="511"/>
      <c r="AA463" s="512"/>
      <c r="AB463" s="460">
        <v>0.3</v>
      </c>
      <c r="AC463" s="512"/>
      <c r="AD463" s="513"/>
      <c r="AF463" s="515"/>
      <c r="AG463" s="513"/>
      <c r="AH463" s="513"/>
      <c r="AI463" s="513"/>
      <c r="AJ463" s="513"/>
      <c r="AK463" s="513"/>
      <c r="AL463" s="516"/>
      <c r="AM463" s="513"/>
      <c r="AN463" s="513"/>
      <c r="AO463" s="517"/>
      <c r="AP463" s="513"/>
      <c r="AQ463" s="518"/>
      <c r="AR463" s="518"/>
      <c r="AS463" s="518"/>
      <c r="AT463" s="513"/>
      <c r="AU463" s="513"/>
      <c r="AV463" s="517"/>
      <c r="AW463" s="513"/>
      <c r="AX463" s="513"/>
      <c r="AY463" s="513"/>
      <c r="AZ463" s="513"/>
      <c r="BA463" s="513"/>
    </row>
    <row r="464" spans="1:53" s="514" customFormat="1" ht="12" customHeight="1" x14ac:dyDescent="0.25">
      <c r="A464" s="1136"/>
      <c r="B464" s="519" t="s">
        <v>1175</v>
      </c>
      <c r="C464" s="502">
        <f>C471</f>
        <v>823.99946652873564</v>
      </c>
      <c r="D464" s="570">
        <f>C464*$D$7</f>
        <v>166.4478922388046</v>
      </c>
      <c r="E464" s="573" t="s">
        <v>1176</v>
      </c>
      <c r="F464" s="571"/>
      <c r="G464" s="523"/>
      <c r="H464" s="523"/>
      <c r="I464" s="524">
        <f>SUM(I465:I473)</f>
        <v>94.741699999999994</v>
      </c>
      <c r="J464" s="525" t="s">
        <v>1176</v>
      </c>
      <c r="K464" s="526"/>
      <c r="L464" s="527"/>
      <c r="M464" s="527"/>
      <c r="N464" s="528">
        <f>SUM(N465:N473)</f>
        <v>4.4213899999999997</v>
      </c>
      <c r="O464" s="527" t="s">
        <v>1176</v>
      </c>
      <c r="P464" s="527"/>
      <c r="Q464" s="529"/>
      <c r="R464" s="530"/>
      <c r="S464" s="528">
        <f>SUM(S465:S473)</f>
        <v>9.9028000000000009</v>
      </c>
      <c r="T464" s="528"/>
      <c r="U464" s="528"/>
      <c r="V464" s="528"/>
      <c r="W464" s="528"/>
      <c r="X464" s="528"/>
      <c r="Y464" s="528">
        <f>SUM(Y465:Y473)</f>
        <v>9.1999999999999998E-3</v>
      </c>
      <c r="Z464" s="531">
        <f>(C464+D464+I464+N464+S464+Y464)*$Z$7</f>
        <v>1429.5855558391354</v>
      </c>
      <c r="AA464" s="532">
        <f>C464+D464+I464+N464+S464+Y464+Z464</f>
        <v>2529.1080046066754</v>
      </c>
      <c r="AB464" s="460">
        <v>0.3</v>
      </c>
      <c r="AC464" s="533">
        <f>AA464*(1+AB464)</f>
        <v>3287.840405988678</v>
      </c>
      <c r="AD464" s="517"/>
      <c r="AF464" s="515"/>
      <c r="AG464" s="513"/>
      <c r="AH464" s="513"/>
      <c r="AI464" s="518"/>
      <c r="AJ464" s="534"/>
      <c r="AK464" s="535"/>
      <c r="AL464" s="516"/>
      <c r="AM464" s="536"/>
      <c r="AN464" s="537"/>
      <c r="AO464" s="536"/>
      <c r="AP464" s="518"/>
      <c r="AQ464" s="518"/>
      <c r="AR464" s="518"/>
      <c r="AS464" s="518"/>
      <c r="AT464" s="518"/>
      <c r="AU464" s="536"/>
      <c r="AV464" s="536"/>
      <c r="AW464" s="538"/>
      <c r="AX464" s="513"/>
      <c r="AY464" s="513"/>
      <c r="AZ464" s="513"/>
      <c r="BA464" s="513"/>
    </row>
    <row r="465" spans="1:53" s="514" customFormat="1" ht="12.75" customHeight="1" x14ac:dyDescent="0.25">
      <c r="A465" s="1136"/>
      <c r="B465" s="572" t="s">
        <v>1177</v>
      </c>
      <c r="C465" s="502"/>
      <c r="D465" s="566"/>
      <c r="E465" s="541" t="s">
        <v>1437</v>
      </c>
      <c r="F465" s="542" t="s">
        <v>1438</v>
      </c>
      <c r="G465" s="543">
        <v>0.74</v>
      </c>
      <c r="H465" s="542">
        <v>0.1</v>
      </c>
      <c r="I465" s="544">
        <f t="shared" ref="I465:I473" si="43">G465*H465</f>
        <v>7.3999999999999996E-2</v>
      </c>
      <c r="J465" s="525" t="s">
        <v>1291</v>
      </c>
      <c r="K465" s="545">
        <v>2</v>
      </c>
      <c r="L465" s="546">
        <v>750</v>
      </c>
      <c r="M465" s="545">
        <v>2</v>
      </c>
      <c r="N465" s="528">
        <v>1.1745000000000001</v>
      </c>
      <c r="O465" s="547" t="s">
        <v>1578</v>
      </c>
      <c r="P465" s="527">
        <v>188900</v>
      </c>
      <c r="Q465" s="548">
        <v>0.19670000000000001</v>
      </c>
      <c r="R465" s="527">
        <f>P465*Q465</f>
        <v>37156.630000000005</v>
      </c>
      <c r="S465" s="527">
        <v>8.1902000000000008</v>
      </c>
      <c r="T465" s="512" t="s">
        <v>1435</v>
      </c>
      <c r="U465" s="523">
        <v>6785401.3499999996</v>
      </c>
      <c r="V465" s="549">
        <v>1.32E-2</v>
      </c>
      <c r="W465" s="512">
        <v>1508.3</v>
      </c>
      <c r="X465" s="528">
        <v>59.38</v>
      </c>
      <c r="Y465" s="527">
        <v>9.1999999999999998E-3</v>
      </c>
      <c r="Z465" s="527"/>
      <c r="AA465" s="512"/>
      <c r="AB465" s="460">
        <v>0.3</v>
      </c>
      <c r="AC465" s="512"/>
      <c r="AD465" s="513"/>
      <c r="AF465" s="550"/>
      <c r="AG465" s="513"/>
      <c r="AH465" s="513"/>
      <c r="AI465" s="513"/>
      <c r="AJ465" s="551"/>
      <c r="AK465" s="513"/>
      <c r="AL465" s="516"/>
      <c r="AM465" s="513"/>
      <c r="AN465" s="513"/>
      <c r="AO465" s="517"/>
      <c r="AP465" s="513"/>
      <c r="AQ465" s="513"/>
      <c r="AR465" s="517"/>
      <c r="AS465" s="517"/>
      <c r="AT465" s="518"/>
      <c r="AU465" s="513"/>
      <c r="AV465" s="517"/>
      <c r="AW465" s="513"/>
      <c r="AX465" s="513"/>
      <c r="AY465" s="513"/>
      <c r="AZ465" s="513"/>
      <c r="BA465" s="513"/>
    </row>
    <row r="466" spans="1:53" s="514" customFormat="1" x14ac:dyDescent="0.25">
      <c r="A466" s="1136"/>
      <c r="B466" s="565" t="s">
        <v>1178</v>
      </c>
      <c r="C466" s="491">
        <f>C454</f>
        <v>43.888814515309463</v>
      </c>
      <c r="D466" s="566"/>
      <c r="E466" s="541" t="s">
        <v>1439</v>
      </c>
      <c r="F466" s="542" t="s">
        <v>1438</v>
      </c>
      <c r="G466" s="543">
        <v>0.27</v>
      </c>
      <c r="H466" s="542">
        <v>0.01</v>
      </c>
      <c r="I466" s="544">
        <f t="shared" si="43"/>
        <v>2.7000000000000001E-3</v>
      </c>
      <c r="J466" s="525" t="s">
        <v>1445</v>
      </c>
      <c r="K466" s="528">
        <v>2</v>
      </c>
      <c r="L466" s="553">
        <v>95</v>
      </c>
      <c r="M466" s="545">
        <v>2</v>
      </c>
      <c r="N466" s="528">
        <v>3.1146400000000001</v>
      </c>
      <c r="O466" s="527" t="s">
        <v>1580</v>
      </c>
      <c r="P466" s="527">
        <v>39500</v>
      </c>
      <c r="Q466" s="548">
        <v>0.19670000000000001</v>
      </c>
      <c r="R466" s="527">
        <f>P466*Q466</f>
        <v>7769.6500000000005</v>
      </c>
      <c r="S466" s="527">
        <v>1.7125999999999999</v>
      </c>
      <c r="T466" s="527"/>
      <c r="U466" s="527"/>
      <c r="V466" s="527"/>
      <c r="W466" s="548"/>
      <c r="X466" s="527"/>
      <c r="Y466" s="527"/>
      <c r="Z466" s="527"/>
      <c r="AA466" s="512"/>
      <c r="AB466" s="460">
        <v>0.3</v>
      </c>
      <c r="AC466" s="512"/>
      <c r="AD466" s="513"/>
      <c r="AF466" s="550"/>
      <c r="AG466" s="513"/>
      <c r="AH466" s="513"/>
      <c r="AI466" s="513"/>
      <c r="AJ466" s="551"/>
      <c r="AK466" s="513"/>
      <c r="AL466" s="516"/>
      <c r="AM466" s="538"/>
      <c r="AN466" s="513"/>
      <c r="AO466" s="517"/>
      <c r="AP466" s="513"/>
      <c r="AQ466" s="513"/>
      <c r="AR466" s="517"/>
      <c r="AS466" s="517"/>
      <c r="AT466" s="513"/>
      <c r="AU466" s="513"/>
      <c r="AV466" s="517"/>
      <c r="AW466" s="513"/>
      <c r="AX466" s="513"/>
      <c r="AY466" s="513"/>
      <c r="AZ466" s="513"/>
      <c r="BA466" s="513"/>
    </row>
    <row r="467" spans="1:53" s="514" customFormat="1" ht="12.75" customHeight="1" x14ac:dyDescent="0.25">
      <c r="A467" s="1136"/>
      <c r="B467" s="521" t="s">
        <v>1179</v>
      </c>
      <c r="C467" s="487">
        <f>C455</f>
        <v>19.495759833054819</v>
      </c>
      <c r="D467" s="566"/>
      <c r="E467" s="541" t="s">
        <v>1440</v>
      </c>
      <c r="F467" s="542" t="s">
        <v>1441</v>
      </c>
      <c r="G467" s="543">
        <v>5.92</v>
      </c>
      <c r="H467" s="555">
        <v>1</v>
      </c>
      <c r="I467" s="544">
        <f t="shared" si="43"/>
        <v>5.92</v>
      </c>
      <c r="J467" s="525" t="s">
        <v>1513</v>
      </c>
      <c r="K467" s="528">
        <v>2</v>
      </c>
      <c r="L467" s="528">
        <v>25</v>
      </c>
      <c r="M467" s="545">
        <v>0.5</v>
      </c>
      <c r="N467" s="528">
        <v>0.13225000000000001</v>
      </c>
      <c r="O467" s="527"/>
      <c r="P467" s="527"/>
      <c r="Q467" s="548"/>
      <c r="R467" s="527"/>
      <c r="S467" s="527"/>
      <c r="T467" s="527"/>
      <c r="U467" s="527"/>
      <c r="V467" s="527"/>
      <c r="W467" s="548"/>
      <c r="X467" s="527"/>
      <c r="Y467" s="527"/>
      <c r="Z467" s="527"/>
      <c r="AA467" s="512"/>
      <c r="AB467" s="460">
        <v>0.3</v>
      </c>
      <c r="AC467" s="512"/>
      <c r="AD467" s="513"/>
      <c r="AF467" s="550"/>
      <c r="AG467" s="513"/>
      <c r="AH467" s="513"/>
      <c r="AI467" s="513"/>
      <c r="AJ467" s="551"/>
      <c r="AK467" s="513"/>
      <c r="AL467" s="516"/>
      <c r="AM467" s="513"/>
      <c r="AN467" s="513"/>
      <c r="AO467" s="517"/>
      <c r="AP467" s="513"/>
      <c r="AQ467" s="513"/>
      <c r="AR467" s="517"/>
      <c r="AS467" s="517"/>
      <c r="AT467" s="513"/>
      <c r="AU467" s="513"/>
      <c r="AV467" s="517"/>
      <c r="AW467" s="513"/>
      <c r="AX467" s="513"/>
      <c r="AY467" s="513"/>
      <c r="AZ467" s="513"/>
      <c r="BA467" s="513"/>
    </row>
    <row r="468" spans="1:53" s="514" customFormat="1" ht="12.75" customHeight="1" x14ac:dyDescent="0.25">
      <c r="A468" s="1136"/>
      <c r="B468" s="521" t="s">
        <v>1180</v>
      </c>
      <c r="C468" s="567"/>
      <c r="D468" s="566"/>
      <c r="E468" s="541" t="s">
        <v>1442</v>
      </c>
      <c r="F468" s="542" t="s">
        <v>1443</v>
      </c>
      <c r="G468" s="543">
        <v>419.5</v>
      </c>
      <c r="H468" s="542">
        <v>0.01</v>
      </c>
      <c r="I468" s="544">
        <f t="shared" si="43"/>
        <v>4.1950000000000003</v>
      </c>
      <c r="J468" s="525"/>
      <c r="K468" s="557"/>
      <c r="L468" s="528"/>
      <c r="M468" s="528"/>
      <c r="N468" s="528"/>
      <c r="O468" s="527"/>
      <c r="P468" s="527"/>
      <c r="Q468" s="527"/>
      <c r="R468" s="527"/>
      <c r="S468" s="527"/>
      <c r="T468" s="527"/>
      <c r="U468" s="527"/>
      <c r="V468" s="527"/>
      <c r="W468" s="527"/>
      <c r="X468" s="527"/>
      <c r="Y468" s="527"/>
      <c r="Z468" s="527"/>
      <c r="AA468" s="512"/>
      <c r="AB468" s="460">
        <v>0.3</v>
      </c>
      <c r="AC468" s="512"/>
      <c r="AD468" s="513"/>
      <c r="AF468" s="550"/>
      <c r="AG468" s="513"/>
      <c r="AH468" s="513"/>
      <c r="AI468" s="513"/>
      <c r="AJ468" s="551"/>
      <c r="AK468" s="513"/>
      <c r="AL468" s="516"/>
      <c r="AM468" s="513"/>
      <c r="AN468" s="513"/>
      <c r="AO468" s="517"/>
      <c r="AP468" s="513"/>
      <c r="AQ468" s="513"/>
      <c r="AR468" s="517"/>
      <c r="AS468" s="517"/>
      <c r="AT468" s="513"/>
      <c r="AU468" s="513"/>
      <c r="AV468" s="517"/>
      <c r="AW468" s="513"/>
      <c r="AX468" s="513"/>
      <c r="AY468" s="513"/>
      <c r="AZ468" s="513"/>
      <c r="BA468" s="513"/>
    </row>
    <row r="469" spans="1:53" s="514" customFormat="1" ht="12.75" customHeight="1" x14ac:dyDescent="0.25">
      <c r="A469" s="1136"/>
      <c r="B469" s="565" t="s">
        <v>1178</v>
      </c>
      <c r="C469" s="568">
        <v>13</v>
      </c>
      <c r="D469" s="566"/>
      <c r="E469" s="541" t="s">
        <v>1444</v>
      </c>
      <c r="F469" s="542" t="s">
        <v>1443</v>
      </c>
      <c r="G469" s="543">
        <v>872</v>
      </c>
      <c r="H469" s="542">
        <v>5.0000000000000001E-3</v>
      </c>
      <c r="I469" s="544">
        <f t="shared" si="43"/>
        <v>4.3600000000000003</v>
      </c>
      <c r="J469" s="525"/>
      <c r="K469" s="557"/>
      <c r="L469" s="528"/>
      <c r="M469" s="528"/>
      <c r="N469" s="528"/>
      <c r="O469" s="527"/>
      <c r="P469" s="527"/>
      <c r="Q469" s="527"/>
      <c r="R469" s="527"/>
      <c r="S469" s="527"/>
      <c r="T469" s="527"/>
      <c r="U469" s="527"/>
      <c r="V469" s="527"/>
      <c r="W469" s="527"/>
      <c r="X469" s="527"/>
      <c r="Y469" s="527"/>
      <c r="Z469" s="527"/>
      <c r="AA469" s="512"/>
      <c r="AB469" s="460">
        <v>0.3</v>
      </c>
      <c r="AC469" s="512"/>
      <c r="AD469" s="513"/>
      <c r="AF469" s="550"/>
      <c r="AG469" s="513"/>
      <c r="AH469" s="513"/>
      <c r="AI469" s="513"/>
      <c r="AJ469" s="558"/>
      <c r="AK469" s="513"/>
      <c r="AL469" s="516"/>
      <c r="AM469" s="513"/>
      <c r="AN469" s="513"/>
      <c r="AO469" s="517"/>
      <c r="AP469" s="513"/>
      <c r="AQ469" s="513"/>
      <c r="AR469" s="517"/>
      <c r="AS469" s="517"/>
      <c r="AT469" s="513"/>
      <c r="AU469" s="513"/>
      <c r="AV469" s="517"/>
      <c r="AW469" s="513"/>
      <c r="AX469" s="513"/>
      <c r="AY469" s="513"/>
      <c r="AZ469" s="513"/>
      <c r="BA469" s="513"/>
    </row>
    <row r="470" spans="1:53" s="514" customFormat="1" ht="12.75" customHeight="1" x14ac:dyDescent="0.25">
      <c r="A470" s="1136"/>
      <c r="B470" s="521" t="s">
        <v>1179</v>
      </c>
      <c r="C470" s="568">
        <v>13</v>
      </c>
      <c r="D470" s="566"/>
      <c r="E470" s="559" t="s">
        <v>582</v>
      </c>
      <c r="F470" s="560" t="s">
        <v>1438</v>
      </c>
      <c r="G470" s="543">
        <v>149.77000000000001</v>
      </c>
      <c r="H470" s="542">
        <v>0.5</v>
      </c>
      <c r="I470" s="544">
        <f t="shared" si="43"/>
        <v>74.885000000000005</v>
      </c>
      <c r="J470" s="525"/>
      <c r="K470" s="557"/>
      <c r="L470" s="546"/>
      <c r="M470" s="545"/>
      <c r="N470" s="528"/>
      <c r="O470" s="527"/>
      <c r="P470" s="527"/>
      <c r="Q470" s="527"/>
      <c r="R470" s="527"/>
      <c r="S470" s="527"/>
      <c r="T470" s="527"/>
      <c r="U470" s="527"/>
      <c r="V470" s="527"/>
      <c r="W470" s="527"/>
      <c r="X470" s="527"/>
      <c r="Y470" s="527"/>
      <c r="Z470" s="527"/>
      <c r="AA470" s="512"/>
      <c r="AB470" s="460">
        <v>0.3</v>
      </c>
      <c r="AC470" s="512"/>
      <c r="AD470" s="513"/>
      <c r="AF470" s="550"/>
      <c r="AG470" s="513"/>
      <c r="AH470" s="513"/>
      <c r="AI470" s="513"/>
      <c r="AJ470" s="558"/>
      <c r="AK470" s="513"/>
      <c r="AL470" s="516"/>
      <c r="AM470" s="513"/>
      <c r="AN470" s="513"/>
      <c r="AO470" s="517"/>
      <c r="AP470" s="513"/>
      <c r="AQ470" s="513"/>
      <c r="AR470" s="517"/>
      <c r="AS470" s="517"/>
      <c r="AT470" s="513"/>
      <c r="AU470" s="513"/>
      <c r="AV470" s="517"/>
      <c r="AW470" s="513"/>
      <c r="AX470" s="513"/>
      <c r="AY470" s="513"/>
      <c r="AZ470" s="513"/>
      <c r="BA470" s="513"/>
    </row>
    <row r="471" spans="1:53" s="514" customFormat="1" ht="12.75" customHeight="1" x14ac:dyDescent="0.25">
      <c r="A471" s="1136"/>
      <c r="B471" s="569" t="s">
        <v>1181</v>
      </c>
      <c r="C471" s="502">
        <f>C466*C469+C467*C470</f>
        <v>823.99946652873564</v>
      </c>
      <c r="D471" s="566"/>
      <c r="E471" s="559" t="s">
        <v>26</v>
      </c>
      <c r="F471" s="560" t="s">
        <v>1</v>
      </c>
      <c r="G471" s="543">
        <v>6.67</v>
      </c>
      <c r="H471" s="542">
        <v>0.5</v>
      </c>
      <c r="I471" s="544">
        <f t="shared" si="43"/>
        <v>3.335</v>
      </c>
      <c r="J471" s="525"/>
      <c r="K471" s="557"/>
      <c r="L471" s="528"/>
      <c r="M471" s="528"/>
      <c r="N471" s="528"/>
      <c r="O471" s="527"/>
      <c r="P471" s="527"/>
      <c r="Q471" s="527"/>
      <c r="R471" s="527"/>
      <c r="S471" s="527"/>
      <c r="T471" s="527"/>
      <c r="U471" s="527"/>
      <c r="V471" s="527"/>
      <c r="W471" s="527"/>
      <c r="X471" s="527"/>
      <c r="Y471" s="527"/>
      <c r="Z471" s="527"/>
      <c r="AA471" s="512"/>
      <c r="AB471" s="460">
        <v>0.3</v>
      </c>
      <c r="AC471" s="512"/>
      <c r="AD471" s="513"/>
      <c r="AF471" s="550"/>
      <c r="AG471" s="513"/>
      <c r="AH471" s="513"/>
      <c r="AI471" s="513"/>
      <c r="AJ471" s="551"/>
      <c r="AK471" s="513"/>
      <c r="AL471" s="516"/>
      <c r="AM471" s="513"/>
      <c r="AN471" s="513"/>
      <c r="AO471" s="517"/>
      <c r="AP471" s="513"/>
      <c r="AQ471" s="513"/>
      <c r="AR471" s="517"/>
      <c r="AS471" s="517"/>
      <c r="AT471" s="513"/>
      <c r="AU471" s="513"/>
      <c r="AV471" s="517"/>
      <c r="AW471" s="513"/>
      <c r="AX471" s="513"/>
      <c r="AY471" s="513"/>
      <c r="AZ471" s="513"/>
      <c r="BA471" s="513"/>
    </row>
    <row r="472" spans="1:53" s="514" customFormat="1" ht="12.75" customHeight="1" x14ac:dyDescent="0.25">
      <c r="A472" s="1136"/>
      <c r="B472" s="569"/>
      <c r="C472" s="502"/>
      <c r="D472" s="566"/>
      <c r="E472" s="559" t="s">
        <v>18</v>
      </c>
      <c r="F472" s="560" t="s">
        <v>1438</v>
      </c>
      <c r="G472" s="543">
        <v>0.94</v>
      </c>
      <c r="H472" s="542">
        <v>0.5</v>
      </c>
      <c r="I472" s="544">
        <f t="shared" si="43"/>
        <v>0.47</v>
      </c>
      <c r="J472" s="525"/>
      <c r="K472" s="557"/>
      <c r="L472" s="528"/>
      <c r="M472" s="528"/>
      <c r="N472" s="528"/>
      <c r="O472" s="527"/>
      <c r="P472" s="527"/>
      <c r="Q472" s="527"/>
      <c r="R472" s="527"/>
      <c r="S472" s="527"/>
      <c r="T472" s="527"/>
      <c r="U472" s="527"/>
      <c r="V472" s="527"/>
      <c r="W472" s="527"/>
      <c r="X472" s="527"/>
      <c r="Y472" s="527"/>
      <c r="Z472" s="527"/>
      <c r="AA472" s="512"/>
      <c r="AB472" s="460"/>
      <c r="AC472" s="512"/>
      <c r="AD472" s="513"/>
      <c r="AF472" s="550"/>
      <c r="AG472" s="513"/>
      <c r="AH472" s="513"/>
      <c r="AI472" s="513"/>
      <c r="AJ472" s="551"/>
      <c r="AK472" s="513"/>
      <c r="AL472" s="516"/>
      <c r="AM472" s="513"/>
      <c r="AN472" s="513"/>
      <c r="AO472" s="517"/>
      <c r="AP472" s="513"/>
      <c r="AQ472" s="513"/>
      <c r="AR472" s="517"/>
      <c r="AS472" s="517"/>
      <c r="AT472" s="513"/>
      <c r="AU472" s="513"/>
      <c r="AV472" s="517"/>
      <c r="AW472" s="513"/>
      <c r="AX472" s="513"/>
      <c r="AY472" s="513"/>
      <c r="AZ472" s="513"/>
      <c r="BA472" s="513"/>
    </row>
    <row r="473" spans="1:53" s="514" customFormat="1" ht="12.75" customHeight="1" x14ac:dyDescent="0.25">
      <c r="A473" s="1136"/>
      <c r="B473" s="569"/>
      <c r="C473" s="568"/>
      <c r="D473" s="566"/>
      <c r="E473" s="559" t="s">
        <v>13</v>
      </c>
      <c r="F473" s="560" t="s">
        <v>1441</v>
      </c>
      <c r="G473" s="543">
        <v>1.5</v>
      </c>
      <c r="H473" s="542">
        <v>1</v>
      </c>
      <c r="I473" s="544">
        <f t="shared" si="43"/>
        <v>1.5</v>
      </c>
      <c r="J473" s="525"/>
      <c r="K473" s="557"/>
      <c r="L473" s="528"/>
      <c r="M473" s="528"/>
      <c r="N473" s="528"/>
      <c r="O473" s="527"/>
      <c r="P473" s="527"/>
      <c r="Q473" s="527"/>
      <c r="R473" s="527"/>
      <c r="S473" s="527"/>
      <c r="T473" s="527"/>
      <c r="U473" s="527"/>
      <c r="V473" s="527"/>
      <c r="W473" s="527"/>
      <c r="X473" s="527"/>
      <c r="Y473" s="527"/>
      <c r="Z473" s="527"/>
      <c r="AA473" s="512"/>
      <c r="AB473" s="460">
        <v>0.3</v>
      </c>
      <c r="AC473" s="512"/>
      <c r="AD473" s="513"/>
      <c r="AF473" s="517"/>
      <c r="AG473" s="513"/>
      <c r="AH473" s="513"/>
      <c r="AI473" s="513"/>
      <c r="AJ473" s="558"/>
      <c r="AK473" s="513"/>
      <c r="AL473" s="516"/>
      <c r="AM473" s="513"/>
      <c r="AN473" s="513"/>
      <c r="AO473" s="517"/>
      <c r="AP473" s="513"/>
      <c r="AQ473" s="513"/>
      <c r="AR473" s="517"/>
      <c r="AS473" s="517"/>
      <c r="AT473" s="513"/>
      <c r="AU473" s="513"/>
      <c r="AV473" s="517"/>
      <c r="AW473" s="513"/>
      <c r="AX473" s="513"/>
      <c r="AY473" s="513"/>
      <c r="AZ473" s="513"/>
      <c r="BA473" s="513"/>
    </row>
    <row r="474" spans="1:53" s="514" customFormat="1" ht="56.25" customHeight="1" x14ac:dyDescent="0.25">
      <c r="A474" s="1136" t="s">
        <v>1533</v>
      </c>
      <c r="B474" s="503"/>
      <c r="C474" s="502"/>
      <c r="D474" s="570"/>
      <c r="E474" s="576" t="s">
        <v>488</v>
      </c>
      <c r="F474" s="507" t="s">
        <v>837</v>
      </c>
      <c r="G474" s="503" t="s">
        <v>489</v>
      </c>
      <c r="H474" s="505" t="s">
        <v>1170</v>
      </c>
      <c r="I474" s="507" t="s">
        <v>838</v>
      </c>
      <c r="J474" s="508" t="s">
        <v>1171</v>
      </c>
      <c r="K474" s="508" t="s">
        <v>490</v>
      </c>
      <c r="L474" s="509" t="s">
        <v>489</v>
      </c>
      <c r="M474" s="508" t="s">
        <v>1172</v>
      </c>
      <c r="N474" s="507" t="s">
        <v>838</v>
      </c>
      <c r="O474" s="508" t="s">
        <v>1171</v>
      </c>
      <c r="P474" s="508" t="s">
        <v>826</v>
      </c>
      <c r="Q474" s="508" t="s">
        <v>1173</v>
      </c>
      <c r="R474" s="508" t="s">
        <v>1174</v>
      </c>
      <c r="S474" s="508" t="s">
        <v>839</v>
      </c>
      <c r="T474" s="508" t="s">
        <v>1171</v>
      </c>
      <c r="U474" s="508" t="s">
        <v>1392</v>
      </c>
      <c r="V474" s="508" t="s">
        <v>841</v>
      </c>
      <c r="W474" s="510" t="s">
        <v>1173</v>
      </c>
      <c r="X474" s="508" t="s">
        <v>1394</v>
      </c>
      <c r="Y474" s="508" t="s">
        <v>839</v>
      </c>
      <c r="Z474" s="511"/>
      <c r="AA474" s="512"/>
      <c r="AB474" s="460">
        <v>0.3</v>
      </c>
      <c r="AC474" s="512"/>
      <c r="AD474" s="513"/>
      <c r="AF474" s="515"/>
      <c r="AG474" s="513"/>
      <c r="AH474" s="513"/>
      <c r="AI474" s="513"/>
      <c r="AJ474" s="513"/>
      <c r="AK474" s="513"/>
      <c r="AL474" s="516"/>
      <c r="AM474" s="513"/>
      <c r="AN474" s="513"/>
      <c r="AO474" s="517"/>
      <c r="AP474" s="513"/>
      <c r="AQ474" s="518"/>
      <c r="AR474" s="518"/>
      <c r="AS474" s="518"/>
      <c r="AT474" s="513"/>
      <c r="AU474" s="513"/>
      <c r="AV474" s="517"/>
      <c r="AW474" s="513"/>
      <c r="AX474" s="513"/>
      <c r="AY474" s="513"/>
      <c r="AZ474" s="513"/>
      <c r="BA474" s="513"/>
    </row>
    <row r="475" spans="1:53" s="514" customFormat="1" ht="12" customHeight="1" x14ac:dyDescent="0.25">
      <c r="A475" s="1136"/>
      <c r="B475" s="519" t="s">
        <v>1175</v>
      </c>
      <c r="C475" s="502">
        <f>C482</f>
        <v>1077.5377639221929</v>
      </c>
      <c r="D475" s="570">
        <f>C475*$D$7</f>
        <v>217.66262831228298</v>
      </c>
      <c r="E475" s="573" t="s">
        <v>1176</v>
      </c>
      <c r="F475" s="571"/>
      <c r="G475" s="523"/>
      <c r="H475" s="523"/>
      <c r="I475" s="524">
        <f>SUM(I476:I485)</f>
        <v>109.7187</v>
      </c>
      <c r="J475" s="525" t="s">
        <v>1176</v>
      </c>
      <c r="K475" s="526"/>
      <c r="L475" s="527"/>
      <c r="M475" s="527"/>
      <c r="N475" s="528">
        <f>SUM(N476:N485)</f>
        <v>4.4213899999999997</v>
      </c>
      <c r="O475" s="527" t="s">
        <v>1176</v>
      </c>
      <c r="P475" s="527"/>
      <c r="Q475" s="529"/>
      <c r="R475" s="530"/>
      <c r="S475" s="528">
        <f>SUM(S476:S485)</f>
        <v>9.9028000000000009</v>
      </c>
      <c r="T475" s="528"/>
      <c r="U475" s="528"/>
      <c r="V475" s="528"/>
      <c r="W475" s="528"/>
      <c r="X475" s="528"/>
      <c r="Y475" s="528">
        <f>SUM(Y476:Y485)</f>
        <v>9.1999999999999998E-3</v>
      </c>
      <c r="Z475" s="531">
        <f>(C475+D475+I475+N475+S475+Y475)*$Z$7</f>
        <v>1845.2946103697082</v>
      </c>
      <c r="AA475" s="532">
        <f>C475+D475+I475+N475+S475+Y475+Z475</f>
        <v>3264.5470926041839</v>
      </c>
      <c r="AB475" s="460">
        <v>0.3</v>
      </c>
      <c r="AC475" s="533">
        <f>AA475*(1+AB475)</f>
        <v>4243.9112203854393</v>
      </c>
      <c r="AD475" s="517"/>
      <c r="AF475" s="515"/>
      <c r="AG475" s="513"/>
      <c r="AH475" s="513"/>
      <c r="AI475" s="518"/>
      <c r="AJ475" s="534"/>
      <c r="AK475" s="535"/>
      <c r="AL475" s="516"/>
      <c r="AM475" s="536"/>
      <c r="AN475" s="537"/>
      <c r="AO475" s="536"/>
      <c r="AP475" s="518"/>
      <c r="AQ475" s="518"/>
      <c r="AR475" s="518"/>
      <c r="AS475" s="518"/>
      <c r="AT475" s="518"/>
      <c r="AU475" s="536"/>
      <c r="AV475" s="536"/>
      <c r="AW475" s="538"/>
      <c r="AX475" s="513"/>
      <c r="AY475" s="513"/>
      <c r="AZ475" s="513"/>
      <c r="BA475" s="513"/>
    </row>
    <row r="476" spans="1:53" s="514" customFormat="1" ht="12.75" customHeight="1" x14ac:dyDescent="0.25">
      <c r="A476" s="1136"/>
      <c r="B476" s="572" t="s">
        <v>1177</v>
      </c>
      <c r="C476" s="502"/>
      <c r="D476" s="566"/>
      <c r="E476" s="541" t="s">
        <v>1437</v>
      </c>
      <c r="F476" s="542" t="s">
        <v>1438</v>
      </c>
      <c r="G476" s="543">
        <v>0.74</v>
      </c>
      <c r="H476" s="542">
        <v>0.1</v>
      </c>
      <c r="I476" s="544">
        <f t="shared" ref="I476:I484" si="44">G476*H476</f>
        <v>7.3999999999999996E-2</v>
      </c>
      <c r="J476" s="525" t="s">
        <v>1291</v>
      </c>
      <c r="K476" s="545">
        <v>2</v>
      </c>
      <c r="L476" s="546">
        <v>750</v>
      </c>
      <c r="M476" s="545">
        <v>2</v>
      </c>
      <c r="N476" s="528">
        <v>1.1745000000000001</v>
      </c>
      <c r="O476" s="547" t="s">
        <v>1578</v>
      </c>
      <c r="P476" s="527">
        <v>188900</v>
      </c>
      <c r="Q476" s="548">
        <v>0.19670000000000001</v>
      </c>
      <c r="R476" s="527">
        <f>P476*Q476</f>
        <v>37156.630000000005</v>
      </c>
      <c r="S476" s="527">
        <v>8.1902000000000008</v>
      </c>
      <c r="T476" s="512" t="s">
        <v>1435</v>
      </c>
      <c r="U476" s="523">
        <v>6785401.3499999996</v>
      </c>
      <c r="V476" s="549">
        <v>1.32E-2</v>
      </c>
      <c r="W476" s="512">
        <v>1508.3</v>
      </c>
      <c r="X476" s="528">
        <v>59.38</v>
      </c>
      <c r="Y476" s="527">
        <v>9.1999999999999998E-3</v>
      </c>
      <c r="Z476" s="527"/>
      <c r="AA476" s="512"/>
      <c r="AB476" s="460">
        <v>0.3</v>
      </c>
      <c r="AC476" s="512"/>
      <c r="AD476" s="513"/>
      <c r="AF476" s="550"/>
      <c r="AG476" s="513"/>
      <c r="AH476" s="513"/>
      <c r="AI476" s="513"/>
      <c r="AJ476" s="551"/>
      <c r="AK476" s="513"/>
      <c r="AL476" s="516"/>
      <c r="AM476" s="513"/>
      <c r="AN476" s="513"/>
      <c r="AO476" s="517"/>
      <c r="AP476" s="513"/>
      <c r="AQ476" s="513"/>
      <c r="AR476" s="517"/>
      <c r="AS476" s="517"/>
      <c r="AT476" s="518"/>
      <c r="AU476" s="513"/>
      <c r="AV476" s="517"/>
      <c r="AW476" s="513"/>
      <c r="AX476" s="513"/>
      <c r="AY476" s="513"/>
      <c r="AZ476" s="513"/>
      <c r="BA476" s="513"/>
    </row>
    <row r="477" spans="1:53" s="514" customFormat="1" x14ac:dyDescent="0.25">
      <c r="A477" s="1136"/>
      <c r="B477" s="565" t="s">
        <v>1178</v>
      </c>
      <c r="C477" s="491">
        <f>C466</f>
        <v>43.888814515309463</v>
      </c>
      <c r="D477" s="566"/>
      <c r="E477" s="541" t="s">
        <v>1439</v>
      </c>
      <c r="F477" s="542" t="s">
        <v>1438</v>
      </c>
      <c r="G477" s="543">
        <v>0.27</v>
      </c>
      <c r="H477" s="542">
        <v>0.01</v>
      </c>
      <c r="I477" s="544">
        <f t="shared" si="44"/>
        <v>2.7000000000000001E-3</v>
      </c>
      <c r="J477" s="525" t="s">
        <v>1445</v>
      </c>
      <c r="K477" s="528">
        <v>2</v>
      </c>
      <c r="L477" s="553">
        <v>95</v>
      </c>
      <c r="M477" s="545">
        <v>2</v>
      </c>
      <c r="N477" s="528">
        <v>3.1146400000000001</v>
      </c>
      <c r="O477" s="527" t="s">
        <v>1580</v>
      </c>
      <c r="P477" s="527">
        <v>39500</v>
      </c>
      <c r="Q477" s="548">
        <v>0.19670000000000001</v>
      </c>
      <c r="R477" s="527">
        <f>P477*Q477</f>
        <v>7769.6500000000005</v>
      </c>
      <c r="S477" s="527">
        <v>1.7125999999999999</v>
      </c>
      <c r="T477" s="527"/>
      <c r="U477" s="527"/>
      <c r="V477" s="527"/>
      <c r="W477" s="548"/>
      <c r="X477" s="527"/>
      <c r="Y477" s="527"/>
      <c r="Z477" s="527"/>
      <c r="AA477" s="512"/>
      <c r="AB477" s="460">
        <v>0.3</v>
      </c>
      <c r="AC477" s="512"/>
      <c r="AD477" s="513"/>
      <c r="AF477" s="550"/>
      <c r="AG477" s="513"/>
      <c r="AH477" s="513"/>
      <c r="AI477" s="513"/>
      <c r="AJ477" s="551"/>
      <c r="AK477" s="513"/>
      <c r="AL477" s="516"/>
      <c r="AM477" s="538"/>
      <c r="AN477" s="513"/>
      <c r="AO477" s="517"/>
      <c r="AP477" s="513"/>
      <c r="AQ477" s="513"/>
      <c r="AR477" s="517"/>
      <c r="AS477" s="517"/>
      <c r="AT477" s="513"/>
      <c r="AU477" s="513"/>
      <c r="AV477" s="517"/>
      <c r="AW477" s="513"/>
      <c r="AX477" s="513"/>
      <c r="AY477" s="513"/>
      <c r="AZ477" s="513"/>
      <c r="BA477" s="513"/>
    </row>
    <row r="478" spans="1:53" s="514" customFormat="1" ht="12.75" customHeight="1" x14ac:dyDescent="0.25">
      <c r="A478" s="1136"/>
      <c r="B478" s="521" t="s">
        <v>1179</v>
      </c>
      <c r="C478" s="487">
        <f>C467</f>
        <v>19.495759833054819</v>
      </c>
      <c r="D478" s="566"/>
      <c r="E478" s="541" t="s">
        <v>1440</v>
      </c>
      <c r="F478" s="542" t="s">
        <v>1441</v>
      </c>
      <c r="G478" s="543">
        <v>5.92</v>
      </c>
      <c r="H478" s="555">
        <v>1</v>
      </c>
      <c r="I478" s="544">
        <f t="shared" si="44"/>
        <v>5.92</v>
      </c>
      <c r="J478" s="525" t="s">
        <v>1513</v>
      </c>
      <c r="K478" s="528">
        <v>2</v>
      </c>
      <c r="L478" s="528">
        <v>25</v>
      </c>
      <c r="M478" s="545">
        <v>0.5</v>
      </c>
      <c r="N478" s="528">
        <v>0.13225000000000001</v>
      </c>
      <c r="O478" s="527"/>
      <c r="P478" s="527"/>
      <c r="Q478" s="548"/>
      <c r="R478" s="527"/>
      <c r="S478" s="527"/>
      <c r="T478" s="527"/>
      <c r="U478" s="527"/>
      <c r="V478" s="527"/>
      <c r="W478" s="548"/>
      <c r="X478" s="527"/>
      <c r="Y478" s="527"/>
      <c r="Z478" s="527"/>
      <c r="AA478" s="512"/>
      <c r="AB478" s="460">
        <v>0.3</v>
      </c>
      <c r="AC478" s="512"/>
      <c r="AD478" s="513"/>
      <c r="AF478" s="550"/>
      <c r="AG478" s="513"/>
      <c r="AH478" s="513"/>
      <c r="AI478" s="513"/>
      <c r="AJ478" s="551"/>
      <c r="AK478" s="513"/>
      <c r="AL478" s="516"/>
      <c r="AM478" s="513"/>
      <c r="AN478" s="513"/>
      <c r="AO478" s="517"/>
      <c r="AP478" s="513"/>
      <c r="AQ478" s="513"/>
      <c r="AR478" s="517"/>
      <c r="AS478" s="517"/>
      <c r="AT478" s="513"/>
      <c r="AU478" s="513"/>
      <c r="AV478" s="517"/>
      <c r="AW478" s="513"/>
      <c r="AX478" s="513"/>
      <c r="AY478" s="513"/>
      <c r="AZ478" s="513"/>
      <c r="BA478" s="513"/>
    </row>
    <row r="479" spans="1:53" s="514" customFormat="1" ht="12.75" customHeight="1" x14ac:dyDescent="0.25">
      <c r="A479" s="1136"/>
      <c r="B479" s="521" t="s">
        <v>1180</v>
      </c>
      <c r="C479" s="567"/>
      <c r="D479" s="566"/>
      <c r="E479" s="541" t="s">
        <v>1442</v>
      </c>
      <c r="F479" s="542" t="s">
        <v>1443</v>
      </c>
      <c r="G479" s="543">
        <v>419.5</v>
      </c>
      <c r="H479" s="542">
        <v>0.01</v>
      </c>
      <c r="I479" s="544">
        <f t="shared" si="44"/>
        <v>4.1950000000000003</v>
      </c>
      <c r="J479" s="525"/>
      <c r="K479" s="557"/>
      <c r="L479" s="528"/>
      <c r="M479" s="528"/>
      <c r="N479" s="528"/>
      <c r="O479" s="527"/>
      <c r="P479" s="527"/>
      <c r="Q479" s="527"/>
      <c r="R479" s="527"/>
      <c r="S479" s="527"/>
      <c r="T479" s="527"/>
      <c r="U479" s="527"/>
      <c r="V479" s="527"/>
      <c r="W479" s="527"/>
      <c r="X479" s="527"/>
      <c r="Y479" s="527"/>
      <c r="Z479" s="527"/>
      <c r="AA479" s="512"/>
      <c r="AB479" s="460">
        <v>0.3</v>
      </c>
      <c r="AC479" s="512"/>
      <c r="AD479" s="513"/>
      <c r="AF479" s="550"/>
      <c r="AG479" s="513"/>
      <c r="AH479" s="513"/>
      <c r="AI479" s="513"/>
      <c r="AJ479" s="551"/>
      <c r="AK479" s="513"/>
      <c r="AL479" s="516"/>
      <c r="AM479" s="513"/>
      <c r="AN479" s="513"/>
      <c r="AO479" s="517"/>
      <c r="AP479" s="513"/>
      <c r="AQ479" s="513"/>
      <c r="AR479" s="517"/>
      <c r="AS479" s="517"/>
      <c r="AT479" s="513"/>
      <c r="AU479" s="513"/>
      <c r="AV479" s="517"/>
      <c r="AW479" s="513"/>
      <c r="AX479" s="513"/>
      <c r="AY479" s="513"/>
      <c r="AZ479" s="513"/>
      <c r="BA479" s="513"/>
    </row>
    <row r="480" spans="1:53" s="514" customFormat="1" ht="12.75" customHeight="1" x14ac:dyDescent="0.25">
      <c r="A480" s="1136"/>
      <c r="B480" s="565" t="s">
        <v>1178</v>
      </c>
      <c r="C480" s="568">
        <v>17</v>
      </c>
      <c r="D480" s="566"/>
      <c r="E480" s="541" t="s">
        <v>1444</v>
      </c>
      <c r="F480" s="542" t="s">
        <v>1443</v>
      </c>
      <c r="G480" s="543">
        <v>872</v>
      </c>
      <c r="H480" s="542">
        <v>5.0000000000000001E-3</v>
      </c>
      <c r="I480" s="544">
        <f t="shared" si="44"/>
        <v>4.3600000000000003</v>
      </c>
      <c r="J480" s="525"/>
      <c r="K480" s="557"/>
      <c r="L480" s="528"/>
      <c r="M480" s="528"/>
      <c r="N480" s="528"/>
      <c r="O480" s="527"/>
      <c r="P480" s="527"/>
      <c r="Q480" s="527"/>
      <c r="R480" s="527"/>
      <c r="S480" s="527"/>
      <c r="T480" s="527"/>
      <c r="U480" s="527"/>
      <c r="V480" s="527"/>
      <c r="W480" s="527"/>
      <c r="X480" s="527"/>
      <c r="Y480" s="527"/>
      <c r="Z480" s="527"/>
      <c r="AA480" s="512"/>
      <c r="AB480" s="460">
        <v>0.3</v>
      </c>
      <c r="AC480" s="512"/>
      <c r="AD480" s="513"/>
      <c r="AF480" s="550"/>
      <c r="AG480" s="513"/>
      <c r="AH480" s="513"/>
      <c r="AI480" s="513"/>
      <c r="AJ480" s="558"/>
      <c r="AK480" s="513"/>
      <c r="AL480" s="516"/>
      <c r="AM480" s="513"/>
      <c r="AN480" s="513"/>
      <c r="AO480" s="517"/>
      <c r="AP480" s="513"/>
      <c r="AQ480" s="513"/>
      <c r="AR480" s="517"/>
      <c r="AS480" s="517"/>
      <c r="AT480" s="513"/>
      <c r="AU480" s="513"/>
      <c r="AV480" s="517"/>
      <c r="AW480" s="513"/>
      <c r="AX480" s="513"/>
      <c r="AY480" s="513"/>
      <c r="AZ480" s="513"/>
      <c r="BA480" s="513"/>
    </row>
    <row r="481" spans="1:53" s="514" customFormat="1" ht="12.75" customHeight="1" x14ac:dyDescent="0.25">
      <c r="A481" s="1136"/>
      <c r="B481" s="521" t="s">
        <v>1179</v>
      </c>
      <c r="C481" s="568">
        <v>17</v>
      </c>
      <c r="D481" s="566"/>
      <c r="E481" s="559" t="s">
        <v>582</v>
      </c>
      <c r="F481" s="560" t="s">
        <v>1438</v>
      </c>
      <c r="G481" s="543">
        <v>149.77000000000001</v>
      </c>
      <c r="H481" s="542">
        <v>0.6</v>
      </c>
      <c r="I481" s="544">
        <f t="shared" si="44"/>
        <v>89.862000000000009</v>
      </c>
      <c r="J481" s="525"/>
      <c r="K481" s="557"/>
      <c r="L481" s="546"/>
      <c r="M481" s="545"/>
      <c r="N481" s="528"/>
      <c r="O481" s="527"/>
      <c r="P481" s="527"/>
      <c r="Q481" s="527"/>
      <c r="R481" s="527"/>
      <c r="S481" s="527"/>
      <c r="T481" s="527"/>
      <c r="U481" s="527"/>
      <c r="V481" s="527"/>
      <c r="W481" s="527"/>
      <c r="X481" s="527"/>
      <c r="Y481" s="527"/>
      <c r="Z481" s="527"/>
      <c r="AA481" s="512"/>
      <c r="AB481" s="460">
        <v>0.3</v>
      </c>
      <c r="AC481" s="512"/>
      <c r="AD481" s="513"/>
      <c r="AF481" s="550"/>
      <c r="AG481" s="513"/>
      <c r="AH481" s="513"/>
      <c r="AI481" s="513"/>
      <c r="AJ481" s="558"/>
      <c r="AK481" s="513"/>
      <c r="AL481" s="516"/>
      <c r="AM481" s="513"/>
      <c r="AN481" s="513"/>
      <c r="AO481" s="517"/>
      <c r="AP481" s="513"/>
      <c r="AQ481" s="513"/>
      <c r="AR481" s="517"/>
      <c r="AS481" s="517"/>
      <c r="AT481" s="513"/>
      <c r="AU481" s="513"/>
      <c r="AV481" s="517"/>
      <c r="AW481" s="513"/>
      <c r="AX481" s="513"/>
      <c r="AY481" s="513"/>
      <c r="AZ481" s="513"/>
      <c r="BA481" s="513"/>
    </row>
    <row r="482" spans="1:53" s="514" customFormat="1" ht="12.75" customHeight="1" x14ac:dyDescent="0.25">
      <c r="A482" s="1136"/>
      <c r="B482" s="569" t="s">
        <v>1181</v>
      </c>
      <c r="C482" s="502">
        <f>C477*C480+C478*C481</f>
        <v>1077.5377639221929</v>
      </c>
      <c r="D482" s="566"/>
      <c r="E482" s="559" t="s">
        <v>26</v>
      </c>
      <c r="F482" s="560" t="s">
        <v>1</v>
      </c>
      <c r="G482" s="543">
        <v>6.67</v>
      </c>
      <c r="H482" s="542">
        <v>0.5</v>
      </c>
      <c r="I482" s="544">
        <f t="shared" si="44"/>
        <v>3.335</v>
      </c>
      <c r="J482" s="525"/>
      <c r="K482" s="557"/>
      <c r="L482" s="528"/>
      <c r="M482" s="528"/>
      <c r="N482" s="528"/>
      <c r="O482" s="527"/>
      <c r="P482" s="527"/>
      <c r="Q482" s="527"/>
      <c r="R482" s="527"/>
      <c r="S482" s="527"/>
      <c r="T482" s="527"/>
      <c r="U482" s="527"/>
      <c r="V482" s="527"/>
      <c r="W482" s="527"/>
      <c r="X482" s="527"/>
      <c r="Y482" s="527"/>
      <c r="Z482" s="527"/>
      <c r="AA482" s="512"/>
      <c r="AB482" s="460">
        <v>0.3</v>
      </c>
      <c r="AC482" s="512"/>
      <c r="AD482" s="513"/>
      <c r="AF482" s="550"/>
      <c r="AG482" s="513"/>
      <c r="AH482" s="513"/>
      <c r="AI482" s="513"/>
      <c r="AJ482" s="551"/>
      <c r="AK482" s="513"/>
      <c r="AL482" s="516"/>
      <c r="AM482" s="513"/>
      <c r="AN482" s="513"/>
      <c r="AO482" s="517"/>
      <c r="AP482" s="513"/>
      <c r="AQ482" s="513"/>
      <c r="AR482" s="517"/>
      <c r="AS482" s="517"/>
      <c r="AT482" s="513"/>
      <c r="AU482" s="513"/>
      <c r="AV482" s="517"/>
      <c r="AW482" s="513"/>
      <c r="AX482" s="513"/>
      <c r="AY482" s="513"/>
      <c r="AZ482" s="513"/>
      <c r="BA482" s="513"/>
    </row>
    <row r="483" spans="1:53" s="514" customFormat="1" ht="12.75" customHeight="1" x14ac:dyDescent="0.25">
      <c r="A483" s="1136"/>
      <c r="B483" s="569"/>
      <c r="C483" s="502"/>
      <c r="D483" s="566"/>
      <c r="E483" s="559" t="s">
        <v>18</v>
      </c>
      <c r="F483" s="560" t="s">
        <v>1438</v>
      </c>
      <c r="G483" s="543">
        <v>0.94</v>
      </c>
      <c r="H483" s="542">
        <v>0.5</v>
      </c>
      <c r="I483" s="544">
        <f t="shared" si="44"/>
        <v>0.47</v>
      </c>
      <c r="J483" s="525"/>
      <c r="K483" s="557"/>
      <c r="L483" s="528"/>
      <c r="M483" s="528"/>
      <c r="N483" s="528"/>
      <c r="O483" s="527"/>
      <c r="P483" s="527"/>
      <c r="Q483" s="527"/>
      <c r="R483" s="527"/>
      <c r="S483" s="527"/>
      <c r="T483" s="527"/>
      <c r="U483" s="527"/>
      <c r="V483" s="527"/>
      <c r="W483" s="527"/>
      <c r="X483" s="527"/>
      <c r="Y483" s="527"/>
      <c r="Z483" s="527"/>
      <c r="AA483" s="512"/>
      <c r="AB483" s="460"/>
      <c r="AC483" s="512"/>
      <c r="AD483" s="513"/>
      <c r="AF483" s="550"/>
      <c r="AG483" s="513"/>
      <c r="AH483" s="513"/>
      <c r="AI483" s="513"/>
      <c r="AJ483" s="551"/>
      <c r="AK483" s="513"/>
      <c r="AL483" s="516"/>
      <c r="AM483" s="513"/>
      <c r="AN483" s="513"/>
      <c r="AO483" s="517"/>
      <c r="AP483" s="513"/>
      <c r="AQ483" s="513"/>
      <c r="AR483" s="517"/>
      <c r="AS483" s="517"/>
      <c r="AT483" s="513"/>
      <c r="AU483" s="513"/>
      <c r="AV483" s="517"/>
      <c r="AW483" s="513"/>
      <c r="AX483" s="513"/>
      <c r="AY483" s="513"/>
      <c r="AZ483" s="513"/>
      <c r="BA483" s="513"/>
    </row>
    <row r="484" spans="1:53" s="514" customFormat="1" ht="12.75" customHeight="1" x14ac:dyDescent="0.25">
      <c r="A484" s="1136"/>
      <c r="B484" s="569"/>
      <c r="C484" s="502"/>
      <c r="D484" s="566"/>
      <c r="E484" s="559" t="s">
        <v>13</v>
      </c>
      <c r="F484" s="560" t="s">
        <v>1441</v>
      </c>
      <c r="G484" s="543">
        <v>1.5</v>
      </c>
      <c r="H484" s="542">
        <v>1</v>
      </c>
      <c r="I484" s="544">
        <f t="shared" si="44"/>
        <v>1.5</v>
      </c>
      <c r="J484" s="525"/>
      <c r="K484" s="557"/>
      <c r="L484" s="528"/>
      <c r="M484" s="528"/>
      <c r="N484" s="528"/>
      <c r="O484" s="527"/>
      <c r="P484" s="527"/>
      <c r="Q484" s="527"/>
      <c r="R484" s="527"/>
      <c r="S484" s="527"/>
      <c r="T484" s="527"/>
      <c r="U484" s="527"/>
      <c r="V484" s="527"/>
      <c r="W484" s="527"/>
      <c r="X484" s="527"/>
      <c r="Y484" s="527"/>
      <c r="Z484" s="527"/>
      <c r="AA484" s="512"/>
      <c r="AB484" s="460"/>
      <c r="AC484" s="512"/>
      <c r="AD484" s="513"/>
      <c r="AF484" s="550"/>
      <c r="AG484" s="513"/>
      <c r="AH484" s="513"/>
      <c r="AI484" s="513"/>
      <c r="AJ484" s="551"/>
      <c r="AK484" s="513"/>
      <c r="AL484" s="516"/>
      <c r="AM484" s="513"/>
      <c r="AN484" s="513"/>
      <c r="AO484" s="517"/>
      <c r="AP484" s="513"/>
      <c r="AQ484" s="513"/>
      <c r="AR484" s="517"/>
      <c r="AS484" s="517"/>
      <c r="AT484" s="513"/>
      <c r="AU484" s="513"/>
      <c r="AV484" s="517"/>
      <c r="AW484" s="513"/>
      <c r="AX484" s="513"/>
      <c r="AY484" s="513"/>
      <c r="AZ484" s="513"/>
      <c r="BA484" s="513"/>
    </row>
    <row r="485" spans="1:53" s="514" customFormat="1" ht="12.75" customHeight="1" x14ac:dyDescent="0.25">
      <c r="A485" s="1136"/>
      <c r="B485" s="569"/>
      <c r="C485" s="568"/>
      <c r="D485" s="566"/>
      <c r="E485" s="573"/>
      <c r="F485" s="574"/>
      <c r="G485" s="543"/>
      <c r="H485" s="523"/>
      <c r="I485" s="544"/>
      <c r="J485" s="525"/>
      <c r="K485" s="557"/>
      <c r="L485" s="528"/>
      <c r="M485" s="528"/>
      <c r="N485" s="528"/>
      <c r="O485" s="527"/>
      <c r="P485" s="527"/>
      <c r="Q485" s="527"/>
      <c r="R485" s="527"/>
      <c r="S485" s="527"/>
      <c r="T485" s="527"/>
      <c r="U485" s="527"/>
      <c r="V485" s="527"/>
      <c r="W485" s="527"/>
      <c r="X485" s="527"/>
      <c r="Y485" s="527"/>
      <c r="Z485" s="527"/>
      <c r="AA485" s="512"/>
      <c r="AB485" s="460">
        <v>0.3</v>
      </c>
      <c r="AC485" s="512"/>
      <c r="AD485" s="513"/>
      <c r="AF485" s="517"/>
      <c r="AG485" s="513"/>
      <c r="AH485" s="513"/>
      <c r="AI485" s="513"/>
      <c r="AJ485" s="558"/>
      <c r="AK485" s="513"/>
      <c r="AL485" s="516"/>
      <c r="AM485" s="513"/>
      <c r="AN485" s="513"/>
      <c r="AO485" s="517"/>
      <c r="AP485" s="513"/>
      <c r="AQ485" s="513"/>
      <c r="AR485" s="517"/>
      <c r="AS485" s="517"/>
      <c r="AT485" s="513"/>
      <c r="AU485" s="513"/>
      <c r="AV485" s="517"/>
      <c r="AW485" s="513"/>
      <c r="AX485" s="513"/>
      <c r="AY485" s="513"/>
      <c r="AZ485" s="513"/>
      <c r="BA485" s="513"/>
    </row>
    <row r="486" spans="1:53" s="514" customFormat="1" ht="56.25" customHeight="1" x14ac:dyDescent="0.25">
      <c r="A486" s="1136" t="s">
        <v>1534</v>
      </c>
      <c r="B486" s="503"/>
      <c r="C486" s="502"/>
      <c r="D486" s="570"/>
      <c r="E486" s="576" t="s">
        <v>488</v>
      </c>
      <c r="F486" s="507" t="s">
        <v>837</v>
      </c>
      <c r="G486" s="503" t="s">
        <v>489</v>
      </c>
      <c r="H486" s="505" t="s">
        <v>1170</v>
      </c>
      <c r="I486" s="507" t="s">
        <v>838</v>
      </c>
      <c r="J486" s="508" t="s">
        <v>1171</v>
      </c>
      <c r="K486" s="508" t="s">
        <v>490</v>
      </c>
      <c r="L486" s="509" t="s">
        <v>489</v>
      </c>
      <c r="M486" s="508" t="s">
        <v>1172</v>
      </c>
      <c r="N486" s="507" t="s">
        <v>838</v>
      </c>
      <c r="O486" s="508" t="s">
        <v>1171</v>
      </c>
      <c r="P486" s="508" t="s">
        <v>826</v>
      </c>
      <c r="Q486" s="508" t="s">
        <v>1173</v>
      </c>
      <c r="R486" s="508" t="s">
        <v>1174</v>
      </c>
      <c r="S486" s="508" t="s">
        <v>839</v>
      </c>
      <c r="T486" s="508" t="s">
        <v>1171</v>
      </c>
      <c r="U486" s="508" t="s">
        <v>1392</v>
      </c>
      <c r="V486" s="508" t="s">
        <v>841</v>
      </c>
      <c r="W486" s="510" t="s">
        <v>1173</v>
      </c>
      <c r="X486" s="508" t="s">
        <v>1394</v>
      </c>
      <c r="Y486" s="508" t="s">
        <v>839</v>
      </c>
      <c r="Z486" s="511"/>
      <c r="AA486" s="512"/>
      <c r="AB486" s="460">
        <v>0.3</v>
      </c>
      <c r="AC486" s="512"/>
      <c r="AD486" s="513"/>
      <c r="AF486" s="515"/>
      <c r="AG486" s="513"/>
      <c r="AH486" s="513"/>
      <c r="AI486" s="513"/>
      <c r="AJ486" s="513"/>
      <c r="AK486" s="513"/>
      <c r="AL486" s="516"/>
      <c r="AM486" s="513"/>
      <c r="AN486" s="513"/>
      <c r="AO486" s="517"/>
      <c r="AP486" s="513"/>
      <c r="AQ486" s="518"/>
      <c r="AR486" s="518"/>
      <c r="AS486" s="518"/>
      <c r="AT486" s="513"/>
      <c r="AU486" s="513"/>
      <c r="AV486" s="517"/>
      <c r="AW486" s="513"/>
      <c r="AX486" s="513"/>
      <c r="AY486" s="513"/>
      <c r="AZ486" s="513"/>
      <c r="BA486" s="513"/>
    </row>
    <row r="487" spans="1:53" s="514" customFormat="1" ht="12" customHeight="1" x14ac:dyDescent="0.25">
      <c r="A487" s="1136"/>
      <c r="B487" s="519" t="s">
        <v>1175</v>
      </c>
      <c r="C487" s="502">
        <f>C494</f>
        <v>126.76914869672856</v>
      </c>
      <c r="D487" s="570">
        <f>C487*$D$7</f>
        <v>25.607368036739171</v>
      </c>
      <c r="E487" s="573" t="s">
        <v>1176</v>
      </c>
      <c r="F487" s="571"/>
      <c r="G487" s="523"/>
      <c r="H487" s="523"/>
      <c r="I487" s="524">
        <f>SUM(I488:I495)</f>
        <v>16.3477</v>
      </c>
      <c r="J487" s="525" t="s">
        <v>1176</v>
      </c>
      <c r="K487" s="526"/>
      <c r="L487" s="527"/>
      <c r="M487" s="527"/>
      <c r="N487" s="528">
        <f>SUM(N488:N495)</f>
        <v>4.4213899999999997</v>
      </c>
      <c r="O487" s="527" t="s">
        <v>1176</v>
      </c>
      <c r="P487" s="527"/>
      <c r="Q487" s="529"/>
      <c r="R487" s="530"/>
      <c r="S487" s="528">
        <f>SUM(S488:S495)</f>
        <v>9.9028000000000009</v>
      </c>
      <c r="T487" s="528"/>
      <c r="U487" s="528"/>
      <c r="V487" s="528"/>
      <c r="W487" s="528"/>
      <c r="X487" s="528"/>
      <c r="Y487" s="528">
        <f>SUM(Y488:Y495)</f>
        <v>9.1999999999999998E-3</v>
      </c>
      <c r="Z487" s="531">
        <f>(C487+D487+I487+N487+S487+Y487)*$Z$7</f>
        <v>238.00924734732166</v>
      </c>
      <c r="AA487" s="532">
        <f>C487+D487+I487+N487+S487+Y487+Z487</f>
        <v>421.06685408078943</v>
      </c>
      <c r="AB487" s="460">
        <v>0.3</v>
      </c>
      <c r="AC487" s="533">
        <f>AA487*(1+AB487)</f>
        <v>547.38691030502628</v>
      </c>
      <c r="AD487" s="517"/>
      <c r="AF487" s="515"/>
      <c r="AG487" s="513"/>
      <c r="AH487" s="513"/>
      <c r="AI487" s="518"/>
      <c r="AJ487" s="534"/>
      <c r="AK487" s="535"/>
      <c r="AL487" s="516"/>
      <c r="AM487" s="536"/>
      <c r="AN487" s="537"/>
      <c r="AO487" s="536"/>
      <c r="AP487" s="518"/>
      <c r="AQ487" s="518"/>
      <c r="AR487" s="518"/>
      <c r="AS487" s="518"/>
      <c r="AT487" s="518"/>
      <c r="AU487" s="536"/>
      <c r="AV487" s="536"/>
      <c r="AW487" s="538"/>
      <c r="AX487" s="513"/>
      <c r="AY487" s="513"/>
      <c r="AZ487" s="513"/>
      <c r="BA487" s="513"/>
    </row>
    <row r="488" spans="1:53" s="514" customFormat="1" ht="12.75" customHeight="1" x14ac:dyDescent="0.25">
      <c r="A488" s="1136"/>
      <c r="B488" s="572" t="s">
        <v>1177</v>
      </c>
      <c r="C488" s="502"/>
      <c r="D488" s="566"/>
      <c r="E488" s="541" t="s">
        <v>1437</v>
      </c>
      <c r="F488" s="542" t="s">
        <v>1438</v>
      </c>
      <c r="G488" s="543">
        <v>0.74</v>
      </c>
      <c r="H488" s="542">
        <v>0.5</v>
      </c>
      <c r="I488" s="544">
        <f t="shared" ref="I488:I493" si="45">G488*H488</f>
        <v>0.37</v>
      </c>
      <c r="J488" s="525" t="s">
        <v>1291</v>
      </c>
      <c r="K488" s="545">
        <v>2</v>
      </c>
      <c r="L488" s="546">
        <v>750</v>
      </c>
      <c r="M488" s="545">
        <v>2</v>
      </c>
      <c r="N488" s="528">
        <v>1.1745000000000001</v>
      </c>
      <c r="O488" s="547" t="s">
        <v>1578</v>
      </c>
      <c r="P488" s="527">
        <v>188900</v>
      </c>
      <c r="Q488" s="548">
        <v>0.19670000000000001</v>
      </c>
      <c r="R488" s="527">
        <f>P488*Q488</f>
        <v>37156.630000000005</v>
      </c>
      <c r="S488" s="527">
        <v>8.1902000000000008</v>
      </c>
      <c r="T488" s="512" t="s">
        <v>1435</v>
      </c>
      <c r="U488" s="523">
        <v>6785401.3499999996</v>
      </c>
      <c r="V488" s="549">
        <v>1.32E-2</v>
      </c>
      <c r="W488" s="512">
        <v>1508.3</v>
      </c>
      <c r="X488" s="528">
        <v>59.38</v>
      </c>
      <c r="Y488" s="527">
        <v>9.1999999999999998E-3</v>
      </c>
      <c r="Z488" s="527"/>
      <c r="AA488" s="512"/>
      <c r="AB488" s="460">
        <v>0.3</v>
      </c>
      <c r="AC488" s="512"/>
      <c r="AD488" s="513"/>
      <c r="AF488" s="550"/>
      <c r="AG488" s="513"/>
      <c r="AH488" s="513"/>
      <c r="AI488" s="513"/>
      <c r="AJ488" s="551"/>
      <c r="AK488" s="513"/>
      <c r="AL488" s="516"/>
      <c r="AM488" s="513"/>
      <c r="AN488" s="513"/>
      <c r="AO488" s="517"/>
      <c r="AP488" s="513"/>
      <c r="AQ488" s="513"/>
      <c r="AR488" s="517"/>
      <c r="AS488" s="517"/>
      <c r="AT488" s="518"/>
      <c r="AU488" s="513"/>
      <c r="AV488" s="517"/>
      <c r="AW488" s="513"/>
      <c r="AX488" s="513"/>
      <c r="AY488" s="513"/>
      <c r="AZ488" s="513"/>
      <c r="BA488" s="513"/>
    </row>
    <row r="489" spans="1:53" s="514" customFormat="1" x14ac:dyDescent="0.25">
      <c r="A489" s="1136"/>
      <c r="B489" s="565" t="s">
        <v>1178</v>
      </c>
      <c r="C489" s="491">
        <f>C477</f>
        <v>43.888814515309463</v>
      </c>
      <c r="D489" s="566"/>
      <c r="E489" s="541" t="s">
        <v>1439</v>
      </c>
      <c r="F489" s="542" t="s">
        <v>1438</v>
      </c>
      <c r="G489" s="543">
        <v>0.27</v>
      </c>
      <c r="H489" s="542">
        <v>0.01</v>
      </c>
      <c r="I489" s="544">
        <f t="shared" si="45"/>
        <v>2.7000000000000001E-3</v>
      </c>
      <c r="J489" s="525" t="s">
        <v>1445</v>
      </c>
      <c r="K489" s="528">
        <v>2</v>
      </c>
      <c r="L489" s="553">
        <v>95</v>
      </c>
      <c r="M489" s="545">
        <v>2</v>
      </c>
      <c r="N489" s="528">
        <v>3.1146400000000001</v>
      </c>
      <c r="O489" s="527" t="s">
        <v>1580</v>
      </c>
      <c r="P489" s="527">
        <v>39500</v>
      </c>
      <c r="Q489" s="548">
        <v>0.19670000000000001</v>
      </c>
      <c r="R489" s="527">
        <f>P489*Q489</f>
        <v>7769.6500000000005</v>
      </c>
      <c r="S489" s="527">
        <v>1.7125999999999999</v>
      </c>
      <c r="T489" s="527"/>
      <c r="U489" s="527"/>
      <c r="V489" s="527"/>
      <c r="W489" s="548"/>
      <c r="X489" s="527"/>
      <c r="Y489" s="527"/>
      <c r="Z489" s="527"/>
      <c r="AA489" s="512"/>
      <c r="AB489" s="460">
        <v>0.3</v>
      </c>
      <c r="AC489" s="512"/>
      <c r="AD489" s="513"/>
      <c r="AF489" s="550"/>
      <c r="AG489" s="513"/>
      <c r="AH489" s="513"/>
      <c r="AI489" s="513"/>
      <c r="AJ489" s="551"/>
      <c r="AK489" s="513"/>
      <c r="AL489" s="516"/>
      <c r="AM489" s="538"/>
      <c r="AN489" s="513"/>
      <c r="AO489" s="517"/>
      <c r="AP489" s="513"/>
      <c r="AQ489" s="513"/>
      <c r="AR489" s="517"/>
      <c r="AS489" s="517"/>
      <c r="AT489" s="513"/>
      <c r="AU489" s="513"/>
      <c r="AV489" s="517"/>
      <c r="AW489" s="513"/>
      <c r="AX489" s="513"/>
      <c r="AY489" s="513"/>
      <c r="AZ489" s="513"/>
      <c r="BA489" s="513"/>
    </row>
    <row r="490" spans="1:53" s="514" customFormat="1" ht="12.75" customHeight="1" x14ac:dyDescent="0.25">
      <c r="A490" s="1136"/>
      <c r="B490" s="521" t="s">
        <v>1179</v>
      </c>
      <c r="C490" s="487">
        <f>C478</f>
        <v>19.495759833054819</v>
      </c>
      <c r="D490" s="566"/>
      <c r="E490" s="541" t="s">
        <v>1440</v>
      </c>
      <c r="F490" s="542" t="s">
        <v>1441</v>
      </c>
      <c r="G490" s="543">
        <v>5.92</v>
      </c>
      <c r="H490" s="555">
        <v>1</v>
      </c>
      <c r="I490" s="544">
        <f t="shared" si="45"/>
        <v>5.92</v>
      </c>
      <c r="J490" s="525" t="s">
        <v>1513</v>
      </c>
      <c r="K490" s="528">
        <v>2</v>
      </c>
      <c r="L490" s="528">
        <v>25</v>
      </c>
      <c r="M490" s="545">
        <v>0.5</v>
      </c>
      <c r="N490" s="528">
        <v>0.13225000000000001</v>
      </c>
      <c r="O490" s="527"/>
      <c r="P490" s="527"/>
      <c r="Q490" s="548"/>
      <c r="R490" s="527"/>
      <c r="S490" s="527"/>
      <c r="T490" s="527"/>
      <c r="U490" s="527"/>
      <c r="V490" s="527"/>
      <c r="W490" s="548"/>
      <c r="X490" s="527"/>
      <c r="Y490" s="527"/>
      <c r="Z490" s="527"/>
      <c r="AA490" s="512"/>
      <c r="AB490" s="460">
        <v>0.3</v>
      </c>
      <c r="AC490" s="512"/>
      <c r="AD490" s="513"/>
      <c r="AF490" s="550"/>
      <c r="AG490" s="513"/>
      <c r="AH490" s="513"/>
      <c r="AI490" s="513"/>
      <c r="AJ490" s="551"/>
      <c r="AK490" s="513"/>
      <c r="AL490" s="516"/>
      <c r="AM490" s="513"/>
      <c r="AN490" s="513"/>
      <c r="AO490" s="517"/>
      <c r="AP490" s="513"/>
      <c r="AQ490" s="513"/>
      <c r="AR490" s="517"/>
      <c r="AS490" s="517"/>
      <c r="AT490" s="513"/>
      <c r="AU490" s="513"/>
      <c r="AV490" s="517"/>
      <c r="AW490" s="513"/>
      <c r="AX490" s="513"/>
      <c r="AY490" s="513"/>
      <c r="AZ490" s="513"/>
      <c r="BA490" s="513"/>
    </row>
    <row r="491" spans="1:53" s="514" customFormat="1" ht="12.75" customHeight="1" x14ac:dyDescent="0.25">
      <c r="A491" s="1136"/>
      <c r="B491" s="521" t="s">
        <v>1180</v>
      </c>
      <c r="C491" s="567"/>
      <c r="D491" s="566"/>
      <c r="E491" s="541" t="s">
        <v>1442</v>
      </c>
      <c r="F491" s="542" t="s">
        <v>1443</v>
      </c>
      <c r="G491" s="543">
        <v>419.5</v>
      </c>
      <c r="H491" s="542">
        <v>0.01</v>
      </c>
      <c r="I491" s="544">
        <f t="shared" si="45"/>
        <v>4.1950000000000003</v>
      </c>
      <c r="J491" s="525"/>
      <c r="K491" s="557"/>
      <c r="L491" s="528"/>
      <c r="M491" s="528"/>
      <c r="N491" s="528"/>
      <c r="O491" s="527"/>
      <c r="P491" s="527"/>
      <c r="Q491" s="527"/>
      <c r="R491" s="527"/>
      <c r="S491" s="527"/>
      <c r="T491" s="527"/>
      <c r="U491" s="527"/>
      <c r="V491" s="527"/>
      <c r="W491" s="527"/>
      <c r="X491" s="527"/>
      <c r="Y491" s="527"/>
      <c r="Z491" s="527"/>
      <c r="AA491" s="512"/>
      <c r="AB491" s="460">
        <v>0.3</v>
      </c>
      <c r="AC491" s="512"/>
      <c r="AD491" s="513"/>
      <c r="AF491" s="550"/>
      <c r="AG491" s="513"/>
      <c r="AH491" s="513"/>
      <c r="AI491" s="513"/>
      <c r="AJ491" s="551"/>
      <c r="AK491" s="513"/>
      <c r="AL491" s="516"/>
      <c r="AM491" s="513"/>
      <c r="AN491" s="513"/>
      <c r="AO491" s="517"/>
      <c r="AP491" s="513"/>
      <c r="AQ491" s="513"/>
      <c r="AR491" s="517"/>
      <c r="AS491" s="517"/>
      <c r="AT491" s="513"/>
      <c r="AU491" s="513"/>
      <c r="AV491" s="517"/>
      <c r="AW491" s="513"/>
      <c r="AX491" s="513"/>
      <c r="AY491" s="513"/>
      <c r="AZ491" s="513"/>
      <c r="BA491" s="513"/>
    </row>
    <row r="492" spans="1:53" s="514" customFormat="1" ht="12.75" customHeight="1" x14ac:dyDescent="0.25">
      <c r="A492" s="1136"/>
      <c r="B492" s="565" t="s">
        <v>1178</v>
      </c>
      <c r="C492" s="568">
        <v>2</v>
      </c>
      <c r="D492" s="566"/>
      <c r="E492" s="541" t="s">
        <v>1444</v>
      </c>
      <c r="F492" s="542" t="s">
        <v>1443</v>
      </c>
      <c r="G492" s="543">
        <v>872</v>
      </c>
      <c r="H492" s="542">
        <v>5.0000000000000001E-3</v>
      </c>
      <c r="I492" s="544">
        <f t="shared" si="45"/>
        <v>4.3600000000000003</v>
      </c>
      <c r="J492" s="525"/>
      <c r="K492" s="557"/>
      <c r="L492" s="528"/>
      <c r="M492" s="528"/>
      <c r="N492" s="528"/>
      <c r="O492" s="527"/>
      <c r="P492" s="527"/>
      <c r="Q492" s="527"/>
      <c r="R492" s="527"/>
      <c r="S492" s="527"/>
      <c r="T492" s="527"/>
      <c r="U492" s="527"/>
      <c r="V492" s="527"/>
      <c r="W492" s="527"/>
      <c r="X492" s="527"/>
      <c r="Y492" s="527"/>
      <c r="Z492" s="527"/>
      <c r="AA492" s="512"/>
      <c r="AB492" s="460">
        <v>0.3</v>
      </c>
      <c r="AC492" s="512"/>
      <c r="AD492" s="513"/>
      <c r="AF492" s="550"/>
      <c r="AG492" s="513"/>
      <c r="AH492" s="513"/>
      <c r="AI492" s="513"/>
      <c r="AJ492" s="558"/>
      <c r="AK492" s="513"/>
      <c r="AL492" s="516"/>
      <c r="AM492" s="513"/>
      <c r="AN492" s="513"/>
      <c r="AO492" s="517"/>
      <c r="AP492" s="513"/>
      <c r="AQ492" s="513"/>
      <c r="AR492" s="517"/>
      <c r="AS492" s="517"/>
      <c r="AT492" s="513"/>
      <c r="AU492" s="513"/>
      <c r="AV492" s="517"/>
      <c r="AW492" s="513"/>
      <c r="AX492" s="513"/>
      <c r="AY492" s="513"/>
      <c r="AZ492" s="513"/>
      <c r="BA492" s="513"/>
    </row>
    <row r="493" spans="1:53" s="514" customFormat="1" ht="12.75" customHeight="1" x14ac:dyDescent="0.25">
      <c r="A493" s="1136"/>
      <c r="B493" s="521" t="s">
        <v>1179</v>
      </c>
      <c r="C493" s="568">
        <v>2</v>
      </c>
      <c r="D493" s="566"/>
      <c r="E493" s="559" t="s">
        <v>13</v>
      </c>
      <c r="F493" s="560" t="s">
        <v>1441</v>
      </c>
      <c r="G493" s="543">
        <v>1.5</v>
      </c>
      <c r="H493" s="542">
        <v>1</v>
      </c>
      <c r="I493" s="544">
        <f t="shared" si="45"/>
        <v>1.5</v>
      </c>
      <c r="J493" s="525"/>
      <c r="K493" s="557"/>
      <c r="L493" s="546"/>
      <c r="M493" s="545"/>
      <c r="N493" s="528"/>
      <c r="O493" s="527"/>
      <c r="P493" s="527"/>
      <c r="Q493" s="527"/>
      <c r="R493" s="527"/>
      <c r="S493" s="527"/>
      <c r="T493" s="527"/>
      <c r="U493" s="527"/>
      <c r="V493" s="527"/>
      <c r="W493" s="527"/>
      <c r="X493" s="527"/>
      <c r="Y493" s="527"/>
      <c r="Z493" s="527"/>
      <c r="AA493" s="512"/>
      <c r="AB493" s="460">
        <v>0.3</v>
      </c>
      <c r="AC493" s="512"/>
      <c r="AD493" s="513"/>
      <c r="AF493" s="550"/>
      <c r="AG493" s="513"/>
      <c r="AH493" s="513"/>
      <c r="AI493" s="513"/>
      <c r="AJ493" s="558"/>
      <c r="AK493" s="513"/>
      <c r="AL493" s="516"/>
      <c r="AM493" s="513"/>
      <c r="AN493" s="513"/>
      <c r="AO493" s="517"/>
      <c r="AP493" s="513"/>
      <c r="AQ493" s="513"/>
      <c r="AR493" s="517"/>
      <c r="AS493" s="517"/>
      <c r="AT493" s="513"/>
      <c r="AU493" s="513"/>
      <c r="AV493" s="517"/>
      <c r="AW493" s="513"/>
      <c r="AX493" s="513"/>
      <c r="AY493" s="513"/>
      <c r="AZ493" s="513"/>
      <c r="BA493" s="513"/>
    </row>
    <row r="494" spans="1:53" s="514" customFormat="1" ht="12.75" customHeight="1" x14ac:dyDescent="0.25">
      <c r="A494" s="1136"/>
      <c r="B494" s="569" t="s">
        <v>1181</v>
      </c>
      <c r="C494" s="502">
        <f>C489*C492+C490*C493</f>
        <v>126.76914869672856</v>
      </c>
      <c r="D494" s="566"/>
      <c r="E494" s="559"/>
      <c r="F494" s="560"/>
      <c r="G494" s="543"/>
      <c r="H494" s="542"/>
      <c r="I494" s="544"/>
      <c r="J494" s="525"/>
      <c r="K494" s="557"/>
      <c r="L494" s="528"/>
      <c r="M494" s="528"/>
      <c r="N494" s="528"/>
      <c r="O494" s="527"/>
      <c r="P494" s="527"/>
      <c r="Q494" s="527"/>
      <c r="R494" s="527"/>
      <c r="S494" s="527"/>
      <c r="T494" s="527"/>
      <c r="U494" s="527"/>
      <c r="V494" s="527"/>
      <c r="W494" s="527"/>
      <c r="X494" s="527"/>
      <c r="Y494" s="527"/>
      <c r="Z494" s="527"/>
      <c r="AA494" s="512"/>
      <c r="AB494" s="460">
        <v>0.3</v>
      </c>
      <c r="AC494" s="512"/>
      <c r="AD494" s="513"/>
      <c r="AF494" s="550"/>
      <c r="AG494" s="513"/>
      <c r="AH494" s="513"/>
      <c r="AI494" s="513"/>
      <c r="AJ494" s="551"/>
      <c r="AK494" s="513"/>
      <c r="AL494" s="516"/>
      <c r="AM494" s="513"/>
      <c r="AN494" s="513"/>
      <c r="AO494" s="517"/>
      <c r="AP494" s="513"/>
      <c r="AQ494" s="513"/>
      <c r="AR494" s="517"/>
      <c r="AS494" s="517"/>
      <c r="AT494" s="513"/>
      <c r="AU494" s="513"/>
      <c r="AV494" s="517"/>
      <c r="AW494" s="513"/>
      <c r="AX494" s="513"/>
      <c r="AY494" s="513"/>
      <c r="AZ494" s="513"/>
      <c r="BA494" s="513"/>
    </row>
    <row r="495" spans="1:53" s="514" customFormat="1" ht="12.75" customHeight="1" x14ac:dyDescent="0.25">
      <c r="A495" s="1136"/>
      <c r="B495" s="569"/>
      <c r="C495" s="568"/>
      <c r="D495" s="566"/>
      <c r="E495" s="559"/>
      <c r="F495" s="560"/>
      <c r="G495" s="543"/>
      <c r="H495" s="542"/>
      <c r="I495" s="544"/>
      <c r="J495" s="525"/>
      <c r="K495" s="557"/>
      <c r="L495" s="528"/>
      <c r="M495" s="528"/>
      <c r="N495" s="528"/>
      <c r="O495" s="527"/>
      <c r="P495" s="527"/>
      <c r="Q495" s="527"/>
      <c r="R495" s="527"/>
      <c r="S495" s="527"/>
      <c r="T495" s="527"/>
      <c r="U495" s="527"/>
      <c r="V495" s="527"/>
      <c r="W495" s="527"/>
      <c r="X495" s="527"/>
      <c r="Y495" s="527"/>
      <c r="Z495" s="527"/>
      <c r="AA495" s="512"/>
      <c r="AB495" s="460">
        <v>0.3</v>
      </c>
      <c r="AC495" s="512"/>
      <c r="AD495" s="513"/>
      <c r="AF495" s="550"/>
      <c r="AG495" s="513"/>
      <c r="AH495" s="513"/>
      <c r="AI495" s="513"/>
      <c r="AJ495" s="558"/>
      <c r="AK495" s="513"/>
      <c r="AL495" s="516"/>
      <c r="AM495" s="513"/>
      <c r="AN495" s="513"/>
      <c r="AO495" s="517"/>
      <c r="AP495" s="513"/>
      <c r="AQ495" s="513"/>
      <c r="AR495" s="517"/>
      <c r="AS495" s="517"/>
      <c r="AT495" s="513"/>
      <c r="AU495" s="513"/>
      <c r="AV495" s="517"/>
      <c r="AW495" s="513"/>
      <c r="AX495" s="513"/>
      <c r="AY495" s="513"/>
      <c r="AZ495" s="513"/>
      <c r="BA495" s="513"/>
    </row>
    <row r="496" spans="1:53" s="514" customFormat="1" ht="56.25" customHeight="1" x14ac:dyDescent="0.25">
      <c r="A496" s="1136" t="s">
        <v>1535</v>
      </c>
      <c r="B496" s="503"/>
      <c r="C496" s="502"/>
      <c r="D496" s="570"/>
      <c r="E496" s="576" t="s">
        <v>488</v>
      </c>
      <c r="F496" s="507" t="s">
        <v>837</v>
      </c>
      <c r="G496" s="503" t="s">
        <v>489</v>
      </c>
      <c r="H496" s="505" t="s">
        <v>1170</v>
      </c>
      <c r="I496" s="507" t="s">
        <v>838</v>
      </c>
      <c r="J496" s="508" t="s">
        <v>1171</v>
      </c>
      <c r="K496" s="508" t="s">
        <v>490</v>
      </c>
      <c r="L496" s="509" t="s">
        <v>489</v>
      </c>
      <c r="M496" s="508" t="s">
        <v>1172</v>
      </c>
      <c r="N496" s="507" t="s">
        <v>838</v>
      </c>
      <c r="O496" s="508" t="s">
        <v>1171</v>
      </c>
      <c r="P496" s="508" t="s">
        <v>826</v>
      </c>
      <c r="Q496" s="508" t="s">
        <v>1173</v>
      </c>
      <c r="R496" s="508" t="s">
        <v>1174</v>
      </c>
      <c r="S496" s="508" t="s">
        <v>839</v>
      </c>
      <c r="T496" s="508" t="s">
        <v>1171</v>
      </c>
      <c r="U496" s="508" t="s">
        <v>1392</v>
      </c>
      <c r="V496" s="508" t="s">
        <v>841</v>
      </c>
      <c r="W496" s="510" t="s">
        <v>1173</v>
      </c>
      <c r="X496" s="508" t="s">
        <v>1394</v>
      </c>
      <c r="Y496" s="508" t="s">
        <v>839</v>
      </c>
      <c r="Z496" s="511"/>
      <c r="AA496" s="512"/>
      <c r="AB496" s="460">
        <v>0.3</v>
      </c>
      <c r="AC496" s="512"/>
      <c r="AD496" s="513"/>
      <c r="AF496" s="515"/>
      <c r="AG496" s="513"/>
      <c r="AH496" s="513"/>
      <c r="AI496" s="513"/>
      <c r="AJ496" s="513"/>
      <c r="AK496" s="513"/>
      <c r="AL496" s="516"/>
      <c r="AM496" s="513"/>
      <c r="AN496" s="513"/>
      <c r="AO496" s="517"/>
      <c r="AP496" s="513"/>
      <c r="AQ496" s="518"/>
      <c r="AR496" s="518"/>
      <c r="AS496" s="518"/>
      <c r="AT496" s="513"/>
      <c r="AU496" s="513"/>
      <c r="AV496" s="517"/>
      <c r="AW496" s="513"/>
      <c r="AX496" s="513"/>
      <c r="AY496" s="513"/>
      <c r="AZ496" s="513"/>
      <c r="BA496" s="513"/>
    </row>
    <row r="497" spans="1:53" s="514" customFormat="1" ht="12" customHeight="1" x14ac:dyDescent="0.25">
      <c r="A497" s="1136"/>
      <c r="B497" s="519" t="s">
        <v>1175</v>
      </c>
      <c r="C497" s="502">
        <f>C504</f>
        <v>633.84574348364276</v>
      </c>
      <c r="D497" s="570">
        <f>C497*$D$7</f>
        <v>128.03684018369586</v>
      </c>
      <c r="E497" s="573" t="s">
        <v>1176</v>
      </c>
      <c r="F497" s="571"/>
      <c r="G497" s="523"/>
      <c r="H497" s="523"/>
      <c r="I497" s="524">
        <f>SUM(I498:I509)</f>
        <v>54.849199999999996</v>
      </c>
      <c r="J497" s="525" t="s">
        <v>1176</v>
      </c>
      <c r="K497" s="526"/>
      <c r="L497" s="527"/>
      <c r="M497" s="527"/>
      <c r="N497" s="528">
        <f>SUM(N498:N509)</f>
        <v>4.4213899999999997</v>
      </c>
      <c r="O497" s="527" t="s">
        <v>1176</v>
      </c>
      <c r="P497" s="527"/>
      <c r="Q497" s="529"/>
      <c r="R497" s="530"/>
      <c r="S497" s="528">
        <f>SUM(S498:S509)</f>
        <v>9.9028000000000009</v>
      </c>
      <c r="T497" s="528"/>
      <c r="U497" s="528"/>
      <c r="V497" s="528"/>
      <c r="W497" s="528"/>
      <c r="X497" s="528"/>
      <c r="Y497" s="528">
        <f>SUM(Y498:Y509)</f>
        <v>9.1999999999999998E-3</v>
      </c>
      <c r="Z497" s="531">
        <f>(C497+D497+I497+N497+S497+Y497)*$Z$7</f>
        <v>1080.5407107126305</v>
      </c>
      <c r="AA497" s="532">
        <f>C497+D497+I497+N497+S497+Y497+Z497</f>
        <v>1911.605884379969</v>
      </c>
      <c r="AB497" s="460">
        <v>0.3</v>
      </c>
      <c r="AC497" s="533">
        <f>AA497*(1+AB497)</f>
        <v>2485.08764969396</v>
      </c>
      <c r="AD497" s="517"/>
      <c r="AF497" s="515"/>
      <c r="AG497" s="513"/>
      <c r="AH497" s="513"/>
      <c r="AI497" s="518"/>
      <c r="AJ497" s="534"/>
      <c r="AK497" s="535"/>
      <c r="AL497" s="516"/>
      <c r="AM497" s="536"/>
      <c r="AN497" s="537"/>
      <c r="AO497" s="536"/>
      <c r="AP497" s="518"/>
      <c r="AQ497" s="518"/>
      <c r="AR497" s="518"/>
      <c r="AS497" s="518"/>
      <c r="AT497" s="518"/>
      <c r="AU497" s="536"/>
      <c r="AV497" s="536"/>
      <c r="AW497" s="538"/>
      <c r="AX497" s="513"/>
      <c r="AY497" s="513"/>
      <c r="AZ497" s="513"/>
      <c r="BA497" s="513"/>
    </row>
    <row r="498" spans="1:53" s="514" customFormat="1" ht="12.75" customHeight="1" x14ac:dyDescent="0.25">
      <c r="A498" s="1136"/>
      <c r="B498" s="572" t="s">
        <v>1177</v>
      </c>
      <c r="C498" s="502"/>
      <c r="D498" s="566"/>
      <c r="E498" s="541" t="s">
        <v>1437</v>
      </c>
      <c r="F498" s="542" t="s">
        <v>1438</v>
      </c>
      <c r="G498" s="543">
        <v>0.74</v>
      </c>
      <c r="H498" s="542">
        <v>0.1</v>
      </c>
      <c r="I498" s="544">
        <f t="shared" ref="I498:I507" si="46">G498*H498</f>
        <v>7.3999999999999996E-2</v>
      </c>
      <c r="J498" s="525" t="s">
        <v>1291</v>
      </c>
      <c r="K498" s="545">
        <v>2</v>
      </c>
      <c r="L498" s="546">
        <v>750</v>
      </c>
      <c r="M498" s="545">
        <v>2</v>
      </c>
      <c r="N498" s="528">
        <v>1.1745000000000001</v>
      </c>
      <c r="O498" s="547" t="s">
        <v>1578</v>
      </c>
      <c r="P498" s="527">
        <v>188900</v>
      </c>
      <c r="Q498" s="548">
        <v>0.19670000000000001</v>
      </c>
      <c r="R498" s="527">
        <f>P498*Q498</f>
        <v>37156.630000000005</v>
      </c>
      <c r="S498" s="527">
        <v>8.1902000000000008</v>
      </c>
      <c r="T498" s="512" t="s">
        <v>1435</v>
      </c>
      <c r="U498" s="523">
        <v>6785401.3499999996</v>
      </c>
      <c r="V498" s="549">
        <v>1.32E-2</v>
      </c>
      <c r="W498" s="512">
        <v>1508.3</v>
      </c>
      <c r="X498" s="528">
        <v>59.38</v>
      </c>
      <c r="Y498" s="527">
        <v>9.1999999999999998E-3</v>
      </c>
      <c r="Z498" s="527"/>
      <c r="AA498" s="512"/>
      <c r="AB498" s="460">
        <v>0.3</v>
      </c>
      <c r="AC498" s="512"/>
      <c r="AD498" s="513"/>
      <c r="AF498" s="550"/>
      <c r="AG498" s="513"/>
      <c r="AH498" s="513"/>
      <c r="AI498" s="513"/>
      <c r="AJ498" s="551"/>
      <c r="AK498" s="513"/>
      <c r="AL498" s="516"/>
      <c r="AM498" s="513"/>
      <c r="AN498" s="513"/>
      <c r="AO498" s="517"/>
      <c r="AP498" s="513"/>
      <c r="AQ498" s="513"/>
      <c r="AR498" s="517"/>
      <c r="AS498" s="517"/>
      <c r="AT498" s="518"/>
      <c r="AU498" s="513"/>
      <c r="AV498" s="517"/>
      <c r="AW498" s="513"/>
      <c r="AX498" s="513"/>
      <c r="AY498" s="513"/>
      <c r="AZ498" s="513"/>
      <c r="BA498" s="513"/>
    </row>
    <row r="499" spans="1:53" s="514" customFormat="1" x14ac:dyDescent="0.25">
      <c r="A499" s="1136"/>
      <c r="B499" s="565" t="s">
        <v>1178</v>
      </c>
      <c r="C499" s="491">
        <f>C489</f>
        <v>43.888814515309463</v>
      </c>
      <c r="D499" s="566"/>
      <c r="E499" s="541" t="s">
        <v>1439</v>
      </c>
      <c r="F499" s="542" t="s">
        <v>1438</v>
      </c>
      <c r="G499" s="543">
        <v>0.27</v>
      </c>
      <c r="H499" s="542">
        <v>0.01</v>
      </c>
      <c r="I499" s="544">
        <f t="shared" si="46"/>
        <v>2.7000000000000001E-3</v>
      </c>
      <c r="J499" s="525" t="s">
        <v>1445</v>
      </c>
      <c r="K499" s="528">
        <v>2</v>
      </c>
      <c r="L499" s="553">
        <v>95</v>
      </c>
      <c r="M499" s="545">
        <v>2</v>
      </c>
      <c r="N499" s="528">
        <v>3.1146400000000001</v>
      </c>
      <c r="O499" s="527" t="s">
        <v>1580</v>
      </c>
      <c r="P499" s="527">
        <v>39500</v>
      </c>
      <c r="Q499" s="548">
        <v>0.19670000000000001</v>
      </c>
      <c r="R499" s="527">
        <f>P499*Q499</f>
        <v>7769.6500000000005</v>
      </c>
      <c r="S499" s="527">
        <v>1.7125999999999999</v>
      </c>
      <c r="T499" s="527"/>
      <c r="U499" s="527"/>
      <c r="V499" s="527"/>
      <c r="W499" s="548"/>
      <c r="X499" s="527"/>
      <c r="Y499" s="527"/>
      <c r="Z499" s="527"/>
      <c r="AA499" s="512"/>
      <c r="AB499" s="460">
        <v>0.3</v>
      </c>
      <c r="AC499" s="512"/>
      <c r="AD499" s="513"/>
      <c r="AF499" s="550"/>
      <c r="AG499" s="513"/>
      <c r="AH499" s="513"/>
      <c r="AI499" s="513"/>
      <c r="AJ499" s="551"/>
      <c r="AK499" s="513"/>
      <c r="AL499" s="516"/>
      <c r="AM499" s="538"/>
      <c r="AN499" s="513"/>
      <c r="AO499" s="517"/>
      <c r="AP499" s="513"/>
      <c r="AQ499" s="513"/>
      <c r="AR499" s="517"/>
      <c r="AS499" s="517"/>
      <c r="AT499" s="513"/>
      <c r="AU499" s="513"/>
      <c r="AV499" s="517"/>
      <c r="AW499" s="513"/>
      <c r="AX499" s="513"/>
      <c r="AY499" s="513"/>
      <c r="AZ499" s="513"/>
      <c r="BA499" s="513"/>
    </row>
    <row r="500" spans="1:53" s="514" customFormat="1" ht="12.75" customHeight="1" x14ac:dyDescent="0.25">
      <c r="A500" s="1136"/>
      <c r="B500" s="521" t="s">
        <v>1179</v>
      </c>
      <c r="C500" s="487">
        <f>C490</f>
        <v>19.495759833054819</v>
      </c>
      <c r="D500" s="566"/>
      <c r="E500" s="541" t="s">
        <v>1440</v>
      </c>
      <c r="F500" s="542" t="s">
        <v>1441</v>
      </c>
      <c r="G500" s="543">
        <v>5.92</v>
      </c>
      <c r="H500" s="555">
        <v>1</v>
      </c>
      <c r="I500" s="544">
        <f t="shared" si="46"/>
        <v>5.92</v>
      </c>
      <c r="J500" s="525" t="s">
        <v>1513</v>
      </c>
      <c r="K500" s="528">
        <v>2</v>
      </c>
      <c r="L500" s="528">
        <v>25</v>
      </c>
      <c r="M500" s="545">
        <v>0.5</v>
      </c>
      <c r="N500" s="528">
        <v>0.13225000000000001</v>
      </c>
      <c r="O500" s="527"/>
      <c r="P500" s="527"/>
      <c r="Q500" s="548"/>
      <c r="R500" s="527"/>
      <c r="S500" s="527"/>
      <c r="T500" s="527"/>
      <c r="U500" s="527"/>
      <c r="V500" s="527"/>
      <c r="W500" s="548"/>
      <c r="X500" s="527"/>
      <c r="Y500" s="527"/>
      <c r="Z500" s="527"/>
      <c r="AA500" s="512"/>
      <c r="AB500" s="460">
        <v>0.3</v>
      </c>
      <c r="AC500" s="512"/>
      <c r="AD500" s="513"/>
      <c r="AF500" s="550"/>
      <c r="AG500" s="513"/>
      <c r="AH500" s="513"/>
      <c r="AI500" s="513"/>
      <c r="AJ500" s="551"/>
      <c r="AK500" s="513"/>
      <c r="AL500" s="516"/>
      <c r="AM500" s="513"/>
      <c r="AN500" s="513"/>
      <c r="AO500" s="517"/>
      <c r="AP500" s="513"/>
      <c r="AQ500" s="513"/>
      <c r="AR500" s="517"/>
      <c r="AS500" s="517"/>
      <c r="AT500" s="513"/>
      <c r="AU500" s="513"/>
      <c r="AV500" s="517"/>
      <c r="AW500" s="513"/>
      <c r="AX500" s="513"/>
      <c r="AY500" s="513"/>
      <c r="AZ500" s="513"/>
      <c r="BA500" s="513"/>
    </row>
    <row r="501" spans="1:53" s="514" customFormat="1" ht="12.75" customHeight="1" x14ac:dyDescent="0.25">
      <c r="A501" s="1136"/>
      <c r="B501" s="521" t="s">
        <v>1180</v>
      </c>
      <c r="C501" s="567"/>
      <c r="D501" s="566"/>
      <c r="E501" s="541" t="s">
        <v>1442</v>
      </c>
      <c r="F501" s="542" t="s">
        <v>1443</v>
      </c>
      <c r="G501" s="543">
        <v>419.5</v>
      </c>
      <c r="H501" s="542">
        <v>0.01</v>
      </c>
      <c r="I501" s="544">
        <f t="shared" si="46"/>
        <v>4.1950000000000003</v>
      </c>
      <c r="J501" s="525"/>
      <c r="K501" s="557"/>
      <c r="L501" s="528"/>
      <c r="M501" s="528"/>
      <c r="N501" s="528"/>
      <c r="O501" s="527"/>
      <c r="P501" s="527"/>
      <c r="Q501" s="527"/>
      <c r="R501" s="527"/>
      <c r="S501" s="527"/>
      <c r="T501" s="527"/>
      <c r="U501" s="527"/>
      <c r="V501" s="527"/>
      <c r="W501" s="527"/>
      <c r="X501" s="527"/>
      <c r="Y501" s="527"/>
      <c r="Z501" s="527"/>
      <c r="AA501" s="512"/>
      <c r="AB501" s="460">
        <v>0.3</v>
      </c>
      <c r="AC501" s="512"/>
      <c r="AD501" s="513"/>
      <c r="AF501" s="550"/>
      <c r="AG501" s="513"/>
      <c r="AH501" s="513"/>
      <c r="AI501" s="513"/>
      <c r="AJ501" s="551"/>
      <c r="AK501" s="513"/>
      <c r="AL501" s="516"/>
      <c r="AM501" s="513"/>
      <c r="AN501" s="513"/>
      <c r="AO501" s="517"/>
      <c r="AP501" s="513"/>
      <c r="AQ501" s="513"/>
      <c r="AR501" s="517"/>
      <c r="AS501" s="517"/>
      <c r="AT501" s="513"/>
      <c r="AU501" s="513"/>
      <c r="AV501" s="517"/>
      <c r="AW501" s="513"/>
      <c r="AX501" s="513"/>
      <c r="AY501" s="513"/>
      <c r="AZ501" s="513"/>
      <c r="BA501" s="513"/>
    </row>
    <row r="502" spans="1:53" s="514" customFormat="1" ht="12.75" customHeight="1" x14ac:dyDescent="0.25">
      <c r="A502" s="1136"/>
      <c r="B502" s="565" t="s">
        <v>1178</v>
      </c>
      <c r="C502" s="568">
        <v>10</v>
      </c>
      <c r="D502" s="566"/>
      <c r="E502" s="541" t="s">
        <v>1444</v>
      </c>
      <c r="F502" s="542" t="s">
        <v>1443</v>
      </c>
      <c r="G502" s="543">
        <v>872</v>
      </c>
      <c r="H502" s="542">
        <v>5.0000000000000001E-3</v>
      </c>
      <c r="I502" s="544">
        <f t="shared" si="46"/>
        <v>4.3600000000000003</v>
      </c>
      <c r="J502" s="525"/>
      <c r="K502" s="557"/>
      <c r="L502" s="528"/>
      <c r="M502" s="528"/>
      <c r="N502" s="528"/>
      <c r="O502" s="527"/>
      <c r="P502" s="527"/>
      <c r="Q502" s="527"/>
      <c r="R502" s="527"/>
      <c r="S502" s="527"/>
      <c r="T502" s="527"/>
      <c r="U502" s="527"/>
      <c r="V502" s="527"/>
      <c r="W502" s="527"/>
      <c r="X502" s="527"/>
      <c r="Y502" s="527"/>
      <c r="Z502" s="527"/>
      <c r="AA502" s="512"/>
      <c r="AB502" s="460">
        <v>0.3</v>
      </c>
      <c r="AC502" s="512"/>
      <c r="AD502" s="513"/>
      <c r="AF502" s="550"/>
      <c r="AG502" s="513"/>
      <c r="AH502" s="513"/>
      <c r="AI502" s="513"/>
      <c r="AJ502" s="558"/>
      <c r="AK502" s="513"/>
      <c r="AL502" s="516"/>
      <c r="AM502" s="513"/>
      <c r="AN502" s="513"/>
      <c r="AO502" s="517"/>
      <c r="AP502" s="513"/>
      <c r="AQ502" s="513"/>
      <c r="AR502" s="517"/>
      <c r="AS502" s="517"/>
      <c r="AT502" s="513"/>
      <c r="AU502" s="513"/>
      <c r="AV502" s="517"/>
      <c r="AW502" s="513"/>
      <c r="AX502" s="513"/>
      <c r="AY502" s="513"/>
      <c r="AZ502" s="513"/>
      <c r="BA502" s="513"/>
    </row>
    <row r="503" spans="1:53" s="514" customFormat="1" ht="12.75" customHeight="1" x14ac:dyDescent="0.25">
      <c r="A503" s="1136"/>
      <c r="B503" s="521" t="s">
        <v>1179</v>
      </c>
      <c r="C503" s="568">
        <v>10</v>
      </c>
      <c r="D503" s="566"/>
      <c r="E503" s="559" t="s">
        <v>581</v>
      </c>
      <c r="F503" s="560" t="s">
        <v>1438</v>
      </c>
      <c r="G503" s="543">
        <v>16.39</v>
      </c>
      <c r="H503" s="542">
        <v>0.25</v>
      </c>
      <c r="I503" s="544">
        <f t="shared" si="46"/>
        <v>4.0975000000000001</v>
      </c>
      <c r="J503" s="525"/>
      <c r="K503" s="557"/>
      <c r="L503" s="546"/>
      <c r="M503" s="545"/>
      <c r="N503" s="528"/>
      <c r="O503" s="527"/>
      <c r="P503" s="527"/>
      <c r="Q503" s="527"/>
      <c r="R503" s="527"/>
      <c r="S503" s="527"/>
      <c r="T503" s="527"/>
      <c r="U503" s="527"/>
      <c r="V503" s="527"/>
      <c r="W503" s="527"/>
      <c r="X503" s="527"/>
      <c r="Y503" s="527"/>
      <c r="Z503" s="527"/>
      <c r="AA503" s="512"/>
      <c r="AB503" s="460">
        <v>0.3</v>
      </c>
      <c r="AC503" s="512"/>
      <c r="AD503" s="513"/>
      <c r="AF503" s="550"/>
      <c r="AG503" s="513"/>
      <c r="AH503" s="513"/>
      <c r="AI503" s="513"/>
      <c r="AJ503" s="558"/>
      <c r="AK503" s="513"/>
      <c r="AL503" s="516"/>
      <c r="AM503" s="513"/>
      <c r="AN503" s="513"/>
      <c r="AO503" s="517"/>
      <c r="AP503" s="513"/>
      <c r="AQ503" s="513"/>
      <c r="AR503" s="517"/>
      <c r="AS503" s="517"/>
      <c r="AT503" s="513"/>
      <c r="AU503" s="513"/>
      <c r="AV503" s="517"/>
      <c r="AW503" s="513"/>
      <c r="AX503" s="513"/>
      <c r="AY503" s="513"/>
      <c r="AZ503" s="513"/>
      <c r="BA503" s="513"/>
    </row>
    <row r="504" spans="1:53" s="514" customFormat="1" ht="12.75" customHeight="1" x14ac:dyDescent="0.25">
      <c r="A504" s="1136"/>
      <c r="B504" s="569" t="s">
        <v>1181</v>
      </c>
      <c r="C504" s="502">
        <f>C499*C502+C500*C503</f>
        <v>633.84574348364276</v>
      </c>
      <c r="D504" s="566"/>
      <c r="E504" s="645" t="s">
        <v>26</v>
      </c>
      <c r="F504" s="646" t="s">
        <v>1</v>
      </c>
      <c r="G504" s="543">
        <v>6.67</v>
      </c>
      <c r="H504" s="523">
        <v>1</v>
      </c>
      <c r="I504" s="544">
        <f t="shared" si="46"/>
        <v>6.67</v>
      </c>
      <c r="J504" s="525"/>
      <c r="K504" s="557"/>
      <c r="L504" s="528"/>
      <c r="M504" s="528"/>
      <c r="N504" s="528"/>
      <c r="O504" s="527"/>
      <c r="P504" s="527"/>
      <c r="Q504" s="527"/>
      <c r="R504" s="527"/>
      <c r="S504" s="527"/>
      <c r="T504" s="527"/>
      <c r="U504" s="527"/>
      <c r="V504" s="527"/>
      <c r="W504" s="527"/>
      <c r="X504" s="527"/>
      <c r="Y504" s="527"/>
      <c r="Z504" s="527"/>
      <c r="AA504" s="512"/>
      <c r="AB504" s="460">
        <v>0.3</v>
      </c>
      <c r="AC504" s="512"/>
      <c r="AD504" s="513"/>
      <c r="AF504" s="550"/>
      <c r="AG504" s="513"/>
      <c r="AH504" s="513"/>
      <c r="AI504" s="513"/>
      <c r="AJ504" s="551"/>
      <c r="AK504" s="513"/>
      <c r="AL504" s="516"/>
      <c r="AM504" s="513"/>
      <c r="AN504" s="513"/>
      <c r="AO504" s="517"/>
      <c r="AP504" s="513"/>
      <c r="AQ504" s="513"/>
      <c r="AR504" s="517"/>
      <c r="AS504" s="517"/>
      <c r="AT504" s="513"/>
      <c r="AU504" s="513"/>
      <c r="AV504" s="517"/>
      <c r="AW504" s="513"/>
      <c r="AX504" s="513"/>
      <c r="AY504" s="513"/>
      <c r="AZ504" s="513"/>
      <c r="BA504" s="513"/>
    </row>
    <row r="505" spans="1:53" s="514" customFormat="1" ht="12.75" customHeight="1" x14ac:dyDescent="0.25">
      <c r="A505" s="1136"/>
      <c r="B505" s="569"/>
      <c r="C505" s="502"/>
      <c r="D505" s="566"/>
      <c r="E505" s="645" t="s">
        <v>18</v>
      </c>
      <c r="F505" s="646" t="s">
        <v>1438</v>
      </c>
      <c r="G505" s="543">
        <v>0.94</v>
      </c>
      <c r="H505" s="523">
        <v>0.5</v>
      </c>
      <c r="I505" s="544">
        <f t="shared" si="46"/>
        <v>0.47</v>
      </c>
      <c r="J505" s="525"/>
      <c r="K505" s="557"/>
      <c r="L505" s="528"/>
      <c r="M505" s="528"/>
      <c r="N505" s="528"/>
      <c r="O505" s="527"/>
      <c r="P505" s="527"/>
      <c r="Q505" s="527"/>
      <c r="R505" s="527"/>
      <c r="S505" s="527"/>
      <c r="T505" s="527"/>
      <c r="U505" s="527"/>
      <c r="V505" s="527"/>
      <c r="W505" s="527"/>
      <c r="X505" s="527"/>
      <c r="Y505" s="527"/>
      <c r="Z505" s="527"/>
      <c r="AA505" s="512"/>
      <c r="AB505" s="460"/>
      <c r="AC505" s="512"/>
      <c r="AD505" s="513"/>
      <c r="AF505" s="550"/>
      <c r="AG505" s="513"/>
      <c r="AH505" s="513"/>
      <c r="AI505" s="513"/>
      <c r="AJ505" s="551"/>
      <c r="AK505" s="513"/>
      <c r="AL505" s="516"/>
      <c r="AM505" s="513"/>
      <c r="AN505" s="513"/>
      <c r="AO505" s="517"/>
      <c r="AP505" s="513"/>
      <c r="AQ505" s="513"/>
      <c r="AR505" s="517"/>
      <c r="AS505" s="517"/>
      <c r="AT505" s="513"/>
      <c r="AU505" s="513"/>
      <c r="AV505" s="517"/>
      <c r="AW505" s="513"/>
      <c r="AX505" s="513"/>
      <c r="AY505" s="513"/>
      <c r="AZ505" s="513"/>
      <c r="BA505" s="513"/>
    </row>
    <row r="506" spans="1:53" s="514" customFormat="1" ht="12.75" customHeight="1" x14ac:dyDescent="0.25">
      <c r="A506" s="1136"/>
      <c r="B506" s="569"/>
      <c r="C506" s="502"/>
      <c r="D506" s="566"/>
      <c r="E506" s="645" t="s">
        <v>13</v>
      </c>
      <c r="F506" s="646" t="s">
        <v>1441</v>
      </c>
      <c r="G506" s="543">
        <v>1.5</v>
      </c>
      <c r="H506" s="523">
        <v>1</v>
      </c>
      <c r="I506" s="544">
        <f t="shared" si="46"/>
        <v>1.5</v>
      </c>
      <c r="J506" s="525"/>
      <c r="K506" s="557"/>
      <c r="L506" s="528"/>
      <c r="M506" s="528"/>
      <c r="N506" s="528"/>
      <c r="O506" s="527"/>
      <c r="P506" s="527"/>
      <c r="Q506" s="527"/>
      <c r="R506" s="527"/>
      <c r="S506" s="527"/>
      <c r="T506" s="527"/>
      <c r="U506" s="527"/>
      <c r="V506" s="527"/>
      <c r="W506" s="527"/>
      <c r="X506" s="527"/>
      <c r="Y506" s="527"/>
      <c r="Z506" s="527"/>
      <c r="AA506" s="512"/>
      <c r="AB506" s="460"/>
      <c r="AC506" s="512"/>
      <c r="AD506" s="513"/>
      <c r="AF506" s="550"/>
      <c r="AG506" s="513"/>
      <c r="AH506" s="513"/>
      <c r="AI506" s="513"/>
      <c r="AJ506" s="551"/>
      <c r="AK506" s="513"/>
      <c r="AL506" s="516"/>
      <c r="AM506" s="513"/>
      <c r="AN506" s="513"/>
      <c r="AO506" s="517"/>
      <c r="AP506" s="513"/>
      <c r="AQ506" s="513"/>
      <c r="AR506" s="517"/>
      <c r="AS506" s="517"/>
      <c r="AT506" s="513"/>
      <c r="AU506" s="513"/>
      <c r="AV506" s="517"/>
      <c r="AW506" s="513"/>
      <c r="AX506" s="513"/>
      <c r="AY506" s="513"/>
      <c r="AZ506" s="513"/>
      <c r="BA506" s="513"/>
    </row>
    <row r="507" spans="1:53" s="514" customFormat="1" ht="12.75" customHeight="1" x14ac:dyDescent="0.25">
      <c r="A507" s="1136"/>
      <c r="B507" s="569"/>
      <c r="C507" s="502"/>
      <c r="D507" s="566"/>
      <c r="E507" s="645" t="s">
        <v>27</v>
      </c>
      <c r="F507" s="646" t="s">
        <v>1</v>
      </c>
      <c r="G507" s="543">
        <v>13.78</v>
      </c>
      <c r="H507" s="523">
        <v>2</v>
      </c>
      <c r="I507" s="544">
        <f t="shared" si="46"/>
        <v>27.56</v>
      </c>
      <c r="J507" s="525"/>
      <c r="K507" s="557"/>
      <c r="L507" s="528"/>
      <c r="M507" s="528"/>
      <c r="N507" s="528"/>
      <c r="O507" s="527"/>
      <c r="P507" s="527"/>
      <c r="Q507" s="527"/>
      <c r="R507" s="527"/>
      <c r="S507" s="527"/>
      <c r="T507" s="527"/>
      <c r="U507" s="527"/>
      <c r="V507" s="527"/>
      <c r="W507" s="527"/>
      <c r="X507" s="527"/>
      <c r="Y507" s="527"/>
      <c r="Z507" s="527"/>
      <c r="AA507" s="512"/>
      <c r="AB507" s="460"/>
      <c r="AC507" s="512"/>
      <c r="AD507" s="513"/>
      <c r="AF507" s="550"/>
      <c r="AG507" s="513"/>
      <c r="AH507" s="513"/>
      <c r="AI507" s="513"/>
      <c r="AJ507" s="551"/>
      <c r="AK507" s="513"/>
      <c r="AL507" s="516"/>
      <c r="AM507" s="513"/>
      <c r="AN507" s="513"/>
      <c r="AO507" s="517"/>
      <c r="AP507" s="513"/>
      <c r="AQ507" s="513"/>
      <c r="AR507" s="517"/>
      <c r="AS507" s="517"/>
      <c r="AT507" s="513"/>
      <c r="AU507" s="513"/>
      <c r="AV507" s="517"/>
      <c r="AW507" s="513"/>
      <c r="AX507" s="513"/>
      <c r="AY507" s="513"/>
      <c r="AZ507" s="513"/>
      <c r="BA507" s="513"/>
    </row>
    <row r="508" spans="1:53" s="514" customFormat="1" ht="12.75" customHeight="1" x14ac:dyDescent="0.25">
      <c r="A508" s="1136"/>
      <c r="B508" s="569"/>
      <c r="C508" s="502"/>
      <c r="D508" s="566"/>
      <c r="E508" s="573"/>
      <c r="F508" s="574"/>
      <c r="G508" s="543"/>
      <c r="H508" s="523"/>
      <c r="I508" s="544"/>
      <c r="J508" s="525"/>
      <c r="K508" s="557"/>
      <c r="L508" s="528"/>
      <c r="M508" s="528"/>
      <c r="N508" s="528"/>
      <c r="O508" s="527"/>
      <c r="P508" s="527"/>
      <c r="Q508" s="527"/>
      <c r="R508" s="527"/>
      <c r="S508" s="527"/>
      <c r="T508" s="527"/>
      <c r="U508" s="527"/>
      <c r="V508" s="527"/>
      <c r="W508" s="527"/>
      <c r="X508" s="527"/>
      <c r="Y508" s="527"/>
      <c r="Z508" s="527"/>
      <c r="AA508" s="512"/>
      <c r="AB508" s="460"/>
      <c r="AC508" s="512"/>
      <c r="AD508" s="513"/>
      <c r="AF508" s="550"/>
      <c r="AG508" s="513"/>
      <c r="AH508" s="513"/>
      <c r="AI508" s="513"/>
      <c r="AJ508" s="551"/>
      <c r="AK508" s="513"/>
      <c r="AL508" s="516"/>
      <c r="AM508" s="513"/>
      <c r="AN508" s="513"/>
      <c r="AO508" s="517"/>
      <c r="AP508" s="513"/>
      <c r="AQ508" s="513"/>
      <c r="AR508" s="517"/>
      <c r="AS508" s="517"/>
      <c r="AT508" s="513"/>
      <c r="AU508" s="513"/>
      <c r="AV508" s="517"/>
      <c r="AW508" s="513"/>
      <c r="AX508" s="513"/>
      <c r="AY508" s="513"/>
      <c r="AZ508" s="513"/>
      <c r="BA508" s="513"/>
    </row>
    <row r="509" spans="1:53" s="514" customFormat="1" ht="12.75" customHeight="1" x14ac:dyDescent="0.25">
      <c r="A509" s="1136"/>
      <c r="B509" s="569"/>
      <c r="C509" s="568"/>
      <c r="D509" s="566"/>
      <c r="E509" s="573"/>
      <c r="F509" s="574"/>
      <c r="G509" s="543"/>
      <c r="H509" s="523"/>
      <c r="I509" s="544"/>
      <c r="J509" s="525"/>
      <c r="K509" s="557"/>
      <c r="L509" s="528"/>
      <c r="M509" s="528"/>
      <c r="N509" s="528"/>
      <c r="O509" s="527"/>
      <c r="P509" s="527"/>
      <c r="Q509" s="527"/>
      <c r="R509" s="527"/>
      <c r="S509" s="527"/>
      <c r="T509" s="527"/>
      <c r="U509" s="527"/>
      <c r="V509" s="527"/>
      <c r="W509" s="527"/>
      <c r="X509" s="527"/>
      <c r="Y509" s="527"/>
      <c r="Z509" s="527"/>
      <c r="AA509" s="512"/>
      <c r="AB509" s="460">
        <v>0.3</v>
      </c>
      <c r="AC509" s="512"/>
      <c r="AD509" s="513"/>
      <c r="AF509" s="517"/>
      <c r="AG509" s="513"/>
      <c r="AH509" s="513"/>
      <c r="AI509" s="513"/>
      <c r="AJ509" s="558"/>
      <c r="AK509" s="513"/>
      <c r="AL509" s="516"/>
      <c r="AM509" s="513"/>
      <c r="AN509" s="513"/>
      <c r="AO509" s="517"/>
      <c r="AP509" s="513"/>
      <c r="AQ509" s="513"/>
      <c r="AR509" s="517"/>
      <c r="AS509" s="517"/>
      <c r="AT509" s="513"/>
      <c r="AU509" s="513"/>
      <c r="AV509" s="517"/>
      <c r="AW509" s="513"/>
      <c r="AX509" s="513"/>
      <c r="AY509" s="513"/>
      <c r="AZ509" s="513"/>
      <c r="BA509" s="513"/>
    </row>
    <row r="510" spans="1:53" s="514" customFormat="1" ht="56.25" customHeight="1" x14ac:dyDescent="0.25">
      <c r="A510" s="1136" t="s">
        <v>1536</v>
      </c>
      <c r="B510" s="503"/>
      <c r="C510" s="502"/>
      <c r="D510" s="570"/>
      <c r="E510" s="576" t="s">
        <v>488</v>
      </c>
      <c r="F510" s="507" t="s">
        <v>837</v>
      </c>
      <c r="G510" s="503" t="s">
        <v>489</v>
      </c>
      <c r="H510" s="505" t="s">
        <v>1170</v>
      </c>
      <c r="I510" s="507" t="s">
        <v>838</v>
      </c>
      <c r="J510" s="508" t="s">
        <v>1171</v>
      </c>
      <c r="K510" s="508" t="s">
        <v>490</v>
      </c>
      <c r="L510" s="509" t="s">
        <v>489</v>
      </c>
      <c r="M510" s="508" t="s">
        <v>1172</v>
      </c>
      <c r="N510" s="507" t="s">
        <v>838</v>
      </c>
      <c r="O510" s="508" t="s">
        <v>1171</v>
      </c>
      <c r="P510" s="508" t="s">
        <v>826</v>
      </c>
      <c r="Q510" s="508" t="s">
        <v>1173</v>
      </c>
      <c r="R510" s="508" t="s">
        <v>1174</v>
      </c>
      <c r="S510" s="508" t="s">
        <v>839</v>
      </c>
      <c r="T510" s="508" t="s">
        <v>1171</v>
      </c>
      <c r="U510" s="508" t="s">
        <v>1392</v>
      </c>
      <c r="V510" s="508" t="s">
        <v>841</v>
      </c>
      <c r="W510" s="510" t="s">
        <v>1173</v>
      </c>
      <c r="X510" s="508" t="s">
        <v>1394</v>
      </c>
      <c r="Y510" s="508" t="s">
        <v>839</v>
      </c>
      <c r="Z510" s="511"/>
      <c r="AA510" s="512"/>
      <c r="AB510" s="460">
        <v>0.3</v>
      </c>
      <c r="AC510" s="512"/>
      <c r="AD510" s="513"/>
      <c r="AF510" s="515"/>
      <c r="AG510" s="513"/>
      <c r="AH510" s="513"/>
      <c r="AI510" s="513"/>
      <c r="AJ510" s="513"/>
      <c r="AK510" s="513"/>
      <c r="AL510" s="516"/>
      <c r="AM510" s="513"/>
      <c r="AN510" s="513"/>
      <c r="AO510" s="517"/>
      <c r="AP510" s="513"/>
      <c r="AQ510" s="518"/>
      <c r="AR510" s="518"/>
      <c r="AS510" s="518"/>
      <c r="AT510" s="513"/>
      <c r="AU510" s="513"/>
      <c r="AV510" s="517"/>
      <c r="AW510" s="513"/>
      <c r="AX510" s="513"/>
      <c r="AY510" s="513"/>
      <c r="AZ510" s="513"/>
      <c r="BA510" s="513"/>
    </row>
    <row r="511" spans="1:53" s="514" customFormat="1" ht="12" customHeight="1" x14ac:dyDescent="0.25">
      <c r="A511" s="1136"/>
      <c r="B511" s="519" t="s">
        <v>1175</v>
      </c>
      <c r="C511" s="502">
        <f>C518</f>
        <v>887.38404087709989</v>
      </c>
      <c r="D511" s="570">
        <f>C511*$D$7</f>
        <v>179.25157625717418</v>
      </c>
      <c r="E511" s="573" t="s">
        <v>1176</v>
      </c>
      <c r="F511" s="571"/>
      <c r="G511" s="523"/>
      <c r="H511" s="523"/>
      <c r="I511" s="524">
        <f>SUM(I512:I522)</f>
        <v>61.739199999999997</v>
      </c>
      <c r="J511" s="525" t="s">
        <v>1176</v>
      </c>
      <c r="K511" s="526"/>
      <c r="L511" s="527"/>
      <c r="M511" s="527"/>
      <c r="N511" s="528">
        <f>SUM(N512:N522)</f>
        <v>4.4213899999999997</v>
      </c>
      <c r="O511" s="527" t="s">
        <v>1176</v>
      </c>
      <c r="P511" s="527"/>
      <c r="Q511" s="529"/>
      <c r="R511" s="530"/>
      <c r="S511" s="528">
        <f>SUM(S512:S522)</f>
        <v>9.9028000000000009</v>
      </c>
      <c r="T511" s="528"/>
      <c r="U511" s="528"/>
      <c r="V511" s="528"/>
      <c r="W511" s="528"/>
      <c r="X511" s="528"/>
      <c r="Y511" s="528">
        <f>SUM(Y512:Y522)</f>
        <v>9.1999999999999998E-3</v>
      </c>
      <c r="Z511" s="531">
        <f>(C511+D511+I511+N511+S511+Y511)*$Z$7</f>
        <v>1485.7351473715719</v>
      </c>
      <c r="AA511" s="532">
        <f>C511+D511+I511+N511+S511+Y511+Z511</f>
        <v>2628.4433545058459</v>
      </c>
      <c r="AB511" s="460">
        <v>0.3</v>
      </c>
      <c r="AC511" s="533">
        <f>AA511*(1+AB511)</f>
        <v>3416.9763608576</v>
      </c>
      <c r="AD511" s="517"/>
      <c r="AF511" s="515"/>
      <c r="AG511" s="513"/>
      <c r="AH511" s="513"/>
      <c r="AI511" s="518"/>
      <c r="AJ511" s="534"/>
      <c r="AK511" s="535"/>
      <c r="AL511" s="516"/>
      <c r="AM511" s="536"/>
      <c r="AN511" s="537"/>
      <c r="AO511" s="536"/>
      <c r="AP511" s="518"/>
      <c r="AQ511" s="518"/>
      <c r="AR511" s="518"/>
      <c r="AS511" s="518"/>
      <c r="AT511" s="518"/>
      <c r="AU511" s="536"/>
      <c r="AV511" s="536"/>
      <c r="AW511" s="538"/>
      <c r="AX511" s="513"/>
      <c r="AY511" s="513"/>
      <c r="AZ511" s="513"/>
      <c r="BA511" s="513"/>
    </row>
    <row r="512" spans="1:53" s="514" customFormat="1" ht="12.75" customHeight="1" x14ac:dyDescent="0.25">
      <c r="A512" s="1136"/>
      <c r="B512" s="572" t="s">
        <v>1177</v>
      </c>
      <c r="C512" s="502"/>
      <c r="D512" s="566"/>
      <c r="E512" s="541" t="s">
        <v>1437</v>
      </c>
      <c r="F512" s="542" t="s">
        <v>1438</v>
      </c>
      <c r="G512" s="543">
        <v>0.74</v>
      </c>
      <c r="H512" s="542">
        <v>0.1</v>
      </c>
      <c r="I512" s="544">
        <f t="shared" ref="I512:I521" si="47">G512*H512</f>
        <v>7.3999999999999996E-2</v>
      </c>
      <c r="J512" s="525" t="s">
        <v>1291</v>
      </c>
      <c r="K512" s="545">
        <v>2</v>
      </c>
      <c r="L512" s="546">
        <v>750</v>
      </c>
      <c r="M512" s="545">
        <v>2</v>
      </c>
      <c r="N512" s="528">
        <v>1.1745000000000001</v>
      </c>
      <c r="O512" s="547" t="s">
        <v>1578</v>
      </c>
      <c r="P512" s="527">
        <v>188900</v>
      </c>
      <c r="Q512" s="548">
        <v>0.19670000000000001</v>
      </c>
      <c r="R512" s="527">
        <f>P512*Q512</f>
        <v>37156.630000000005</v>
      </c>
      <c r="S512" s="527">
        <v>8.1902000000000008</v>
      </c>
      <c r="T512" s="512" t="s">
        <v>1435</v>
      </c>
      <c r="U512" s="523">
        <v>6785401.3499999996</v>
      </c>
      <c r="V512" s="549">
        <v>1.32E-2</v>
      </c>
      <c r="W512" s="512">
        <v>1508.3</v>
      </c>
      <c r="X512" s="528">
        <v>59.38</v>
      </c>
      <c r="Y512" s="527">
        <v>9.1999999999999998E-3</v>
      </c>
      <c r="Z512" s="527"/>
      <c r="AA512" s="512"/>
      <c r="AB512" s="460">
        <v>0.3</v>
      </c>
      <c r="AC512" s="512"/>
      <c r="AD512" s="513"/>
      <c r="AF512" s="550"/>
      <c r="AG512" s="513"/>
      <c r="AH512" s="513"/>
      <c r="AI512" s="513"/>
      <c r="AJ512" s="551"/>
      <c r="AK512" s="513"/>
      <c r="AL512" s="516"/>
      <c r="AM512" s="513"/>
      <c r="AN512" s="513"/>
      <c r="AO512" s="517"/>
      <c r="AP512" s="513"/>
      <c r="AQ512" s="513"/>
      <c r="AR512" s="517"/>
      <c r="AS512" s="517"/>
      <c r="AT512" s="518"/>
      <c r="AU512" s="513"/>
      <c r="AV512" s="517"/>
      <c r="AW512" s="513"/>
      <c r="AX512" s="513"/>
      <c r="AY512" s="513"/>
      <c r="AZ512" s="513"/>
      <c r="BA512" s="513"/>
    </row>
    <row r="513" spans="1:53" s="514" customFormat="1" x14ac:dyDescent="0.25">
      <c r="A513" s="1136"/>
      <c r="B513" s="565" t="s">
        <v>1178</v>
      </c>
      <c r="C513" s="491">
        <f>C499</f>
        <v>43.888814515309463</v>
      </c>
      <c r="D513" s="566"/>
      <c r="E513" s="541" t="s">
        <v>1439</v>
      </c>
      <c r="F513" s="542" t="s">
        <v>1438</v>
      </c>
      <c r="G513" s="543">
        <v>0.27</v>
      </c>
      <c r="H513" s="542">
        <v>0.01</v>
      </c>
      <c r="I513" s="544">
        <f t="shared" si="47"/>
        <v>2.7000000000000001E-3</v>
      </c>
      <c r="J513" s="525" t="s">
        <v>1445</v>
      </c>
      <c r="K513" s="528">
        <v>2</v>
      </c>
      <c r="L513" s="553">
        <v>95</v>
      </c>
      <c r="M513" s="545">
        <v>2</v>
      </c>
      <c r="N513" s="528">
        <v>3.1146400000000001</v>
      </c>
      <c r="O513" s="527" t="s">
        <v>1580</v>
      </c>
      <c r="P513" s="527">
        <v>39500</v>
      </c>
      <c r="Q513" s="548">
        <v>0.19670000000000001</v>
      </c>
      <c r="R513" s="527">
        <f>P513*Q513</f>
        <v>7769.6500000000005</v>
      </c>
      <c r="S513" s="527">
        <v>1.7125999999999999</v>
      </c>
      <c r="T513" s="527"/>
      <c r="U513" s="527"/>
      <c r="V513" s="527"/>
      <c r="W513" s="548"/>
      <c r="X513" s="527"/>
      <c r="Y513" s="527"/>
      <c r="Z513" s="527"/>
      <c r="AA513" s="512"/>
      <c r="AB513" s="460">
        <v>0.3</v>
      </c>
      <c r="AC513" s="512"/>
      <c r="AD513" s="513"/>
      <c r="AF513" s="550"/>
      <c r="AG513" s="513"/>
      <c r="AH513" s="513"/>
      <c r="AI513" s="513"/>
      <c r="AJ513" s="551"/>
      <c r="AK513" s="513"/>
      <c r="AL513" s="516"/>
      <c r="AM513" s="538"/>
      <c r="AN513" s="513"/>
      <c r="AO513" s="517"/>
      <c r="AP513" s="513"/>
      <c r="AQ513" s="513"/>
      <c r="AR513" s="517"/>
      <c r="AS513" s="517"/>
      <c r="AT513" s="513"/>
      <c r="AU513" s="513"/>
      <c r="AV513" s="517"/>
      <c r="AW513" s="513"/>
      <c r="AX513" s="513"/>
      <c r="AY513" s="513"/>
      <c r="AZ513" s="513"/>
      <c r="BA513" s="513"/>
    </row>
    <row r="514" spans="1:53" s="514" customFormat="1" ht="12.75" customHeight="1" x14ac:dyDescent="0.25">
      <c r="A514" s="1136"/>
      <c r="B514" s="521" t="s">
        <v>1179</v>
      </c>
      <c r="C514" s="487">
        <f>C500</f>
        <v>19.495759833054819</v>
      </c>
      <c r="D514" s="566"/>
      <c r="E514" s="541" t="s">
        <v>1440</v>
      </c>
      <c r="F514" s="542" t="s">
        <v>1441</v>
      </c>
      <c r="G514" s="543">
        <v>5.92</v>
      </c>
      <c r="H514" s="555">
        <v>1</v>
      </c>
      <c r="I514" s="544">
        <f t="shared" si="47"/>
        <v>5.92</v>
      </c>
      <c r="J514" s="525" t="s">
        <v>1513</v>
      </c>
      <c r="K514" s="528">
        <v>2</v>
      </c>
      <c r="L514" s="528">
        <v>25</v>
      </c>
      <c r="M514" s="545">
        <v>0.5</v>
      </c>
      <c r="N514" s="528">
        <v>0.13225000000000001</v>
      </c>
      <c r="O514" s="527"/>
      <c r="P514" s="527"/>
      <c r="Q514" s="548"/>
      <c r="R514" s="527"/>
      <c r="S514" s="527"/>
      <c r="T514" s="527"/>
      <c r="U514" s="527"/>
      <c r="V514" s="527"/>
      <c r="W514" s="548"/>
      <c r="X514" s="527"/>
      <c r="Y514" s="527"/>
      <c r="Z514" s="527"/>
      <c r="AA514" s="512"/>
      <c r="AB514" s="460">
        <v>0.3</v>
      </c>
      <c r="AC514" s="512"/>
      <c r="AD514" s="513"/>
      <c r="AF514" s="550"/>
      <c r="AG514" s="513"/>
      <c r="AH514" s="513"/>
      <c r="AI514" s="513"/>
      <c r="AJ514" s="551"/>
      <c r="AK514" s="513"/>
      <c r="AL514" s="516"/>
      <c r="AM514" s="513"/>
      <c r="AN514" s="513"/>
      <c r="AO514" s="517"/>
      <c r="AP514" s="513"/>
      <c r="AQ514" s="513"/>
      <c r="AR514" s="517"/>
      <c r="AS514" s="517"/>
      <c r="AT514" s="513"/>
      <c r="AU514" s="513"/>
      <c r="AV514" s="517"/>
      <c r="AW514" s="513"/>
      <c r="AX514" s="513"/>
      <c r="AY514" s="513"/>
      <c r="AZ514" s="513"/>
      <c r="BA514" s="513"/>
    </row>
    <row r="515" spans="1:53" s="514" customFormat="1" ht="12.75" customHeight="1" x14ac:dyDescent="0.25">
      <c r="A515" s="1136"/>
      <c r="B515" s="521" t="s">
        <v>1180</v>
      </c>
      <c r="C515" s="567"/>
      <c r="D515" s="566"/>
      <c r="E515" s="541" t="s">
        <v>1442</v>
      </c>
      <c r="F515" s="542" t="s">
        <v>1443</v>
      </c>
      <c r="G515" s="543">
        <v>419.5</v>
      </c>
      <c r="H515" s="542">
        <v>0.01</v>
      </c>
      <c r="I515" s="544">
        <f t="shared" si="47"/>
        <v>4.1950000000000003</v>
      </c>
      <c r="J515" s="525"/>
      <c r="K515" s="557"/>
      <c r="L515" s="528"/>
      <c r="M515" s="528"/>
      <c r="N515" s="528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12"/>
      <c r="AB515" s="460">
        <v>0.3</v>
      </c>
      <c r="AC515" s="512"/>
      <c r="AD515" s="513"/>
      <c r="AF515" s="550"/>
      <c r="AG515" s="513"/>
      <c r="AH515" s="513"/>
      <c r="AI515" s="513"/>
      <c r="AJ515" s="551"/>
      <c r="AK515" s="513"/>
      <c r="AL515" s="516"/>
      <c r="AM515" s="513"/>
      <c r="AN515" s="513"/>
      <c r="AO515" s="517"/>
      <c r="AP515" s="513"/>
      <c r="AQ515" s="513"/>
      <c r="AR515" s="517"/>
      <c r="AS515" s="517"/>
      <c r="AT515" s="513"/>
      <c r="AU515" s="513"/>
      <c r="AV515" s="517"/>
      <c r="AW515" s="513"/>
      <c r="AX515" s="513"/>
      <c r="AY515" s="513"/>
      <c r="AZ515" s="513"/>
      <c r="BA515" s="513"/>
    </row>
    <row r="516" spans="1:53" s="514" customFormat="1" ht="12.75" customHeight="1" x14ac:dyDescent="0.25">
      <c r="A516" s="1136"/>
      <c r="B516" s="565" t="s">
        <v>1178</v>
      </c>
      <c r="C516" s="568">
        <v>14</v>
      </c>
      <c r="D516" s="566"/>
      <c r="E516" s="541" t="s">
        <v>1444</v>
      </c>
      <c r="F516" s="542" t="s">
        <v>1443</v>
      </c>
      <c r="G516" s="543">
        <v>872</v>
      </c>
      <c r="H516" s="542">
        <v>5.0000000000000001E-3</v>
      </c>
      <c r="I516" s="544">
        <f t="shared" si="47"/>
        <v>4.3600000000000003</v>
      </c>
      <c r="J516" s="525"/>
      <c r="K516" s="557"/>
      <c r="L516" s="528"/>
      <c r="M516" s="528"/>
      <c r="N516" s="528"/>
      <c r="O516" s="527"/>
      <c r="P516" s="527"/>
      <c r="Q516" s="527"/>
      <c r="R516" s="527"/>
      <c r="S516" s="527"/>
      <c r="T516" s="527"/>
      <c r="U516" s="527"/>
      <c r="V516" s="527"/>
      <c r="W516" s="527"/>
      <c r="X516" s="527"/>
      <c r="Y516" s="527"/>
      <c r="Z516" s="527"/>
      <c r="AA516" s="512"/>
      <c r="AB516" s="460">
        <v>0.3</v>
      </c>
      <c r="AC516" s="512"/>
      <c r="AD516" s="513"/>
      <c r="AF516" s="550"/>
      <c r="AG516" s="513"/>
      <c r="AH516" s="513"/>
      <c r="AI516" s="513"/>
      <c r="AJ516" s="558"/>
      <c r="AK516" s="513"/>
      <c r="AL516" s="516"/>
      <c r="AM516" s="513"/>
      <c r="AN516" s="513"/>
      <c r="AO516" s="517"/>
      <c r="AP516" s="513"/>
      <c r="AQ516" s="513"/>
      <c r="AR516" s="517"/>
      <c r="AS516" s="517"/>
      <c r="AT516" s="513"/>
      <c r="AU516" s="513"/>
      <c r="AV516" s="517"/>
      <c r="AW516" s="513"/>
      <c r="AX516" s="513"/>
      <c r="AY516" s="513"/>
      <c r="AZ516" s="513"/>
      <c r="BA516" s="513"/>
    </row>
    <row r="517" spans="1:53" s="514" customFormat="1" ht="12.75" customHeight="1" x14ac:dyDescent="0.25">
      <c r="A517" s="1136"/>
      <c r="B517" s="521" t="s">
        <v>1179</v>
      </c>
      <c r="C517" s="568">
        <v>14</v>
      </c>
      <c r="D517" s="566"/>
      <c r="E517" s="559" t="s">
        <v>581</v>
      </c>
      <c r="F517" s="560" t="s">
        <v>1438</v>
      </c>
      <c r="G517" s="543">
        <v>16.39</v>
      </c>
      <c r="H517" s="542">
        <v>0.25</v>
      </c>
      <c r="I517" s="544">
        <f t="shared" si="47"/>
        <v>4.0975000000000001</v>
      </c>
      <c r="J517" s="525"/>
      <c r="K517" s="557"/>
      <c r="L517" s="546"/>
      <c r="M517" s="545"/>
      <c r="N517" s="528"/>
      <c r="O517" s="527"/>
      <c r="P517" s="527"/>
      <c r="Q517" s="527"/>
      <c r="R517" s="527"/>
      <c r="S517" s="527"/>
      <c r="T517" s="527"/>
      <c r="U517" s="527"/>
      <c r="V517" s="527"/>
      <c r="W517" s="527"/>
      <c r="X517" s="527"/>
      <c r="Y517" s="527"/>
      <c r="Z517" s="527"/>
      <c r="AA517" s="512"/>
      <c r="AB517" s="460">
        <v>0.3</v>
      </c>
      <c r="AC517" s="512"/>
      <c r="AD517" s="513"/>
      <c r="AF517" s="550"/>
      <c r="AG517" s="513"/>
      <c r="AH517" s="513"/>
      <c r="AI517" s="513"/>
      <c r="AJ517" s="558"/>
      <c r="AK517" s="513"/>
      <c r="AL517" s="516"/>
      <c r="AM517" s="513"/>
      <c r="AN517" s="513"/>
      <c r="AO517" s="517"/>
      <c r="AP517" s="513"/>
      <c r="AQ517" s="513"/>
      <c r="AR517" s="517"/>
      <c r="AS517" s="517"/>
      <c r="AT517" s="513"/>
      <c r="AU517" s="513"/>
      <c r="AV517" s="517"/>
      <c r="AW517" s="513"/>
      <c r="AX517" s="513"/>
      <c r="AY517" s="513"/>
      <c r="AZ517" s="513"/>
      <c r="BA517" s="513"/>
    </row>
    <row r="518" spans="1:53" s="514" customFormat="1" ht="12.75" customHeight="1" x14ac:dyDescent="0.25">
      <c r="A518" s="1136"/>
      <c r="B518" s="569" t="s">
        <v>1181</v>
      </c>
      <c r="C518" s="502">
        <f>C513*C516+C514*C517</f>
        <v>887.38404087709989</v>
      </c>
      <c r="D518" s="566"/>
      <c r="E518" s="645" t="s">
        <v>26</v>
      </c>
      <c r="F518" s="646" t="s">
        <v>1</v>
      </c>
      <c r="G518" s="543">
        <v>6.67</v>
      </c>
      <c r="H518" s="523">
        <v>1</v>
      </c>
      <c r="I518" s="544">
        <f t="shared" si="47"/>
        <v>6.67</v>
      </c>
      <c r="J518" s="525"/>
      <c r="K518" s="557"/>
      <c r="L518" s="528"/>
      <c r="M518" s="528"/>
      <c r="N518" s="528"/>
      <c r="O518" s="527"/>
      <c r="P518" s="527"/>
      <c r="Q518" s="527"/>
      <c r="R518" s="527"/>
      <c r="S518" s="527"/>
      <c r="T518" s="527"/>
      <c r="U518" s="527"/>
      <c r="V518" s="527"/>
      <c r="W518" s="527"/>
      <c r="X518" s="527"/>
      <c r="Y518" s="527"/>
      <c r="Z518" s="527"/>
      <c r="AA518" s="512"/>
      <c r="AB518" s="460">
        <v>0.3</v>
      </c>
      <c r="AC518" s="512"/>
      <c r="AD518" s="513"/>
      <c r="AF518" s="550"/>
      <c r="AG518" s="513"/>
      <c r="AH518" s="513"/>
      <c r="AI518" s="513"/>
      <c r="AJ518" s="551"/>
      <c r="AK518" s="513"/>
      <c r="AL518" s="516"/>
      <c r="AM518" s="513"/>
      <c r="AN518" s="513"/>
      <c r="AO518" s="517"/>
      <c r="AP518" s="513"/>
      <c r="AQ518" s="513"/>
      <c r="AR518" s="517"/>
      <c r="AS518" s="517"/>
      <c r="AT518" s="513"/>
      <c r="AU518" s="513"/>
      <c r="AV518" s="517"/>
      <c r="AW518" s="513"/>
      <c r="AX518" s="513"/>
      <c r="AY518" s="513"/>
      <c r="AZ518" s="513"/>
      <c r="BA518" s="513"/>
    </row>
    <row r="519" spans="1:53" s="514" customFormat="1" ht="12.75" customHeight="1" x14ac:dyDescent="0.25">
      <c r="A519" s="1136"/>
      <c r="B519" s="569"/>
      <c r="C519" s="502"/>
      <c r="D519" s="566"/>
      <c r="E519" s="645" t="s">
        <v>27</v>
      </c>
      <c r="F519" s="646" t="s">
        <v>1</v>
      </c>
      <c r="G519" s="543">
        <v>13.78</v>
      </c>
      <c r="H519" s="523">
        <v>2.5</v>
      </c>
      <c r="I519" s="544">
        <f t="shared" si="47"/>
        <v>34.449999999999996</v>
      </c>
      <c r="J519" s="525"/>
      <c r="K519" s="557"/>
      <c r="L519" s="528"/>
      <c r="M519" s="528"/>
      <c r="N519" s="528"/>
      <c r="O519" s="527"/>
      <c r="P519" s="527"/>
      <c r="Q519" s="527"/>
      <c r="R519" s="527"/>
      <c r="S519" s="527"/>
      <c r="T519" s="527"/>
      <c r="U519" s="527"/>
      <c r="V519" s="527"/>
      <c r="W519" s="527"/>
      <c r="X519" s="527"/>
      <c r="Y519" s="527"/>
      <c r="Z519" s="527"/>
      <c r="AA519" s="512"/>
      <c r="AB519" s="460"/>
      <c r="AC519" s="512"/>
      <c r="AD519" s="513"/>
      <c r="AF519" s="550"/>
      <c r="AG519" s="513"/>
      <c r="AH519" s="513"/>
      <c r="AI519" s="513"/>
      <c r="AJ519" s="551"/>
      <c r="AK519" s="513"/>
      <c r="AL519" s="516"/>
      <c r="AM519" s="513"/>
      <c r="AN519" s="513"/>
      <c r="AO519" s="517"/>
      <c r="AP519" s="513"/>
      <c r="AQ519" s="513"/>
      <c r="AR519" s="517"/>
      <c r="AS519" s="517"/>
      <c r="AT519" s="513"/>
      <c r="AU519" s="513"/>
      <c r="AV519" s="517"/>
      <c r="AW519" s="513"/>
      <c r="AX519" s="513"/>
      <c r="AY519" s="513"/>
      <c r="AZ519" s="513"/>
      <c r="BA519" s="513"/>
    </row>
    <row r="520" spans="1:53" s="514" customFormat="1" ht="12.75" customHeight="1" x14ac:dyDescent="0.25">
      <c r="A520" s="1136"/>
      <c r="B520" s="569"/>
      <c r="C520" s="502"/>
      <c r="D520" s="566"/>
      <c r="E520" s="645" t="s">
        <v>18</v>
      </c>
      <c r="F520" s="646" t="s">
        <v>1438</v>
      </c>
      <c r="G520" s="543">
        <v>0.94</v>
      </c>
      <c r="H520" s="523">
        <v>0.5</v>
      </c>
      <c r="I520" s="544">
        <f t="shared" si="47"/>
        <v>0.47</v>
      </c>
      <c r="J520" s="525"/>
      <c r="K520" s="557"/>
      <c r="L520" s="528"/>
      <c r="M520" s="528"/>
      <c r="N520" s="528"/>
      <c r="O520" s="527"/>
      <c r="P520" s="527"/>
      <c r="Q520" s="527"/>
      <c r="R520" s="527"/>
      <c r="S520" s="527"/>
      <c r="T520" s="527"/>
      <c r="U520" s="527"/>
      <c r="V520" s="527"/>
      <c r="W520" s="527"/>
      <c r="X520" s="527"/>
      <c r="Y520" s="527"/>
      <c r="Z520" s="527"/>
      <c r="AA520" s="512"/>
      <c r="AB520" s="460"/>
      <c r="AC520" s="512"/>
      <c r="AD520" s="513"/>
      <c r="AF520" s="550"/>
      <c r="AG520" s="513"/>
      <c r="AH520" s="513"/>
      <c r="AI520" s="513"/>
      <c r="AJ520" s="551"/>
      <c r="AK520" s="513"/>
      <c r="AL520" s="516"/>
      <c r="AM520" s="513"/>
      <c r="AN520" s="513"/>
      <c r="AO520" s="517"/>
      <c r="AP520" s="513"/>
      <c r="AQ520" s="513"/>
      <c r="AR520" s="517"/>
      <c r="AS520" s="517"/>
      <c r="AT520" s="513"/>
      <c r="AU520" s="513"/>
      <c r="AV520" s="517"/>
      <c r="AW520" s="513"/>
      <c r="AX520" s="513"/>
      <c r="AY520" s="513"/>
      <c r="AZ520" s="513"/>
      <c r="BA520" s="513"/>
    </row>
    <row r="521" spans="1:53" s="514" customFormat="1" ht="12.75" customHeight="1" x14ac:dyDescent="0.25">
      <c r="A521" s="1136"/>
      <c r="B521" s="569"/>
      <c r="C521" s="502"/>
      <c r="D521" s="566"/>
      <c r="E521" s="645" t="s">
        <v>13</v>
      </c>
      <c r="F521" s="646" t="s">
        <v>1441</v>
      </c>
      <c r="G521" s="543">
        <v>1.5</v>
      </c>
      <c r="H521" s="523">
        <v>1</v>
      </c>
      <c r="I521" s="544">
        <f t="shared" si="47"/>
        <v>1.5</v>
      </c>
      <c r="J521" s="525"/>
      <c r="K521" s="557"/>
      <c r="L521" s="528"/>
      <c r="M521" s="528"/>
      <c r="N521" s="528"/>
      <c r="O521" s="527"/>
      <c r="P521" s="527"/>
      <c r="Q521" s="527"/>
      <c r="R521" s="527"/>
      <c r="S521" s="527"/>
      <c r="T521" s="527"/>
      <c r="U521" s="527"/>
      <c r="V521" s="527"/>
      <c r="W521" s="527"/>
      <c r="X521" s="527"/>
      <c r="Y521" s="527"/>
      <c r="Z521" s="527"/>
      <c r="AA521" s="512"/>
      <c r="AB521" s="460"/>
      <c r="AC521" s="512"/>
      <c r="AD521" s="513"/>
      <c r="AF521" s="550"/>
      <c r="AG521" s="513"/>
      <c r="AH521" s="513"/>
      <c r="AI521" s="513"/>
      <c r="AJ521" s="551"/>
      <c r="AK521" s="513"/>
      <c r="AL521" s="516"/>
      <c r="AM521" s="513"/>
      <c r="AN521" s="513"/>
      <c r="AO521" s="517"/>
      <c r="AP521" s="513"/>
      <c r="AQ521" s="513"/>
      <c r="AR521" s="517"/>
      <c r="AS521" s="517"/>
      <c r="AT521" s="513"/>
      <c r="AU521" s="513"/>
      <c r="AV521" s="517"/>
      <c r="AW521" s="513"/>
      <c r="AX521" s="513"/>
      <c r="AY521" s="513"/>
      <c r="AZ521" s="513"/>
      <c r="BA521" s="513"/>
    </row>
    <row r="522" spans="1:53" s="514" customFormat="1" ht="12.75" customHeight="1" x14ac:dyDescent="0.25">
      <c r="A522" s="1136"/>
      <c r="B522" s="569"/>
      <c r="C522" s="568"/>
      <c r="D522" s="566"/>
      <c r="E522" s="573"/>
      <c r="F522" s="574"/>
      <c r="G522" s="543"/>
      <c r="H522" s="523"/>
      <c r="I522" s="544"/>
      <c r="J522" s="525"/>
      <c r="K522" s="557"/>
      <c r="L522" s="528"/>
      <c r="M522" s="528"/>
      <c r="N522" s="528"/>
      <c r="O522" s="527"/>
      <c r="P522" s="527"/>
      <c r="Q522" s="527"/>
      <c r="R522" s="527"/>
      <c r="S522" s="527"/>
      <c r="T522" s="527"/>
      <c r="U522" s="527"/>
      <c r="V522" s="527"/>
      <c r="W522" s="527"/>
      <c r="X522" s="527"/>
      <c r="Y522" s="527"/>
      <c r="Z522" s="527"/>
      <c r="AA522" s="512"/>
      <c r="AB522" s="460">
        <v>0.3</v>
      </c>
      <c r="AC522" s="512"/>
      <c r="AD522" s="513"/>
      <c r="AF522" s="517"/>
      <c r="AG522" s="513"/>
      <c r="AH522" s="513"/>
      <c r="AI522" s="513"/>
      <c r="AJ522" s="558"/>
      <c r="AK522" s="513"/>
      <c r="AL522" s="516"/>
      <c r="AM522" s="513"/>
      <c r="AN522" s="513"/>
      <c r="AO522" s="517"/>
      <c r="AP522" s="513"/>
      <c r="AQ522" s="513"/>
      <c r="AR522" s="517"/>
      <c r="AS522" s="517"/>
      <c r="AT522" s="513"/>
      <c r="AU522" s="513"/>
      <c r="AV522" s="517"/>
      <c r="AW522" s="513"/>
      <c r="AX522" s="513"/>
      <c r="AY522" s="513"/>
      <c r="AZ522" s="513"/>
      <c r="BA522" s="513"/>
    </row>
    <row r="523" spans="1:53" s="514" customFormat="1" ht="56.25" customHeight="1" x14ac:dyDescent="0.25">
      <c r="A523" s="1136" t="s">
        <v>1537</v>
      </c>
      <c r="B523" s="503"/>
      <c r="C523" s="502"/>
      <c r="D523" s="570"/>
      <c r="E523" s="576" t="s">
        <v>488</v>
      </c>
      <c r="F523" s="507" t="s">
        <v>837</v>
      </c>
      <c r="G523" s="503" t="s">
        <v>489</v>
      </c>
      <c r="H523" s="505" t="s">
        <v>1170</v>
      </c>
      <c r="I523" s="507" t="s">
        <v>838</v>
      </c>
      <c r="J523" s="508" t="s">
        <v>1171</v>
      </c>
      <c r="K523" s="508" t="s">
        <v>490</v>
      </c>
      <c r="L523" s="509" t="s">
        <v>489</v>
      </c>
      <c r="M523" s="508" t="s">
        <v>1172</v>
      </c>
      <c r="N523" s="507" t="s">
        <v>838</v>
      </c>
      <c r="O523" s="508" t="s">
        <v>1171</v>
      </c>
      <c r="P523" s="508" t="s">
        <v>826</v>
      </c>
      <c r="Q523" s="508" t="s">
        <v>1173</v>
      </c>
      <c r="R523" s="508" t="s">
        <v>1174</v>
      </c>
      <c r="S523" s="508" t="s">
        <v>839</v>
      </c>
      <c r="T523" s="508" t="s">
        <v>1171</v>
      </c>
      <c r="U523" s="508" t="s">
        <v>1392</v>
      </c>
      <c r="V523" s="508" t="s">
        <v>841</v>
      </c>
      <c r="W523" s="510" t="s">
        <v>1173</v>
      </c>
      <c r="X523" s="508" t="s">
        <v>1394</v>
      </c>
      <c r="Y523" s="508" t="s">
        <v>839</v>
      </c>
      <c r="Z523" s="511"/>
      <c r="AA523" s="512"/>
      <c r="AB523" s="460">
        <v>0.3</v>
      </c>
      <c r="AC523" s="512"/>
      <c r="AD523" s="513"/>
      <c r="AF523" s="515"/>
      <c r="AG523" s="513"/>
      <c r="AH523" s="513"/>
      <c r="AI523" s="513"/>
      <c r="AJ523" s="513"/>
      <c r="AK523" s="513"/>
      <c r="AL523" s="516"/>
      <c r="AM523" s="513"/>
      <c r="AN523" s="513"/>
      <c r="AO523" s="517"/>
      <c r="AP523" s="513"/>
      <c r="AQ523" s="518"/>
      <c r="AR523" s="518"/>
      <c r="AS523" s="518"/>
      <c r="AT523" s="513"/>
      <c r="AU523" s="513"/>
      <c r="AV523" s="517"/>
      <c r="AW523" s="513"/>
      <c r="AX523" s="513"/>
      <c r="AY523" s="513"/>
      <c r="AZ523" s="513"/>
      <c r="BA523" s="513"/>
    </row>
    <row r="524" spans="1:53" s="514" customFormat="1" ht="12" customHeight="1" x14ac:dyDescent="0.25">
      <c r="A524" s="1136"/>
      <c r="B524" s="519" t="s">
        <v>1175</v>
      </c>
      <c r="C524" s="502">
        <f>C531</f>
        <v>1140.9223382705572</v>
      </c>
      <c r="D524" s="570">
        <f>C524*$D$7</f>
        <v>230.46631233065258</v>
      </c>
      <c r="E524" s="573" t="s">
        <v>1176</v>
      </c>
      <c r="F524" s="571"/>
      <c r="G524" s="523"/>
      <c r="H524" s="523"/>
      <c r="I524" s="524">
        <f>SUM(I525:I535)</f>
        <v>54.849199999999996</v>
      </c>
      <c r="J524" s="525" t="s">
        <v>1176</v>
      </c>
      <c r="K524" s="526"/>
      <c r="L524" s="527"/>
      <c r="M524" s="527"/>
      <c r="N524" s="528">
        <f>SUM(N525:N535)</f>
        <v>4.4213899999999997</v>
      </c>
      <c r="O524" s="527" t="s">
        <v>1176</v>
      </c>
      <c r="P524" s="527"/>
      <c r="Q524" s="529"/>
      <c r="R524" s="530"/>
      <c r="S524" s="528">
        <f>SUM(S525:S535)</f>
        <v>9.9028000000000009</v>
      </c>
      <c r="T524" s="528"/>
      <c r="U524" s="528"/>
      <c r="V524" s="528"/>
      <c r="W524" s="528"/>
      <c r="X524" s="528"/>
      <c r="Y524" s="528">
        <f>SUM(Y525:Y535)</f>
        <v>9.1999999999999998E-3</v>
      </c>
      <c r="Z524" s="531">
        <f>(C524+D524+I524+N524+S524+Y524)*$Z$7</f>
        <v>1873.0129976238013</v>
      </c>
      <c r="AA524" s="532">
        <f>C524+D524+I524+N524+S524+Y524+Z524</f>
        <v>3313.5842382250112</v>
      </c>
      <c r="AB524" s="460">
        <v>0.3</v>
      </c>
      <c r="AC524" s="533">
        <f>AA524*(1+AB524)</f>
        <v>4307.6595096925148</v>
      </c>
      <c r="AD524" s="517"/>
      <c r="AF524" s="515"/>
      <c r="AG524" s="513"/>
      <c r="AH524" s="513"/>
      <c r="AI524" s="518"/>
      <c r="AJ524" s="534"/>
      <c r="AK524" s="535"/>
      <c r="AL524" s="516"/>
      <c r="AM524" s="536"/>
      <c r="AN524" s="537"/>
      <c r="AO524" s="536"/>
      <c r="AP524" s="518"/>
      <c r="AQ524" s="518"/>
      <c r="AR524" s="518"/>
      <c r="AS524" s="518"/>
      <c r="AT524" s="518"/>
      <c r="AU524" s="536"/>
      <c r="AV524" s="536"/>
      <c r="AW524" s="538"/>
      <c r="AX524" s="513"/>
      <c r="AY524" s="513"/>
      <c r="AZ524" s="513"/>
      <c r="BA524" s="513"/>
    </row>
    <row r="525" spans="1:53" s="514" customFormat="1" ht="12.75" customHeight="1" x14ac:dyDescent="0.25">
      <c r="A525" s="1136"/>
      <c r="B525" s="572" t="s">
        <v>1177</v>
      </c>
      <c r="C525" s="502"/>
      <c r="D525" s="566"/>
      <c r="E525" s="541" t="s">
        <v>1437</v>
      </c>
      <c r="F525" s="542" t="s">
        <v>1438</v>
      </c>
      <c r="G525" s="543">
        <v>0.74</v>
      </c>
      <c r="H525" s="542">
        <v>0.1</v>
      </c>
      <c r="I525" s="544">
        <f t="shared" ref="I525:I534" si="48">G525*H525</f>
        <v>7.3999999999999996E-2</v>
      </c>
      <c r="J525" s="525" t="s">
        <v>1291</v>
      </c>
      <c r="K525" s="545">
        <v>2</v>
      </c>
      <c r="L525" s="546">
        <v>750</v>
      </c>
      <c r="M525" s="545">
        <v>2</v>
      </c>
      <c r="N525" s="528">
        <v>1.1745000000000001</v>
      </c>
      <c r="O525" s="547" t="s">
        <v>1578</v>
      </c>
      <c r="P525" s="527">
        <v>188900</v>
      </c>
      <c r="Q525" s="548">
        <v>0.19670000000000001</v>
      </c>
      <c r="R525" s="527">
        <f>P525*Q525</f>
        <v>37156.630000000005</v>
      </c>
      <c r="S525" s="527">
        <v>8.1902000000000008</v>
      </c>
      <c r="T525" s="512" t="s">
        <v>1435</v>
      </c>
      <c r="U525" s="523">
        <v>6785401.3499999996</v>
      </c>
      <c r="V525" s="549">
        <v>1.32E-2</v>
      </c>
      <c r="W525" s="512">
        <v>1508.3</v>
      </c>
      <c r="X525" s="528">
        <v>59.38</v>
      </c>
      <c r="Y525" s="527">
        <v>9.1999999999999998E-3</v>
      </c>
      <c r="Z525" s="527"/>
      <c r="AA525" s="512"/>
      <c r="AB525" s="460">
        <v>0.3</v>
      </c>
      <c r="AC525" s="512"/>
      <c r="AD525" s="513"/>
      <c r="AF525" s="517"/>
      <c r="AG525" s="513"/>
      <c r="AH525" s="513"/>
      <c r="AI525" s="513"/>
      <c r="AJ525" s="558"/>
      <c r="AK525" s="513"/>
      <c r="AL525" s="516"/>
      <c r="AM525" s="513"/>
      <c r="AN525" s="513"/>
      <c r="AO525" s="517"/>
      <c r="AP525" s="513"/>
      <c r="AQ525" s="513"/>
      <c r="AR525" s="517"/>
      <c r="AS525" s="517"/>
      <c r="AT525" s="513"/>
      <c r="AU525" s="513"/>
      <c r="AV525" s="517"/>
      <c r="AW525" s="513"/>
      <c r="AX525" s="513"/>
      <c r="AY525" s="513"/>
      <c r="AZ525" s="513"/>
      <c r="BA525" s="513"/>
    </row>
    <row r="526" spans="1:53" s="514" customFormat="1" ht="12.75" customHeight="1" x14ac:dyDescent="0.25">
      <c r="A526" s="1136"/>
      <c r="B526" s="565" t="s">
        <v>1178</v>
      </c>
      <c r="C526" s="491">
        <f>C513</f>
        <v>43.888814515309463</v>
      </c>
      <c r="D526" s="566"/>
      <c r="E526" s="541" t="s">
        <v>1439</v>
      </c>
      <c r="F526" s="542" t="s">
        <v>1438</v>
      </c>
      <c r="G526" s="543">
        <v>0.27</v>
      </c>
      <c r="H526" s="542">
        <v>0.01</v>
      </c>
      <c r="I526" s="544">
        <f t="shared" si="48"/>
        <v>2.7000000000000001E-3</v>
      </c>
      <c r="J526" s="525" t="s">
        <v>1445</v>
      </c>
      <c r="K526" s="528">
        <v>2</v>
      </c>
      <c r="L526" s="553">
        <v>95</v>
      </c>
      <c r="M526" s="545">
        <v>2</v>
      </c>
      <c r="N526" s="528">
        <v>3.1146400000000001</v>
      </c>
      <c r="O526" s="527" t="s">
        <v>1580</v>
      </c>
      <c r="P526" s="527">
        <v>39500</v>
      </c>
      <c r="Q526" s="548">
        <v>0.19670000000000001</v>
      </c>
      <c r="R526" s="527">
        <f>P526*Q526</f>
        <v>7769.6500000000005</v>
      </c>
      <c r="S526" s="527">
        <v>1.7125999999999999</v>
      </c>
      <c r="T526" s="527"/>
      <c r="U526" s="527"/>
      <c r="V526" s="527"/>
      <c r="W526" s="548"/>
      <c r="X526" s="527"/>
      <c r="Y526" s="527"/>
      <c r="Z526" s="527"/>
      <c r="AA526" s="512"/>
      <c r="AB526" s="460">
        <v>0.3</v>
      </c>
      <c r="AC526" s="512"/>
      <c r="AD526" s="513"/>
      <c r="AF526" s="517"/>
      <c r="AG526" s="513"/>
      <c r="AH526" s="513"/>
      <c r="AI526" s="513"/>
      <c r="AJ526" s="558"/>
      <c r="AK526" s="513"/>
      <c r="AL526" s="516"/>
      <c r="AM526" s="513"/>
      <c r="AN526" s="513"/>
      <c r="AO526" s="517"/>
      <c r="AP526" s="513"/>
      <c r="AQ526" s="513"/>
      <c r="AR526" s="517"/>
      <c r="AS526" s="517"/>
      <c r="AT526" s="513"/>
      <c r="AU526" s="513"/>
      <c r="AV526" s="517"/>
      <c r="AW526" s="513"/>
      <c r="AX526" s="513"/>
      <c r="AY526" s="513"/>
      <c r="AZ526" s="513"/>
      <c r="BA526" s="513"/>
    </row>
    <row r="527" spans="1:53" s="514" customFormat="1" ht="12.75" customHeight="1" x14ac:dyDescent="0.25">
      <c r="A527" s="1136"/>
      <c r="B527" s="521" t="s">
        <v>1179</v>
      </c>
      <c r="C527" s="487">
        <f>C514</f>
        <v>19.495759833054819</v>
      </c>
      <c r="D527" s="566"/>
      <c r="E527" s="541" t="s">
        <v>1440</v>
      </c>
      <c r="F527" s="542" t="s">
        <v>1441</v>
      </c>
      <c r="G527" s="543">
        <v>5.92</v>
      </c>
      <c r="H527" s="555">
        <v>1</v>
      </c>
      <c r="I527" s="544">
        <f t="shared" si="48"/>
        <v>5.92</v>
      </c>
      <c r="J527" s="525" t="s">
        <v>1513</v>
      </c>
      <c r="K527" s="528">
        <v>2</v>
      </c>
      <c r="L527" s="528">
        <v>25</v>
      </c>
      <c r="M527" s="545">
        <v>0.5</v>
      </c>
      <c r="N527" s="528">
        <v>0.13225000000000001</v>
      </c>
      <c r="O527" s="527"/>
      <c r="P527" s="527"/>
      <c r="Q527" s="548"/>
      <c r="R527" s="527"/>
      <c r="S527" s="527"/>
      <c r="T527" s="527"/>
      <c r="U527" s="527"/>
      <c r="V527" s="527"/>
      <c r="W527" s="548"/>
      <c r="X527" s="527"/>
      <c r="Y527" s="527"/>
      <c r="Z527" s="527"/>
      <c r="AA527" s="512"/>
      <c r="AB527" s="460">
        <v>0.3</v>
      </c>
      <c r="AC527" s="512"/>
      <c r="AD527" s="513"/>
      <c r="AF527" s="517"/>
      <c r="AG527" s="513"/>
      <c r="AH527" s="513"/>
      <c r="AI527" s="513"/>
      <c r="AJ527" s="558"/>
      <c r="AK527" s="513"/>
      <c r="AL527" s="516"/>
      <c r="AM527" s="513"/>
      <c r="AN527" s="513"/>
      <c r="AO527" s="517"/>
      <c r="AP527" s="513"/>
      <c r="AQ527" s="513"/>
      <c r="AR527" s="517"/>
      <c r="AS527" s="517"/>
      <c r="AT527" s="513"/>
      <c r="AU527" s="513"/>
      <c r="AV527" s="517"/>
      <c r="AW527" s="513"/>
      <c r="AX527" s="513"/>
      <c r="AY527" s="513"/>
      <c r="AZ527" s="513"/>
      <c r="BA527" s="513"/>
    </row>
    <row r="528" spans="1:53" s="514" customFormat="1" ht="12.75" customHeight="1" x14ac:dyDescent="0.25">
      <c r="A528" s="1136"/>
      <c r="B528" s="521" t="s">
        <v>1180</v>
      </c>
      <c r="C528" s="567"/>
      <c r="D528" s="566"/>
      <c r="E528" s="541" t="s">
        <v>1442</v>
      </c>
      <c r="F528" s="542" t="s">
        <v>1443</v>
      </c>
      <c r="G528" s="543">
        <v>419.5</v>
      </c>
      <c r="H528" s="542">
        <v>0.01</v>
      </c>
      <c r="I528" s="544">
        <f t="shared" si="48"/>
        <v>4.1950000000000003</v>
      </c>
      <c r="J528" s="525"/>
      <c r="K528" s="557"/>
      <c r="L528" s="528"/>
      <c r="M528" s="528"/>
      <c r="N528" s="528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12"/>
      <c r="AB528" s="460">
        <v>0.3</v>
      </c>
      <c r="AC528" s="512"/>
      <c r="AD528" s="513"/>
      <c r="AF528" s="517"/>
      <c r="AG528" s="513"/>
      <c r="AH528" s="513"/>
      <c r="AI528" s="513"/>
      <c r="AJ528" s="558"/>
      <c r="AK528" s="513"/>
      <c r="AL528" s="516"/>
      <c r="AM528" s="513"/>
      <c r="AN528" s="513"/>
      <c r="AO528" s="517"/>
      <c r="AP528" s="513"/>
      <c r="AQ528" s="513"/>
      <c r="AR528" s="517"/>
      <c r="AS528" s="517"/>
      <c r="AT528" s="513"/>
      <c r="AU528" s="513"/>
      <c r="AV528" s="517"/>
      <c r="AW528" s="513"/>
      <c r="AX528" s="513"/>
      <c r="AY528" s="513"/>
      <c r="AZ528" s="513"/>
      <c r="BA528" s="513"/>
    </row>
    <row r="529" spans="1:53" s="514" customFormat="1" ht="12.75" customHeight="1" x14ac:dyDescent="0.25">
      <c r="A529" s="1136"/>
      <c r="B529" s="565" t="s">
        <v>1178</v>
      </c>
      <c r="C529" s="568">
        <v>18</v>
      </c>
      <c r="D529" s="566"/>
      <c r="E529" s="541" t="s">
        <v>1444</v>
      </c>
      <c r="F529" s="542" t="s">
        <v>1443</v>
      </c>
      <c r="G529" s="543">
        <v>872</v>
      </c>
      <c r="H529" s="542">
        <v>5.0000000000000001E-3</v>
      </c>
      <c r="I529" s="544">
        <f t="shared" si="48"/>
        <v>4.3600000000000003</v>
      </c>
      <c r="J529" s="525"/>
      <c r="K529" s="557"/>
      <c r="L529" s="528"/>
      <c r="M529" s="528"/>
      <c r="N529" s="528"/>
      <c r="O529" s="527"/>
      <c r="P529" s="527"/>
      <c r="Q529" s="527"/>
      <c r="R529" s="527"/>
      <c r="S529" s="527"/>
      <c r="T529" s="527"/>
      <c r="U529" s="527"/>
      <c r="V529" s="527"/>
      <c r="W529" s="527"/>
      <c r="X529" s="527"/>
      <c r="Y529" s="527"/>
      <c r="Z529" s="527"/>
      <c r="AA529" s="512"/>
      <c r="AB529" s="460">
        <v>0.3</v>
      </c>
      <c r="AC529" s="512"/>
      <c r="AD529" s="513"/>
      <c r="AF529" s="517"/>
      <c r="AG529" s="513"/>
      <c r="AH529" s="513"/>
      <c r="AI529" s="513"/>
      <c r="AJ529" s="558"/>
      <c r="AK529" s="513"/>
      <c r="AL529" s="516"/>
      <c r="AM529" s="513"/>
      <c r="AN529" s="513"/>
      <c r="AO529" s="517"/>
      <c r="AP529" s="513"/>
      <c r="AQ529" s="513"/>
      <c r="AR529" s="517"/>
      <c r="AS529" s="517"/>
      <c r="AT529" s="513"/>
      <c r="AU529" s="513"/>
      <c r="AV529" s="517"/>
      <c r="AW529" s="513"/>
      <c r="AX529" s="513"/>
      <c r="AY529" s="513"/>
      <c r="AZ529" s="513"/>
      <c r="BA529" s="513"/>
    </row>
    <row r="530" spans="1:53" s="514" customFormat="1" ht="12.75" customHeight="1" x14ac:dyDescent="0.25">
      <c r="A530" s="1136"/>
      <c r="B530" s="521" t="s">
        <v>1179</v>
      </c>
      <c r="C530" s="568">
        <v>18</v>
      </c>
      <c r="D530" s="566"/>
      <c r="E530" s="559" t="s">
        <v>581</v>
      </c>
      <c r="F530" s="560" t="s">
        <v>1438</v>
      </c>
      <c r="G530" s="543">
        <v>16.39</v>
      </c>
      <c r="H530" s="542">
        <v>0.25</v>
      </c>
      <c r="I530" s="544">
        <f t="shared" si="48"/>
        <v>4.0975000000000001</v>
      </c>
      <c r="J530" s="525"/>
      <c r="K530" s="557"/>
      <c r="L530" s="546"/>
      <c r="M530" s="545"/>
      <c r="N530" s="528"/>
      <c r="O530" s="527"/>
      <c r="P530" s="527"/>
      <c r="Q530" s="527"/>
      <c r="R530" s="527"/>
      <c r="S530" s="527"/>
      <c r="T530" s="527"/>
      <c r="U530" s="527"/>
      <c r="V530" s="527"/>
      <c r="W530" s="527"/>
      <c r="X530" s="527"/>
      <c r="Y530" s="527"/>
      <c r="Z530" s="527"/>
      <c r="AA530" s="512"/>
      <c r="AB530" s="460">
        <v>0.3</v>
      </c>
      <c r="AC530" s="512"/>
      <c r="AD530" s="513"/>
      <c r="AF530" s="517"/>
      <c r="AG530" s="513"/>
      <c r="AH530" s="513"/>
      <c r="AI530" s="513"/>
      <c r="AJ530" s="558"/>
      <c r="AK530" s="513"/>
      <c r="AL530" s="516"/>
      <c r="AM530" s="513"/>
      <c r="AN530" s="513"/>
      <c r="AO530" s="517"/>
      <c r="AP530" s="513"/>
      <c r="AQ530" s="513"/>
      <c r="AR530" s="517"/>
      <c r="AS530" s="517"/>
      <c r="AT530" s="513"/>
      <c r="AU530" s="513"/>
      <c r="AV530" s="517"/>
      <c r="AW530" s="513"/>
      <c r="AX530" s="513"/>
      <c r="AY530" s="513"/>
      <c r="AZ530" s="513"/>
      <c r="BA530" s="513"/>
    </row>
    <row r="531" spans="1:53" s="514" customFormat="1" ht="12.75" customHeight="1" x14ac:dyDescent="0.25">
      <c r="A531" s="1136"/>
      <c r="B531" s="569" t="s">
        <v>1181</v>
      </c>
      <c r="C531" s="502">
        <f>C526*C529+C527*C530</f>
        <v>1140.9223382705572</v>
      </c>
      <c r="D531" s="566"/>
      <c r="E531" s="645" t="s">
        <v>26</v>
      </c>
      <c r="F531" s="646" t="s">
        <v>1</v>
      </c>
      <c r="G531" s="543">
        <v>6.67</v>
      </c>
      <c r="H531" s="523">
        <v>1</v>
      </c>
      <c r="I531" s="544">
        <f t="shared" si="48"/>
        <v>6.67</v>
      </c>
      <c r="J531" s="525"/>
      <c r="K531" s="557"/>
      <c r="L531" s="528"/>
      <c r="M531" s="528"/>
      <c r="N531" s="528"/>
      <c r="O531" s="527"/>
      <c r="P531" s="527"/>
      <c r="Q531" s="527"/>
      <c r="R531" s="527"/>
      <c r="S531" s="527"/>
      <c r="T531" s="527"/>
      <c r="U531" s="527"/>
      <c r="V531" s="527"/>
      <c r="W531" s="527"/>
      <c r="X531" s="527"/>
      <c r="Y531" s="527"/>
      <c r="Z531" s="527"/>
      <c r="AA531" s="512"/>
      <c r="AB531" s="460">
        <v>0.3</v>
      </c>
      <c r="AC531" s="512"/>
      <c r="AD531" s="513"/>
      <c r="AF531" s="517"/>
      <c r="AG531" s="513"/>
      <c r="AH531" s="513"/>
      <c r="AI531" s="513"/>
      <c r="AJ531" s="558"/>
      <c r="AK531" s="513"/>
      <c r="AL531" s="516"/>
      <c r="AM531" s="513"/>
      <c r="AN531" s="513"/>
      <c r="AO531" s="517"/>
      <c r="AP531" s="513"/>
      <c r="AQ531" s="513"/>
      <c r="AR531" s="517"/>
      <c r="AS531" s="517"/>
      <c r="AT531" s="513"/>
      <c r="AU531" s="513"/>
      <c r="AV531" s="517"/>
      <c r="AW531" s="513"/>
      <c r="AX531" s="513"/>
      <c r="AY531" s="513"/>
      <c r="AZ531" s="513"/>
      <c r="BA531" s="513"/>
    </row>
    <row r="532" spans="1:53" s="514" customFormat="1" ht="12.75" customHeight="1" x14ac:dyDescent="0.25">
      <c r="A532" s="1136"/>
      <c r="B532" s="569"/>
      <c r="C532" s="502"/>
      <c r="D532" s="566"/>
      <c r="E532" s="645" t="s">
        <v>18</v>
      </c>
      <c r="F532" s="646" t="s">
        <v>1438</v>
      </c>
      <c r="G532" s="543">
        <v>0.94</v>
      </c>
      <c r="H532" s="523">
        <v>0.5</v>
      </c>
      <c r="I532" s="544">
        <f t="shared" si="48"/>
        <v>0.47</v>
      </c>
      <c r="J532" s="525"/>
      <c r="K532" s="557"/>
      <c r="L532" s="528"/>
      <c r="M532" s="528"/>
      <c r="N532" s="528"/>
      <c r="O532" s="527"/>
      <c r="P532" s="527"/>
      <c r="Q532" s="527"/>
      <c r="R532" s="527"/>
      <c r="S532" s="527"/>
      <c r="T532" s="527"/>
      <c r="U532" s="527"/>
      <c r="V532" s="527"/>
      <c r="W532" s="527"/>
      <c r="X532" s="527"/>
      <c r="Y532" s="527"/>
      <c r="Z532" s="527"/>
      <c r="AA532" s="512"/>
      <c r="AB532" s="460"/>
      <c r="AC532" s="512"/>
      <c r="AD532" s="513"/>
      <c r="AF532" s="517"/>
      <c r="AG532" s="513"/>
      <c r="AH532" s="513"/>
      <c r="AI532" s="513"/>
      <c r="AJ532" s="558"/>
      <c r="AK532" s="513"/>
      <c r="AL532" s="516"/>
      <c r="AM532" s="513"/>
      <c r="AN532" s="513"/>
      <c r="AO532" s="517"/>
      <c r="AP532" s="513"/>
      <c r="AQ532" s="513"/>
      <c r="AR532" s="517"/>
      <c r="AS532" s="517"/>
      <c r="AT532" s="513"/>
      <c r="AU532" s="513"/>
      <c r="AV532" s="517"/>
      <c r="AW532" s="513"/>
      <c r="AX532" s="513"/>
      <c r="AY532" s="513"/>
      <c r="AZ532" s="513"/>
      <c r="BA532" s="513"/>
    </row>
    <row r="533" spans="1:53" s="514" customFormat="1" ht="12.75" customHeight="1" x14ac:dyDescent="0.25">
      <c r="A533" s="1136"/>
      <c r="B533" s="569"/>
      <c r="C533" s="502"/>
      <c r="D533" s="566"/>
      <c r="E533" s="645" t="s">
        <v>13</v>
      </c>
      <c r="F533" s="646" t="s">
        <v>1441</v>
      </c>
      <c r="G533" s="543">
        <v>1.5</v>
      </c>
      <c r="H533" s="523">
        <v>1</v>
      </c>
      <c r="I533" s="544">
        <f t="shared" si="48"/>
        <v>1.5</v>
      </c>
      <c r="J533" s="525"/>
      <c r="K533" s="557"/>
      <c r="L533" s="528"/>
      <c r="M533" s="528"/>
      <c r="N533" s="528"/>
      <c r="O533" s="527"/>
      <c r="P533" s="527"/>
      <c r="Q533" s="527"/>
      <c r="R533" s="527"/>
      <c r="S533" s="527"/>
      <c r="T533" s="527"/>
      <c r="U533" s="527"/>
      <c r="V533" s="527"/>
      <c r="W533" s="527"/>
      <c r="X533" s="527"/>
      <c r="Y533" s="527"/>
      <c r="Z533" s="527"/>
      <c r="AA533" s="512"/>
      <c r="AB533" s="460"/>
      <c r="AC533" s="512"/>
      <c r="AD533" s="513"/>
      <c r="AF533" s="517"/>
      <c r="AG533" s="513"/>
      <c r="AH533" s="513"/>
      <c r="AI533" s="513"/>
      <c r="AJ533" s="558"/>
      <c r="AK533" s="513"/>
      <c r="AL533" s="516"/>
      <c r="AM533" s="513"/>
      <c r="AN533" s="513"/>
      <c r="AO533" s="517"/>
      <c r="AP533" s="513"/>
      <c r="AQ533" s="513"/>
      <c r="AR533" s="517"/>
      <c r="AS533" s="517"/>
      <c r="AT533" s="513"/>
      <c r="AU533" s="513"/>
      <c r="AV533" s="517"/>
      <c r="AW533" s="513"/>
      <c r="AX533" s="513"/>
      <c r="AY533" s="513"/>
      <c r="AZ533" s="513"/>
      <c r="BA533" s="513"/>
    </row>
    <row r="534" spans="1:53" s="514" customFormat="1" ht="12.75" customHeight="1" x14ac:dyDescent="0.25">
      <c r="A534" s="1136"/>
      <c r="B534" s="569"/>
      <c r="C534" s="502"/>
      <c r="D534" s="566"/>
      <c r="E534" s="645" t="s">
        <v>27</v>
      </c>
      <c r="F534" s="646" t="s">
        <v>1</v>
      </c>
      <c r="G534" s="543">
        <v>13.78</v>
      </c>
      <c r="H534" s="523">
        <v>2</v>
      </c>
      <c r="I534" s="544">
        <f t="shared" si="48"/>
        <v>27.56</v>
      </c>
      <c r="J534" s="525"/>
      <c r="K534" s="557"/>
      <c r="L534" s="528"/>
      <c r="M534" s="528"/>
      <c r="N534" s="528"/>
      <c r="O534" s="527"/>
      <c r="P534" s="527"/>
      <c r="Q534" s="527"/>
      <c r="R534" s="527"/>
      <c r="S534" s="527"/>
      <c r="T534" s="527"/>
      <c r="U534" s="527"/>
      <c r="V534" s="527"/>
      <c r="W534" s="527"/>
      <c r="X534" s="527"/>
      <c r="Y534" s="527"/>
      <c r="Z534" s="527"/>
      <c r="AA534" s="512"/>
      <c r="AB534" s="460"/>
      <c r="AC534" s="512"/>
      <c r="AD534" s="513"/>
      <c r="AF534" s="517"/>
      <c r="AG534" s="513"/>
      <c r="AH534" s="513"/>
      <c r="AI534" s="513"/>
      <c r="AJ534" s="558"/>
      <c r="AK534" s="513"/>
      <c r="AL534" s="516"/>
      <c r="AM534" s="513"/>
      <c r="AN534" s="513"/>
      <c r="AO534" s="517"/>
      <c r="AP534" s="513"/>
      <c r="AQ534" s="513"/>
      <c r="AR534" s="517"/>
      <c r="AS534" s="517"/>
      <c r="AT534" s="513"/>
      <c r="AU534" s="513"/>
      <c r="AV534" s="517"/>
      <c r="AW534" s="513"/>
      <c r="AX534" s="513"/>
      <c r="AY534" s="513"/>
      <c r="AZ534" s="513"/>
      <c r="BA534" s="513"/>
    </row>
    <row r="535" spans="1:53" s="514" customFormat="1" ht="12.75" customHeight="1" x14ac:dyDescent="0.25">
      <c r="A535" s="1136"/>
      <c r="B535" s="569"/>
      <c r="C535" s="568"/>
      <c r="D535" s="566"/>
      <c r="E535" s="559"/>
      <c r="F535" s="560"/>
      <c r="G535" s="543"/>
      <c r="H535" s="542"/>
      <c r="I535" s="544"/>
      <c r="J535" s="525"/>
      <c r="K535" s="557"/>
      <c r="L535" s="528"/>
      <c r="M535" s="528"/>
      <c r="N535" s="528"/>
      <c r="O535" s="527"/>
      <c r="P535" s="527"/>
      <c r="Q535" s="527"/>
      <c r="R535" s="527"/>
      <c r="S535" s="527"/>
      <c r="T535" s="527"/>
      <c r="U535" s="527"/>
      <c r="V535" s="527"/>
      <c r="W535" s="527"/>
      <c r="X535" s="527"/>
      <c r="Y535" s="527"/>
      <c r="Z535" s="527"/>
      <c r="AA535" s="512"/>
      <c r="AB535" s="460">
        <v>0.3</v>
      </c>
      <c r="AC535" s="512"/>
      <c r="AD535" s="513"/>
      <c r="AF535" s="517"/>
      <c r="AG535" s="513"/>
      <c r="AH535" s="513"/>
      <c r="AI535" s="513"/>
      <c r="AJ535" s="558"/>
      <c r="AK535" s="513"/>
      <c r="AL535" s="516"/>
      <c r="AM535" s="513"/>
      <c r="AN535" s="513"/>
      <c r="AO535" s="517"/>
      <c r="AP535" s="513"/>
      <c r="AQ535" s="513"/>
      <c r="AR535" s="517"/>
      <c r="AS535" s="517"/>
      <c r="AT535" s="513"/>
      <c r="AU535" s="513"/>
      <c r="AV535" s="517"/>
      <c r="AW535" s="513"/>
      <c r="AX535" s="513"/>
      <c r="AY535" s="513"/>
      <c r="AZ535" s="513"/>
      <c r="BA535" s="513"/>
    </row>
    <row r="536" spans="1:53" s="514" customFormat="1" ht="56.25" customHeight="1" x14ac:dyDescent="0.25">
      <c r="A536" s="1136" t="s">
        <v>1543</v>
      </c>
      <c r="B536" s="503"/>
      <c r="C536" s="502"/>
      <c r="D536" s="570"/>
      <c r="E536" s="576" t="s">
        <v>488</v>
      </c>
      <c r="F536" s="507" t="s">
        <v>837</v>
      </c>
      <c r="G536" s="503" t="s">
        <v>489</v>
      </c>
      <c r="H536" s="505" t="s">
        <v>1170</v>
      </c>
      <c r="I536" s="507" t="s">
        <v>838</v>
      </c>
      <c r="J536" s="508" t="s">
        <v>1171</v>
      </c>
      <c r="K536" s="508" t="s">
        <v>490</v>
      </c>
      <c r="L536" s="509" t="s">
        <v>489</v>
      </c>
      <c r="M536" s="508" t="s">
        <v>1172</v>
      </c>
      <c r="N536" s="507" t="s">
        <v>838</v>
      </c>
      <c r="O536" s="508" t="s">
        <v>1171</v>
      </c>
      <c r="P536" s="508" t="s">
        <v>826</v>
      </c>
      <c r="Q536" s="508" t="s">
        <v>1173</v>
      </c>
      <c r="R536" s="508" t="s">
        <v>1174</v>
      </c>
      <c r="S536" s="508" t="s">
        <v>839</v>
      </c>
      <c r="T536" s="508" t="s">
        <v>1171</v>
      </c>
      <c r="U536" s="508" t="s">
        <v>1392</v>
      </c>
      <c r="V536" s="508" t="s">
        <v>841</v>
      </c>
      <c r="W536" s="510" t="s">
        <v>1173</v>
      </c>
      <c r="X536" s="508" t="s">
        <v>1394</v>
      </c>
      <c r="Y536" s="508" t="s">
        <v>839</v>
      </c>
      <c r="Z536" s="511"/>
      <c r="AA536" s="512"/>
      <c r="AB536" s="460">
        <v>0.3</v>
      </c>
      <c r="AC536" s="512"/>
      <c r="AD536" s="513"/>
      <c r="AF536" s="515"/>
      <c r="AG536" s="513"/>
      <c r="AH536" s="513"/>
      <c r="AI536" s="513"/>
      <c r="AJ536" s="513"/>
      <c r="AK536" s="513"/>
      <c r="AL536" s="516"/>
      <c r="AM536" s="513"/>
      <c r="AN536" s="513"/>
      <c r="AO536" s="517"/>
      <c r="AP536" s="513"/>
      <c r="AQ536" s="518"/>
      <c r="AR536" s="518"/>
      <c r="AS536" s="518"/>
      <c r="AT536" s="513"/>
      <c r="AU536" s="513"/>
      <c r="AV536" s="517"/>
      <c r="AW536" s="513"/>
      <c r="AX536" s="513"/>
      <c r="AY536" s="513"/>
      <c r="AZ536" s="513"/>
      <c r="BA536" s="513"/>
    </row>
    <row r="537" spans="1:53" s="514" customFormat="1" ht="12" customHeight="1" x14ac:dyDescent="0.25">
      <c r="A537" s="1136"/>
      <c r="B537" s="519" t="s">
        <v>1175</v>
      </c>
      <c r="C537" s="502">
        <f>C544</f>
        <v>697.23031783200713</v>
      </c>
      <c r="D537" s="570">
        <f>C537*$D$7</f>
        <v>140.84052420206544</v>
      </c>
      <c r="E537" s="573" t="s">
        <v>1176</v>
      </c>
      <c r="F537" s="571"/>
      <c r="G537" s="523"/>
      <c r="H537" s="523"/>
      <c r="I537" s="524">
        <f>SUM(I538:I548)</f>
        <v>108.5526</v>
      </c>
      <c r="J537" s="525" t="s">
        <v>1176</v>
      </c>
      <c r="K537" s="526"/>
      <c r="L537" s="527"/>
      <c r="M537" s="527"/>
      <c r="N537" s="528">
        <f>SUM(N538:N548)</f>
        <v>4.4213899999999997</v>
      </c>
      <c r="O537" s="527" t="s">
        <v>1176</v>
      </c>
      <c r="P537" s="527"/>
      <c r="Q537" s="529"/>
      <c r="R537" s="530"/>
      <c r="S537" s="528">
        <f>SUM(S538:S548)</f>
        <v>9.9028000000000009</v>
      </c>
      <c r="T537" s="528"/>
      <c r="U537" s="528"/>
      <c r="V537" s="528"/>
      <c r="W537" s="528"/>
      <c r="X537" s="528"/>
      <c r="Y537" s="528">
        <f>SUM(Y538:Y548)</f>
        <v>9.1999999999999998E-3</v>
      </c>
      <c r="Z537" s="531">
        <f>(C537+D537+I537+N537+S537+Y537)*$Z$7</f>
        <v>1249.424246317762</v>
      </c>
      <c r="AA537" s="532">
        <f>C537+D537+I537+N537+S537+Y537+Z537</f>
        <v>2210.3810783518347</v>
      </c>
      <c r="AB537" s="460">
        <v>0.3</v>
      </c>
      <c r="AC537" s="533">
        <f>AA537*(1+AB537)</f>
        <v>2873.4954018573853</v>
      </c>
      <c r="AD537" s="517"/>
      <c r="AF537" s="515"/>
      <c r="AG537" s="513"/>
      <c r="AH537" s="513"/>
      <c r="AI537" s="518"/>
      <c r="AJ537" s="534"/>
      <c r="AK537" s="535"/>
      <c r="AL537" s="516"/>
      <c r="AM537" s="536"/>
      <c r="AN537" s="537"/>
      <c r="AO537" s="536"/>
      <c r="AP537" s="518"/>
      <c r="AQ537" s="518"/>
      <c r="AR537" s="518"/>
      <c r="AS537" s="518"/>
      <c r="AT537" s="518"/>
      <c r="AU537" s="536"/>
      <c r="AV537" s="536"/>
      <c r="AW537" s="538"/>
      <c r="AX537" s="513"/>
      <c r="AY537" s="513"/>
      <c r="AZ537" s="513"/>
      <c r="BA537" s="513"/>
    </row>
    <row r="538" spans="1:53" s="514" customFormat="1" ht="12.75" customHeight="1" x14ac:dyDescent="0.25">
      <c r="A538" s="1136"/>
      <c r="B538" s="572" t="s">
        <v>1177</v>
      </c>
      <c r="C538" s="502"/>
      <c r="D538" s="566"/>
      <c r="E538" s="541" t="s">
        <v>1437</v>
      </c>
      <c r="F538" s="542" t="s">
        <v>1438</v>
      </c>
      <c r="G538" s="543">
        <v>0.74</v>
      </c>
      <c r="H538" s="542">
        <v>0.01</v>
      </c>
      <c r="I538" s="544">
        <f t="shared" ref="I538:I548" si="49">G538*H538</f>
        <v>7.4000000000000003E-3</v>
      </c>
      <c r="J538" s="525" t="s">
        <v>1291</v>
      </c>
      <c r="K538" s="545">
        <v>2</v>
      </c>
      <c r="L538" s="546">
        <v>750</v>
      </c>
      <c r="M538" s="545">
        <v>2</v>
      </c>
      <c r="N538" s="528">
        <v>1.1745000000000001</v>
      </c>
      <c r="O538" s="547" t="s">
        <v>1578</v>
      </c>
      <c r="P538" s="527">
        <v>188900</v>
      </c>
      <c r="Q538" s="548">
        <v>0.19670000000000001</v>
      </c>
      <c r="R538" s="527">
        <f>P538*Q538</f>
        <v>37156.630000000005</v>
      </c>
      <c r="S538" s="527">
        <v>8.1902000000000008</v>
      </c>
      <c r="T538" s="512" t="s">
        <v>1435</v>
      </c>
      <c r="U538" s="523">
        <v>6785401.3499999996</v>
      </c>
      <c r="V538" s="549">
        <v>1.32E-2</v>
      </c>
      <c r="W538" s="512">
        <v>1508.3</v>
      </c>
      <c r="X538" s="528">
        <v>59.38</v>
      </c>
      <c r="Y538" s="527">
        <v>9.1999999999999998E-3</v>
      </c>
      <c r="Z538" s="527"/>
      <c r="AA538" s="512"/>
      <c r="AB538" s="460">
        <v>0.3</v>
      </c>
      <c r="AC538" s="512"/>
      <c r="AD538" s="513"/>
      <c r="AF538" s="517"/>
      <c r="AG538" s="513"/>
      <c r="AH538" s="513"/>
      <c r="AI538" s="513"/>
      <c r="AJ538" s="558"/>
      <c r="AK538" s="513"/>
      <c r="AL538" s="516"/>
      <c r="AM538" s="513"/>
      <c r="AN538" s="513"/>
      <c r="AO538" s="517"/>
      <c r="AP538" s="513"/>
      <c r="AQ538" s="513"/>
      <c r="AR538" s="517"/>
      <c r="AS538" s="517"/>
      <c r="AT538" s="513"/>
      <c r="AU538" s="513"/>
      <c r="AV538" s="517"/>
      <c r="AW538" s="513"/>
      <c r="AX538" s="513"/>
      <c r="AY538" s="513"/>
      <c r="AZ538" s="513"/>
      <c r="BA538" s="513"/>
    </row>
    <row r="539" spans="1:53" s="514" customFormat="1" ht="12.75" customHeight="1" x14ac:dyDescent="0.25">
      <c r="A539" s="1136"/>
      <c r="B539" s="565" t="s">
        <v>1178</v>
      </c>
      <c r="C539" s="491">
        <f>C526</f>
        <v>43.888814515309463</v>
      </c>
      <c r="D539" s="566"/>
      <c r="E539" s="541" t="s">
        <v>1439</v>
      </c>
      <c r="F539" s="542" t="s">
        <v>1438</v>
      </c>
      <c r="G539" s="543">
        <v>0.27</v>
      </c>
      <c r="H539" s="542">
        <v>0.01</v>
      </c>
      <c r="I539" s="544">
        <f t="shared" si="49"/>
        <v>2.7000000000000001E-3</v>
      </c>
      <c r="J539" s="525" t="s">
        <v>1445</v>
      </c>
      <c r="K539" s="528">
        <v>2</v>
      </c>
      <c r="L539" s="553">
        <v>95</v>
      </c>
      <c r="M539" s="545">
        <v>2</v>
      </c>
      <c r="N539" s="528">
        <v>3.1146400000000001</v>
      </c>
      <c r="O539" s="527" t="s">
        <v>1580</v>
      </c>
      <c r="P539" s="527">
        <v>39500</v>
      </c>
      <c r="Q539" s="548">
        <v>0.19670000000000001</v>
      </c>
      <c r="R539" s="527">
        <f>P539*Q539</f>
        <v>7769.6500000000005</v>
      </c>
      <c r="S539" s="527">
        <v>1.7125999999999999</v>
      </c>
      <c r="T539" s="527"/>
      <c r="U539" s="527"/>
      <c r="V539" s="527"/>
      <c r="W539" s="548"/>
      <c r="X539" s="527"/>
      <c r="Y539" s="527"/>
      <c r="Z539" s="527"/>
      <c r="AA539" s="512"/>
      <c r="AB539" s="460">
        <v>0.3</v>
      </c>
      <c r="AC539" s="512"/>
      <c r="AD539" s="513"/>
      <c r="AF539" s="517"/>
      <c r="AG539" s="513"/>
      <c r="AH539" s="513"/>
      <c r="AI539" s="513"/>
      <c r="AJ539" s="558"/>
      <c r="AK539" s="513"/>
      <c r="AL539" s="516"/>
      <c r="AM539" s="513"/>
      <c r="AN539" s="513"/>
      <c r="AO539" s="517"/>
      <c r="AP539" s="513"/>
      <c r="AQ539" s="513"/>
      <c r="AR539" s="517"/>
      <c r="AS539" s="517"/>
      <c r="AT539" s="513"/>
      <c r="AU539" s="513"/>
      <c r="AV539" s="517"/>
      <c r="AW539" s="513"/>
      <c r="AX539" s="513"/>
      <c r="AY539" s="513"/>
      <c r="AZ539" s="513"/>
      <c r="BA539" s="513"/>
    </row>
    <row r="540" spans="1:53" s="514" customFormat="1" ht="12.75" customHeight="1" x14ac:dyDescent="0.25">
      <c r="A540" s="1136"/>
      <c r="B540" s="521" t="s">
        <v>1179</v>
      </c>
      <c r="C540" s="487">
        <f>C527</f>
        <v>19.495759833054819</v>
      </c>
      <c r="D540" s="566"/>
      <c r="E540" s="541" t="s">
        <v>1440</v>
      </c>
      <c r="F540" s="542" t="s">
        <v>1441</v>
      </c>
      <c r="G540" s="543">
        <v>5.92</v>
      </c>
      <c r="H540" s="555">
        <v>1</v>
      </c>
      <c r="I540" s="544">
        <f t="shared" si="49"/>
        <v>5.92</v>
      </c>
      <c r="J540" s="525" t="s">
        <v>1513</v>
      </c>
      <c r="K540" s="528">
        <v>2</v>
      </c>
      <c r="L540" s="528">
        <v>25</v>
      </c>
      <c r="M540" s="545">
        <v>0.5</v>
      </c>
      <c r="N540" s="528">
        <v>0.13225000000000001</v>
      </c>
      <c r="O540" s="527"/>
      <c r="P540" s="527"/>
      <c r="Q540" s="548"/>
      <c r="R540" s="527"/>
      <c r="S540" s="527"/>
      <c r="T540" s="527"/>
      <c r="U540" s="527"/>
      <c r="V540" s="527"/>
      <c r="W540" s="548"/>
      <c r="X540" s="527"/>
      <c r="Y540" s="527"/>
      <c r="Z540" s="527"/>
      <c r="AA540" s="512"/>
      <c r="AB540" s="460">
        <v>0.3</v>
      </c>
      <c r="AC540" s="512"/>
      <c r="AD540" s="513"/>
      <c r="AF540" s="517"/>
      <c r="AG540" s="513"/>
      <c r="AH540" s="513"/>
      <c r="AI540" s="513"/>
      <c r="AJ540" s="558"/>
      <c r="AK540" s="513"/>
      <c r="AL540" s="516"/>
      <c r="AM540" s="513"/>
      <c r="AN540" s="513"/>
      <c r="AO540" s="517"/>
      <c r="AP540" s="513"/>
      <c r="AQ540" s="513"/>
      <c r="AR540" s="517"/>
      <c r="AS540" s="517"/>
      <c r="AT540" s="513"/>
      <c r="AU540" s="513"/>
      <c r="AV540" s="517"/>
      <c r="AW540" s="513"/>
      <c r="AX540" s="513"/>
      <c r="AY540" s="513"/>
      <c r="AZ540" s="513"/>
      <c r="BA540" s="513"/>
    </row>
    <row r="541" spans="1:53" s="514" customFormat="1" ht="12.75" customHeight="1" x14ac:dyDescent="0.25">
      <c r="A541" s="1136"/>
      <c r="B541" s="521" t="s">
        <v>1180</v>
      </c>
      <c r="C541" s="567"/>
      <c r="D541" s="566"/>
      <c r="E541" s="541" t="s">
        <v>1442</v>
      </c>
      <c r="F541" s="542" t="s">
        <v>1443</v>
      </c>
      <c r="G541" s="543">
        <v>419.5</v>
      </c>
      <c r="H541" s="542">
        <v>0.01</v>
      </c>
      <c r="I541" s="544">
        <f t="shared" si="49"/>
        <v>4.1950000000000003</v>
      </c>
      <c r="J541" s="525"/>
      <c r="K541" s="557"/>
      <c r="L541" s="528"/>
      <c r="M541" s="528"/>
      <c r="N541" s="528"/>
      <c r="O541" s="527"/>
      <c r="P541" s="527"/>
      <c r="Q541" s="527"/>
      <c r="R541" s="527"/>
      <c r="S541" s="527"/>
      <c r="T541" s="527"/>
      <c r="U541" s="527"/>
      <c r="V541" s="527"/>
      <c r="W541" s="527"/>
      <c r="X541" s="527"/>
      <c r="Y541" s="527"/>
      <c r="Z541" s="527"/>
      <c r="AA541" s="512"/>
      <c r="AB541" s="460">
        <v>0.3</v>
      </c>
      <c r="AC541" s="512"/>
      <c r="AD541" s="513"/>
      <c r="AF541" s="517"/>
      <c r="AG541" s="513"/>
      <c r="AH541" s="513"/>
      <c r="AI541" s="513"/>
      <c r="AJ541" s="558"/>
      <c r="AK541" s="513"/>
      <c r="AL541" s="516"/>
      <c r="AM541" s="513"/>
      <c r="AN541" s="513"/>
      <c r="AO541" s="517"/>
      <c r="AP541" s="513"/>
      <c r="AQ541" s="513"/>
      <c r="AR541" s="517"/>
      <c r="AS541" s="517"/>
      <c r="AT541" s="513"/>
      <c r="AU541" s="513"/>
      <c r="AV541" s="517"/>
      <c r="AW541" s="513"/>
      <c r="AX541" s="513"/>
      <c r="AY541" s="513"/>
      <c r="AZ541" s="513"/>
      <c r="BA541" s="513"/>
    </row>
    <row r="542" spans="1:53" s="514" customFormat="1" ht="12.75" customHeight="1" x14ac:dyDescent="0.25">
      <c r="A542" s="1136"/>
      <c r="B542" s="565" t="s">
        <v>1178</v>
      </c>
      <c r="C542" s="568">
        <v>11</v>
      </c>
      <c r="D542" s="566"/>
      <c r="E542" s="541" t="s">
        <v>1444</v>
      </c>
      <c r="F542" s="542" t="s">
        <v>1443</v>
      </c>
      <c r="G542" s="543">
        <v>872</v>
      </c>
      <c r="H542" s="542">
        <v>5.0000000000000001E-3</v>
      </c>
      <c r="I542" s="544">
        <f t="shared" si="49"/>
        <v>4.3600000000000003</v>
      </c>
      <c r="J542" s="525"/>
      <c r="K542" s="557"/>
      <c r="L542" s="528"/>
      <c r="M542" s="528"/>
      <c r="N542" s="528"/>
      <c r="O542" s="527"/>
      <c r="P542" s="527"/>
      <c r="Q542" s="527"/>
      <c r="R542" s="527"/>
      <c r="S542" s="527"/>
      <c r="T542" s="527"/>
      <c r="U542" s="527"/>
      <c r="V542" s="527"/>
      <c r="W542" s="527"/>
      <c r="X542" s="527"/>
      <c r="Y542" s="527"/>
      <c r="Z542" s="527"/>
      <c r="AA542" s="512"/>
      <c r="AB542" s="460">
        <v>0.3</v>
      </c>
      <c r="AC542" s="512"/>
      <c r="AD542" s="513"/>
      <c r="AF542" s="517"/>
      <c r="AG542" s="513"/>
      <c r="AH542" s="513"/>
      <c r="AI542" s="513"/>
      <c r="AJ542" s="558"/>
      <c r="AK542" s="513"/>
      <c r="AL542" s="516"/>
      <c r="AM542" s="513"/>
      <c r="AN542" s="513"/>
      <c r="AO542" s="517"/>
      <c r="AP542" s="513"/>
      <c r="AQ542" s="513"/>
      <c r="AR542" s="517"/>
      <c r="AS542" s="517"/>
      <c r="AT542" s="513"/>
      <c r="AU542" s="513"/>
      <c r="AV542" s="517"/>
      <c r="AW542" s="513"/>
      <c r="AX542" s="513"/>
      <c r="AY542" s="513"/>
      <c r="AZ542" s="513"/>
      <c r="BA542" s="513"/>
    </row>
    <row r="543" spans="1:53" s="514" customFormat="1" ht="12.75" customHeight="1" x14ac:dyDescent="0.25">
      <c r="A543" s="1136"/>
      <c r="B543" s="521" t="s">
        <v>1179</v>
      </c>
      <c r="C543" s="568">
        <v>11</v>
      </c>
      <c r="D543" s="566"/>
      <c r="E543" s="559" t="s">
        <v>581</v>
      </c>
      <c r="F543" s="560" t="s">
        <v>1438</v>
      </c>
      <c r="G543" s="543">
        <v>16.39</v>
      </c>
      <c r="H543" s="542">
        <v>0.25</v>
      </c>
      <c r="I543" s="544">
        <f t="shared" si="49"/>
        <v>4.0975000000000001</v>
      </c>
      <c r="J543" s="525"/>
      <c r="K543" s="557"/>
      <c r="L543" s="546"/>
      <c r="M543" s="545"/>
      <c r="N543" s="528"/>
      <c r="O543" s="527"/>
      <c r="P543" s="527"/>
      <c r="Q543" s="527"/>
      <c r="R543" s="527"/>
      <c r="S543" s="527"/>
      <c r="T543" s="527"/>
      <c r="U543" s="527"/>
      <c r="V543" s="527"/>
      <c r="W543" s="527"/>
      <c r="X543" s="527"/>
      <c r="Y543" s="527"/>
      <c r="Z543" s="527"/>
      <c r="AA543" s="512"/>
      <c r="AB543" s="460">
        <v>0.3</v>
      </c>
      <c r="AC543" s="512"/>
      <c r="AD543" s="513"/>
      <c r="AF543" s="517"/>
      <c r="AG543" s="513"/>
      <c r="AH543" s="513"/>
      <c r="AI543" s="513"/>
      <c r="AJ543" s="558"/>
      <c r="AK543" s="513"/>
      <c r="AL543" s="516"/>
      <c r="AM543" s="513"/>
      <c r="AN543" s="513"/>
      <c r="AO543" s="517"/>
      <c r="AP543" s="513"/>
      <c r="AQ543" s="513"/>
      <c r="AR543" s="517"/>
      <c r="AS543" s="517"/>
      <c r="AT543" s="513"/>
      <c r="AU543" s="513"/>
      <c r="AV543" s="517"/>
      <c r="AW543" s="513"/>
      <c r="AX543" s="513"/>
      <c r="AY543" s="513"/>
      <c r="AZ543" s="513"/>
      <c r="BA543" s="513"/>
    </row>
    <row r="544" spans="1:53" s="514" customFormat="1" ht="12.75" customHeight="1" x14ac:dyDescent="0.25">
      <c r="A544" s="1136"/>
      <c r="B544" s="569" t="s">
        <v>1181</v>
      </c>
      <c r="C544" s="502">
        <f>C539*C542+C540*C543</f>
        <v>697.23031783200713</v>
      </c>
      <c r="D544" s="566"/>
      <c r="E544" s="645" t="s">
        <v>26</v>
      </c>
      <c r="F544" s="646" t="s">
        <v>1</v>
      </c>
      <c r="G544" s="543">
        <v>6.67</v>
      </c>
      <c r="H544" s="523">
        <v>1</v>
      </c>
      <c r="I544" s="544">
        <f t="shared" si="49"/>
        <v>6.67</v>
      </c>
      <c r="J544" s="525"/>
      <c r="K544" s="557"/>
      <c r="L544" s="528"/>
      <c r="M544" s="528"/>
      <c r="N544" s="528"/>
      <c r="O544" s="527"/>
      <c r="P544" s="527"/>
      <c r="Q544" s="527"/>
      <c r="R544" s="527"/>
      <c r="S544" s="527"/>
      <c r="T544" s="527"/>
      <c r="U544" s="527"/>
      <c r="V544" s="527"/>
      <c r="W544" s="527"/>
      <c r="X544" s="527"/>
      <c r="Y544" s="527"/>
      <c r="Z544" s="527"/>
      <c r="AA544" s="512"/>
      <c r="AB544" s="460">
        <v>0.3</v>
      </c>
      <c r="AC544" s="512"/>
      <c r="AD544" s="513"/>
      <c r="AF544" s="517"/>
      <c r="AG544" s="513"/>
      <c r="AH544" s="513"/>
      <c r="AI544" s="513"/>
      <c r="AJ544" s="558"/>
      <c r="AK544" s="513"/>
      <c r="AL544" s="516"/>
      <c r="AM544" s="513"/>
      <c r="AN544" s="513"/>
      <c r="AO544" s="517"/>
      <c r="AP544" s="513"/>
      <c r="AQ544" s="513"/>
      <c r="AR544" s="517"/>
      <c r="AS544" s="517"/>
      <c r="AT544" s="513"/>
      <c r="AU544" s="513"/>
      <c r="AV544" s="517"/>
      <c r="AW544" s="513"/>
      <c r="AX544" s="513"/>
      <c r="AY544" s="513"/>
      <c r="AZ544" s="513"/>
      <c r="BA544" s="513"/>
    </row>
    <row r="545" spans="1:53" s="514" customFormat="1" ht="12.75" customHeight="1" x14ac:dyDescent="0.25">
      <c r="A545" s="1136"/>
      <c r="B545" s="569"/>
      <c r="C545" s="502"/>
      <c r="D545" s="566"/>
      <c r="E545" s="645" t="s">
        <v>18</v>
      </c>
      <c r="F545" s="646" t="s">
        <v>1438</v>
      </c>
      <c r="G545" s="543">
        <v>0.94</v>
      </c>
      <c r="H545" s="523">
        <v>0.5</v>
      </c>
      <c r="I545" s="544">
        <f t="shared" si="49"/>
        <v>0.47</v>
      </c>
      <c r="J545" s="525"/>
      <c r="K545" s="557"/>
      <c r="L545" s="528"/>
      <c r="M545" s="528"/>
      <c r="N545" s="528"/>
      <c r="O545" s="527"/>
      <c r="P545" s="527"/>
      <c r="Q545" s="527"/>
      <c r="R545" s="527"/>
      <c r="S545" s="527"/>
      <c r="T545" s="527"/>
      <c r="U545" s="527"/>
      <c r="V545" s="527"/>
      <c r="W545" s="527"/>
      <c r="X545" s="527"/>
      <c r="Y545" s="527"/>
      <c r="Z545" s="527"/>
      <c r="AA545" s="512"/>
      <c r="AB545" s="460"/>
      <c r="AC545" s="512"/>
      <c r="AD545" s="513"/>
      <c r="AF545" s="517"/>
      <c r="AG545" s="513"/>
      <c r="AH545" s="513"/>
      <c r="AI545" s="513"/>
      <c r="AJ545" s="558"/>
      <c r="AK545" s="513"/>
      <c r="AL545" s="516"/>
      <c r="AM545" s="513"/>
      <c r="AN545" s="513"/>
      <c r="AO545" s="517"/>
      <c r="AP545" s="513"/>
      <c r="AQ545" s="513"/>
      <c r="AR545" s="517"/>
      <c r="AS545" s="517"/>
      <c r="AT545" s="513"/>
      <c r="AU545" s="513"/>
      <c r="AV545" s="517"/>
      <c r="AW545" s="513"/>
      <c r="AX545" s="513"/>
      <c r="AY545" s="513"/>
      <c r="AZ545" s="513"/>
      <c r="BA545" s="513"/>
    </row>
    <row r="546" spans="1:53" s="514" customFormat="1" ht="12.75" customHeight="1" x14ac:dyDescent="0.25">
      <c r="A546" s="1136"/>
      <c r="B546" s="569"/>
      <c r="C546" s="502"/>
      <c r="D546" s="566"/>
      <c r="E546" s="645" t="s">
        <v>22</v>
      </c>
      <c r="F546" s="646" t="s">
        <v>1441</v>
      </c>
      <c r="G546" s="543">
        <v>1.5</v>
      </c>
      <c r="H546" s="523">
        <v>3</v>
      </c>
      <c r="I546" s="544">
        <f t="shared" si="49"/>
        <v>4.5</v>
      </c>
      <c r="J546" s="525"/>
      <c r="K546" s="557"/>
      <c r="L546" s="528"/>
      <c r="M546" s="528"/>
      <c r="N546" s="528"/>
      <c r="O546" s="527"/>
      <c r="P546" s="527"/>
      <c r="Q546" s="527"/>
      <c r="R546" s="527"/>
      <c r="S546" s="527"/>
      <c r="T546" s="527"/>
      <c r="U546" s="527"/>
      <c r="V546" s="527"/>
      <c r="W546" s="527"/>
      <c r="X546" s="527"/>
      <c r="Y546" s="527"/>
      <c r="Z546" s="527"/>
      <c r="AA546" s="512"/>
      <c r="AB546" s="460"/>
      <c r="AC546" s="512"/>
      <c r="AD546" s="513"/>
      <c r="AF546" s="517"/>
      <c r="AG546" s="513"/>
      <c r="AH546" s="513"/>
      <c r="AI546" s="513"/>
      <c r="AJ546" s="558"/>
      <c r="AK546" s="513"/>
      <c r="AL546" s="516"/>
      <c r="AM546" s="513"/>
      <c r="AN546" s="513"/>
      <c r="AO546" s="517"/>
      <c r="AP546" s="513"/>
      <c r="AQ546" s="513"/>
      <c r="AR546" s="517"/>
      <c r="AS546" s="517"/>
      <c r="AT546" s="513"/>
      <c r="AU546" s="513"/>
      <c r="AV546" s="517"/>
      <c r="AW546" s="513"/>
      <c r="AX546" s="513"/>
      <c r="AY546" s="513"/>
      <c r="AZ546" s="513"/>
      <c r="BA546" s="513"/>
    </row>
    <row r="547" spans="1:53" s="514" customFormat="1" ht="12.75" customHeight="1" x14ac:dyDescent="0.25">
      <c r="A547" s="1136"/>
      <c r="B547" s="569"/>
      <c r="C547" s="502"/>
      <c r="D547" s="566"/>
      <c r="E547" s="645" t="s">
        <v>13</v>
      </c>
      <c r="F547" s="646" t="s">
        <v>1441</v>
      </c>
      <c r="G547" s="543">
        <v>1.5</v>
      </c>
      <c r="H547" s="523">
        <v>1</v>
      </c>
      <c r="I547" s="544">
        <f t="shared" si="49"/>
        <v>1.5</v>
      </c>
      <c r="J547" s="525"/>
      <c r="K547" s="557"/>
      <c r="L547" s="528"/>
      <c r="M547" s="528"/>
      <c r="N547" s="528"/>
      <c r="O547" s="527"/>
      <c r="P547" s="527"/>
      <c r="Q547" s="527"/>
      <c r="R547" s="527"/>
      <c r="S547" s="527"/>
      <c r="T547" s="527"/>
      <c r="U547" s="527"/>
      <c r="V547" s="527"/>
      <c r="W547" s="527"/>
      <c r="X547" s="527"/>
      <c r="Y547" s="527"/>
      <c r="Z547" s="527"/>
      <c r="AA547" s="512"/>
      <c r="AB547" s="460"/>
      <c r="AC547" s="512"/>
      <c r="AD547" s="513"/>
      <c r="AF547" s="517"/>
      <c r="AG547" s="513"/>
      <c r="AH547" s="513"/>
      <c r="AI547" s="513"/>
      <c r="AJ547" s="558"/>
      <c r="AK547" s="513"/>
      <c r="AL547" s="516"/>
      <c r="AM547" s="513"/>
      <c r="AN547" s="513"/>
      <c r="AO547" s="517"/>
      <c r="AP547" s="513"/>
      <c r="AQ547" s="513"/>
      <c r="AR547" s="517"/>
      <c r="AS547" s="517"/>
      <c r="AT547" s="513"/>
      <c r="AU547" s="513"/>
      <c r="AV547" s="517"/>
      <c r="AW547" s="513"/>
      <c r="AX547" s="513"/>
      <c r="AY547" s="513"/>
      <c r="AZ547" s="513"/>
      <c r="BA547" s="513"/>
    </row>
    <row r="548" spans="1:53" s="514" customFormat="1" ht="12.75" customHeight="1" x14ac:dyDescent="0.25">
      <c r="A548" s="1136"/>
      <c r="B548" s="569"/>
      <c r="C548" s="568"/>
      <c r="D548" s="566"/>
      <c r="E548" s="645" t="s">
        <v>1697</v>
      </c>
      <c r="F548" s="646" t="s">
        <v>1</v>
      </c>
      <c r="G548" s="543">
        <v>256.10000000000002</v>
      </c>
      <c r="H548" s="523">
        <v>0.3</v>
      </c>
      <c r="I548" s="544">
        <f t="shared" si="49"/>
        <v>76.83</v>
      </c>
      <c r="J548" s="525"/>
      <c r="K548" s="557"/>
      <c r="L548" s="528"/>
      <c r="M548" s="528"/>
      <c r="N548" s="528"/>
      <c r="O548" s="527"/>
      <c r="P548" s="527"/>
      <c r="Q548" s="527"/>
      <c r="R548" s="527"/>
      <c r="S548" s="527"/>
      <c r="T548" s="527"/>
      <c r="U548" s="527"/>
      <c r="V548" s="527"/>
      <c r="W548" s="527"/>
      <c r="X548" s="527"/>
      <c r="Y548" s="527"/>
      <c r="Z548" s="527"/>
      <c r="AA548" s="512"/>
      <c r="AB548" s="460">
        <v>0.3</v>
      </c>
      <c r="AC548" s="512"/>
      <c r="AD548" s="513"/>
      <c r="AF548" s="517"/>
      <c r="AG548" s="513"/>
      <c r="AH548" s="513"/>
      <c r="AI548" s="513"/>
      <c r="AJ548" s="558"/>
      <c r="AK548" s="513"/>
      <c r="AL548" s="516"/>
      <c r="AM548" s="513"/>
      <c r="AN548" s="513"/>
      <c r="AO548" s="517"/>
      <c r="AP548" s="513"/>
      <c r="AQ548" s="513"/>
      <c r="AR548" s="517"/>
      <c r="AS548" s="517"/>
      <c r="AT548" s="513"/>
      <c r="AU548" s="513"/>
      <c r="AV548" s="517"/>
      <c r="AW548" s="513"/>
      <c r="AX548" s="513"/>
      <c r="AY548" s="513"/>
      <c r="AZ548" s="513"/>
      <c r="BA548" s="513"/>
    </row>
    <row r="549" spans="1:53" s="514" customFormat="1" ht="56.25" customHeight="1" x14ac:dyDescent="0.25">
      <c r="A549" s="1136" t="s">
        <v>1544</v>
      </c>
      <c r="B549" s="503"/>
      <c r="C549" s="502"/>
      <c r="D549" s="570"/>
      <c r="E549" s="576" t="s">
        <v>488</v>
      </c>
      <c r="F549" s="507" t="s">
        <v>837</v>
      </c>
      <c r="G549" s="503" t="s">
        <v>489</v>
      </c>
      <c r="H549" s="505" t="s">
        <v>1170</v>
      </c>
      <c r="I549" s="507" t="s">
        <v>838</v>
      </c>
      <c r="J549" s="508" t="s">
        <v>1171</v>
      </c>
      <c r="K549" s="508" t="s">
        <v>490</v>
      </c>
      <c r="L549" s="509" t="s">
        <v>489</v>
      </c>
      <c r="M549" s="508" t="s">
        <v>1172</v>
      </c>
      <c r="N549" s="507" t="s">
        <v>838</v>
      </c>
      <c r="O549" s="508" t="s">
        <v>1171</v>
      </c>
      <c r="P549" s="508" t="s">
        <v>826</v>
      </c>
      <c r="Q549" s="508" t="s">
        <v>1173</v>
      </c>
      <c r="R549" s="508" t="s">
        <v>1174</v>
      </c>
      <c r="S549" s="508" t="s">
        <v>839</v>
      </c>
      <c r="T549" s="508" t="s">
        <v>1171</v>
      </c>
      <c r="U549" s="508" t="s">
        <v>1392</v>
      </c>
      <c r="V549" s="508" t="s">
        <v>841</v>
      </c>
      <c r="W549" s="510" t="s">
        <v>1173</v>
      </c>
      <c r="X549" s="508" t="s">
        <v>1394</v>
      </c>
      <c r="Y549" s="508" t="s">
        <v>839</v>
      </c>
      <c r="Z549" s="511"/>
      <c r="AA549" s="512"/>
      <c r="AB549" s="460">
        <v>0.3</v>
      </c>
      <c r="AC549" s="512"/>
      <c r="AD549" s="513"/>
      <c r="AF549" s="515"/>
      <c r="AG549" s="513"/>
      <c r="AH549" s="513"/>
      <c r="AI549" s="513"/>
      <c r="AJ549" s="513"/>
      <c r="AK549" s="513"/>
      <c r="AL549" s="516"/>
      <c r="AM549" s="513"/>
      <c r="AN549" s="513"/>
      <c r="AO549" s="517"/>
      <c r="AP549" s="513"/>
      <c r="AQ549" s="518"/>
      <c r="AR549" s="518"/>
      <c r="AS549" s="518"/>
      <c r="AT549" s="513"/>
      <c r="AU549" s="513"/>
      <c r="AV549" s="517"/>
      <c r="AW549" s="513"/>
      <c r="AX549" s="513"/>
      <c r="AY549" s="513"/>
      <c r="AZ549" s="513"/>
      <c r="BA549" s="513"/>
    </row>
    <row r="550" spans="1:53" s="514" customFormat="1" ht="12" customHeight="1" x14ac:dyDescent="0.25">
      <c r="A550" s="1136"/>
      <c r="B550" s="519" t="s">
        <v>1175</v>
      </c>
      <c r="C550" s="502">
        <f>C560</f>
        <v>950.76861522546415</v>
      </c>
      <c r="D550" s="570">
        <f>C550*$D$7</f>
        <v>192.05526027554376</v>
      </c>
      <c r="E550" s="573" t="s">
        <v>1176</v>
      </c>
      <c r="F550" s="571"/>
      <c r="G550" s="523"/>
      <c r="H550" s="523"/>
      <c r="I550" s="524">
        <f>SUM(I551:I561)</f>
        <v>134.22920000000002</v>
      </c>
      <c r="J550" s="525" t="s">
        <v>1176</v>
      </c>
      <c r="K550" s="526"/>
      <c r="L550" s="527"/>
      <c r="M550" s="527"/>
      <c r="N550" s="528">
        <f>SUM(N551:N561)</f>
        <v>4.4213899999999997</v>
      </c>
      <c r="O550" s="527" t="s">
        <v>1176</v>
      </c>
      <c r="P550" s="527"/>
      <c r="Q550" s="529"/>
      <c r="R550" s="530"/>
      <c r="S550" s="528">
        <f>SUM(S551:S561)</f>
        <v>9.9028000000000009</v>
      </c>
      <c r="T550" s="528"/>
      <c r="U550" s="528"/>
      <c r="V550" s="528"/>
      <c r="W550" s="528"/>
      <c r="X550" s="528"/>
      <c r="Y550" s="528">
        <f>SUM(Y551:Y561)</f>
        <v>9.1999999999999998E-3</v>
      </c>
      <c r="Z550" s="531">
        <f>(C550+D550+I550+N550+S550+Y550)*$Z$7</f>
        <v>1679.0447890861617</v>
      </c>
      <c r="AA550" s="532">
        <f>C550+D550+I550+N550+S550+Y550+Z550</f>
        <v>2970.4312545871699</v>
      </c>
      <c r="AB550" s="460">
        <v>0.3</v>
      </c>
      <c r="AC550" s="533">
        <f>AA550*(1+AB550)</f>
        <v>3861.5606309633208</v>
      </c>
      <c r="AD550" s="517"/>
      <c r="AF550" s="515"/>
      <c r="AG550" s="513"/>
      <c r="AH550" s="513"/>
      <c r="AI550" s="518"/>
      <c r="AJ550" s="534"/>
      <c r="AK550" s="535"/>
      <c r="AL550" s="516"/>
      <c r="AM550" s="536"/>
      <c r="AN550" s="537"/>
      <c r="AO550" s="536"/>
      <c r="AP550" s="518"/>
      <c r="AQ550" s="518"/>
      <c r="AR550" s="518"/>
      <c r="AS550" s="518"/>
      <c r="AT550" s="518"/>
      <c r="AU550" s="536"/>
      <c r="AV550" s="536"/>
      <c r="AW550" s="538"/>
      <c r="AX550" s="513"/>
      <c r="AY550" s="513"/>
      <c r="AZ550" s="513"/>
      <c r="BA550" s="513"/>
    </row>
    <row r="551" spans="1:53" s="514" customFormat="1" ht="66" x14ac:dyDescent="0.25">
      <c r="A551" s="1136"/>
      <c r="B551" s="572" t="s">
        <v>1177</v>
      </c>
      <c r="C551" s="502"/>
      <c r="D551" s="566"/>
      <c r="E551" s="541" t="s">
        <v>1437</v>
      </c>
      <c r="F551" s="542" t="s">
        <v>1438</v>
      </c>
      <c r="G551" s="543">
        <v>0.74</v>
      </c>
      <c r="H551" s="542">
        <v>0.1</v>
      </c>
      <c r="I551" s="544">
        <f t="shared" ref="I551:I561" si="50">G551*H551</f>
        <v>7.3999999999999996E-2</v>
      </c>
      <c r="J551" s="525" t="s">
        <v>1291</v>
      </c>
      <c r="K551" s="545">
        <v>2</v>
      </c>
      <c r="L551" s="546">
        <v>750</v>
      </c>
      <c r="M551" s="545">
        <v>2</v>
      </c>
      <c r="N551" s="528">
        <v>1.1745000000000001</v>
      </c>
      <c r="O551" s="547" t="s">
        <v>1578</v>
      </c>
      <c r="P551" s="527">
        <v>188900</v>
      </c>
      <c r="Q551" s="548">
        <v>0.19670000000000001</v>
      </c>
      <c r="R551" s="527">
        <f>P551*Q551</f>
        <v>37156.630000000005</v>
      </c>
      <c r="S551" s="527">
        <v>8.1902000000000008</v>
      </c>
      <c r="T551" s="512" t="s">
        <v>1435</v>
      </c>
      <c r="U551" s="523">
        <v>6785401.3499999996</v>
      </c>
      <c r="V551" s="549">
        <v>1.32E-2</v>
      </c>
      <c r="W551" s="512">
        <v>1508.3</v>
      </c>
      <c r="X551" s="528">
        <v>59.38</v>
      </c>
      <c r="Y551" s="527">
        <v>9.1999999999999998E-3</v>
      </c>
      <c r="Z551" s="527"/>
      <c r="AA551" s="512"/>
      <c r="AB551" s="460">
        <v>0.3</v>
      </c>
      <c r="AC551" s="512"/>
      <c r="AD551" s="513"/>
      <c r="AE551" s="513"/>
      <c r="AF551" s="515"/>
      <c r="AG551" s="513"/>
      <c r="AH551" s="513"/>
      <c r="AI551" s="513"/>
      <c r="AJ551" s="513"/>
      <c r="AK551" s="513"/>
      <c r="AL551" s="516"/>
      <c r="AM551" s="513"/>
      <c r="AN551" s="513"/>
      <c r="AO551" s="517"/>
      <c r="AP551" s="513"/>
      <c r="AQ551" s="513"/>
      <c r="AR551" s="517"/>
      <c r="AS551" s="517"/>
      <c r="AT551" s="513"/>
      <c r="AU551" s="513"/>
      <c r="AV551" s="517"/>
      <c r="AW551" s="513"/>
      <c r="AX551" s="513"/>
      <c r="AY551" s="513"/>
      <c r="AZ551" s="513"/>
      <c r="BA551" s="513"/>
    </row>
    <row r="552" spans="1:53" s="514" customFormat="1" x14ac:dyDescent="0.25">
      <c r="A552" s="1136"/>
      <c r="B552" s="565" t="s">
        <v>1178</v>
      </c>
      <c r="C552" s="491">
        <f>C539</f>
        <v>43.888814515309463</v>
      </c>
      <c r="D552" s="566"/>
      <c r="E552" s="541" t="s">
        <v>1439</v>
      </c>
      <c r="F552" s="542" t="s">
        <v>1438</v>
      </c>
      <c r="G552" s="543">
        <v>0.27</v>
      </c>
      <c r="H552" s="542">
        <v>0.01</v>
      </c>
      <c r="I552" s="544">
        <f t="shared" si="50"/>
        <v>2.7000000000000001E-3</v>
      </c>
      <c r="J552" s="525" t="s">
        <v>1445</v>
      </c>
      <c r="K552" s="528">
        <v>2</v>
      </c>
      <c r="L552" s="553">
        <v>95</v>
      </c>
      <c r="M552" s="545">
        <v>2</v>
      </c>
      <c r="N552" s="528">
        <v>3.1146400000000001</v>
      </c>
      <c r="O552" s="527" t="s">
        <v>1580</v>
      </c>
      <c r="P552" s="527">
        <v>39500</v>
      </c>
      <c r="Q552" s="548">
        <v>0.19670000000000001</v>
      </c>
      <c r="R552" s="527">
        <f>P552*Q552</f>
        <v>7769.6500000000005</v>
      </c>
      <c r="S552" s="527">
        <v>1.7125999999999999</v>
      </c>
      <c r="T552" s="527"/>
      <c r="U552" s="527"/>
      <c r="V552" s="527"/>
      <c r="W552" s="548"/>
      <c r="X552" s="527"/>
      <c r="Y552" s="527"/>
      <c r="Z552" s="527"/>
      <c r="AA552" s="512"/>
      <c r="AB552" s="460">
        <v>0.3</v>
      </c>
      <c r="AC552" s="512"/>
      <c r="AD552" s="513"/>
      <c r="AE552" s="513"/>
      <c r="AF552" s="515"/>
      <c r="AG552" s="513"/>
      <c r="AH552" s="513"/>
      <c r="AI552" s="513"/>
      <c r="AJ552" s="513"/>
      <c r="AK552" s="513"/>
      <c r="AL552" s="516"/>
      <c r="AM552" s="513"/>
      <c r="AN552" s="513"/>
      <c r="AO552" s="517"/>
      <c r="AP552" s="513"/>
      <c r="AQ552" s="513"/>
      <c r="AR552" s="517"/>
      <c r="AS552" s="517"/>
      <c r="AT552" s="513"/>
      <c r="AU552" s="513"/>
      <c r="AV552" s="517"/>
      <c r="AW552" s="513"/>
      <c r="AX552" s="513"/>
      <c r="AY552" s="513"/>
      <c r="AZ552" s="513"/>
      <c r="BA552" s="513"/>
    </row>
    <row r="553" spans="1:53" s="514" customFormat="1" x14ac:dyDescent="0.25">
      <c r="A553" s="1136"/>
      <c r="B553" s="521" t="s">
        <v>1179</v>
      </c>
      <c r="C553" s="487">
        <f>C540</f>
        <v>19.495759833054819</v>
      </c>
      <c r="D553" s="566"/>
      <c r="E553" s="541" t="s">
        <v>1440</v>
      </c>
      <c r="F553" s="542" t="s">
        <v>1441</v>
      </c>
      <c r="G553" s="543">
        <v>5.92</v>
      </c>
      <c r="H553" s="555">
        <v>1</v>
      </c>
      <c r="I553" s="544">
        <f t="shared" si="50"/>
        <v>5.92</v>
      </c>
      <c r="J553" s="525" t="s">
        <v>1513</v>
      </c>
      <c r="K553" s="528">
        <v>2</v>
      </c>
      <c r="L553" s="528">
        <v>25</v>
      </c>
      <c r="M553" s="545">
        <v>0.5</v>
      </c>
      <c r="N553" s="528">
        <v>0.13225000000000001</v>
      </c>
      <c r="O553" s="527"/>
      <c r="P553" s="527"/>
      <c r="Q553" s="548"/>
      <c r="R553" s="527"/>
      <c r="S553" s="527"/>
      <c r="T553" s="527"/>
      <c r="U553" s="527"/>
      <c r="V553" s="527"/>
      <c r="W553" s="548"/>
      <c r="X553" s="527"/>
      <c r="Y553" s="527"/>
      <c r="Z553" s="527"/>
      <c r="AA553" s="512"/>
      <c r="AB553" s="460">
        <v>0.3</v>
      </c>
      <c r="AC553" s="512"/>
      <c r="AD553" s="513"/>
      <c r="AE553" s="513"/>
      <c r="AF553" s="515"/>
      <c r="AG553" s="513"/>
      <c r="AH553" s="513"/>
      <c r="AI553" s="513"/>
      <c r="AJ553" s="513"/>
      <c r="AK553" s="513"/>
      <c r="AL553" s="516"/>
      <c r="AM553" s="513"/>
      <c r="AN553" s="513"/>
      <c r="AO553" s="517"/>
      <c r="AP553" s="513"/>
      <c r="AQ553" s="513"/>
      <c r="AR553" s="517"/>
      <c r="AS553" s="517"/>
      <c r="AT553" s="513"/>
      <c r="AU553" s="513"/>
      <c r="AV553" s="517"/>
      <c r="AW553" s="513"/>
      <c r="AX553" s="513"/>
      <c r="AY553" s="513"/>
      <c r="AZ553" s="513"/>
      <c r="BA553" s="513"/>
    </row>
    <row r="554" spans="1:53" s="514" customFormat="1" x14ac:dyDescent="0.25">
      <c r="A554" s="1136"/>
      <c r="B554" s="521" t="s">
        <v>1180</v>
      </c>
      <c r="C554" s="567"/>
      <c r="D554" s="566"/>
      <c r="E554" s="541" t="s">
        <v>1442</v>
      </c>
      <c r="F554" s="542" t="s">
        <v>1443</v>
      </c>
      <c r="G554" s="543">
        <v>419.5</v>
      </c>
      <c r="H554" s="542">
        <v>0.01</v>
      </c>
      <c r="I554" s="544">
        <f t="shared" si="50"/>
        <v>4.1950000000000003</v>
      </c>
      <c r="J554" s="525"/>
      <c r="K554" s="557"/>
      <c r="L554" s="528"/>
      <c r="M554" s="528"/>
      <c r="N554" s="528"/>
      <c r="O554" s="527"/>
      <c r="P554" s="527"/>
      <c r="Q554" s="527"/>
      <c r="R554" s="527"/>
      <c r="S554" s="527"/>
      <c r="T554" s="527"/>
      <c r="U554" s="527"/>
      <c r="V554" s="527"/>
      <c r="W554" s="527"/>
      <c r="X554" s="527"/>
      <c r="Y554" s="527"/>
      <c r="Z554" s="527"/>
      <c r="AA554" s="512"/>
      <c r="AB554" s="460">
        <v>0.3</v>
      </c>
      <c r="AC554" s="512"/>
      <c r="AF554" s="515"/>
      <c r="AG554" s="513"/>
      <c r="AH554" s="513"/>
      <c r="AI554" s="513"/>
      <c r="AJ554" s="513"/>
      <c r="AK554" s="513"/>
      <c r="AL554" s="516"/>
      <c r="AM554" s="513"/>
      <c r="AN554" s="513"/>
      <c r="AO554" s="517"/>
      <c r="AP554" s="513"/>
      <c r="AQ554" s="513"/>
      <c r="AR554" s="517"/>
      <c r="AS554" s="517"/>
      <c r="AT554" s="513"/>
      <c r="AU554" s="513"/>
      <c r="AV554" s="517"/>
      <c r="AW554" s="513"/>
      <c r="AX554" s="513"/>
      <c r="AY554" s="513"/>
      <c r="AZ554" s="513"/>
      <c r="BA554" s="513"/>
    </row>
    <row r="555" spans="1:53" s="514" customFormat="1" x14ac:dyDescent="0.25">
      <c r="A555" s="1136"/>
      <c r="B555" s="565" t="s">
        <v>1178</v>
      </c>
      <c r="C555" s="568">
        <v>15</v>
      </c>
      <c r="D555" s="566"/>
      <c r="E555" s="541" t="s">
        <v>1444</v>
      </c>
      <c r="F555" s="542" t="s">
        <v>1443</v>
      </c>
      <c r="G555" s="543">
        <v>872</v>
      </c>
      <c r="H555" s="542">
        <v>5.0000000000000001E-3</v>
      </c>
      <c r="I555" s="544">
        <f t="shared" si="50"/>
        <v>4.3600000000000003</v>
      </c>
      <c r="J555" s="525"/>
      <c r="K555" s="557"/>
      <c r="L555" s="528"/>
      <c r="M555" s="528"/>
      <c r="N555" s="528"/>
      <c r="O555" s="527"/>
      <c r="P555" s="527"/>
      <c r="Q555" s="527"/>
      <c r="R555" s="527"/>
      <c r="S555" s="527"/>
      <c r="T555" s="527"/>
      <c r="U555" s="527"/>
      <c r="V555" s="527"/>
      <c r="W555" s="527"/>
      <c r="X555" s="527"/>
      <c r="Y555" s="527"/>
      <c r="Z555" s="527"/>
      <c r="AA555" s="512"/>
      <c r="AB555" s="460">
        <v>0.3</v>
      </c>
      <c r="AC555" s="512"/>
      <c r="AF555" s="515"/>
      <c r="AG555" s="513"/>
      <c r="AH555" s="513"/>
      <c r="AI555" s="513"/>
      <c r="AJ555" s="513"/>
      <c r="AK555" s="513"/>
      <c r="AL555" s="516"/>
      <c r="AM555" s="513"/>
      <c r="AN555" s="513"/>
      <c r="AO555" s="517"/>
      <c r="AP555" s="513"/>
      <c r="AQ555" s="513"/>
      <c r="AR555" s="517"/>
      <c r="AS555" s="517"/>
      <c r="AT555" s="513"/>
      <c r="AU555" s="513"/>
      <c r="AV555" s="517"/>
      <c r="AW555" s="513"/>
      <c r="AX555" s="513"/>
      <c r="AY555" s="513"/>
      <c r="AZ555" s="513"/>
      <c r="BA555" s="513"/>
    </row>
    <row r="556" spans="1:53" s="514" customFormat="1" x14ac:dyDescent="0.25">
      <c r="A556" s="1136"/>
      <c r="B556" s="521" t="s">
        <v>1179</v>
      </c>
      <c r="C556" s="568">
        <v>15</v>
      </c>
      <c r="D556" s="566"/>
      <c r="E556" s="559" t="s">
        <v>581</v>
      </c>
      <c r="F556" s="560" t="s">
        <v>1438</v>
      </c>
      <c r="G556" s="543">
        <v>16.39</v>
      </c>
      <c r="H556" s="542">
        <v>0.25</v>
      </c>
      <c r="I556" s="544">
        <f t="shared" si="50"/>
        <v>4.0975000000000001</v>
      </c>
      <c r="J556" s="525"/>
      <c r="K556" s="557"/>
      <c r="L556" s="546"/>
      <c r="M556" s="545"/>
      <c r="N556" s="528"/>
      <c r="O556" s="527"/>
      <c r="P556" s="527"/>
      <c r="Q556" s="527"/>
      <c r="R556" s="527"/>
      <c r="S556" s="527"/>
      <c r="T556" s="527"/>
      <c r="U556" s="527"/>
      <c r="V556" s="527"/>
      <c r="W556" s="527"/>
      <c r="X556" s="527"/>
      <c r="Y556" s="527"/>
      <c r="Z556" s="527"/>
      <c r="AA556" s="512"/>
      <c r="AB556" s="460">
        <v>0.3</v>
      </c>
      <c r="AC556" s="512"/>
      <c r="AF556" s="515"/>
      <c r="AG556" s="513"/>
      <c r="AH556" s="513"/>
      <c r="AI556" s="513"/>
      <c r="AJ556" s="513"/>
      <c r="AK556" s="513"/>
      <c r="AL556" s="516"/>
      <c r="AM556" s="513"/>
      <c r="AN556" s="513"/>
      <c r="AO556" s="517"/>
      <c r="AP556" s="513"/>
      <c r="AQ556" s="513"/>
      <c r="AR556" s="517"/>
      <c r="AS556" s="517"/>
      <c r="AT556" s="513"/>
      <c r="AU556" s="513"/>
      <c r="AV556" s="517"/>
      <c r="AW556" s="513"/>
      <c r="AX556" s="513"/>
      <c r="AY556" s="513"/>
      <c r="AZ556" s="513"/>
      <c r="BA556" s="513"/>
    </row>
    <row r="557" spans="1:53" s="514" customFormat="1" x14ac:dyDescent="0.25">
      <c r="A557" s="1136"/>
      <c r="B557" s="521"/>
      <c r="C557" s="568"/>
      <c r="D557" s="566"/>
      <c r="E557" s="645" t="s">
        <v>26</v>
      </c>
      <c r="F557" s="646" t="s">
        <v>1</v>
      </c>
      <c r="G557" s="543">
        <v>6.67</v>
      </c>
      <c r="H557" s="523">
        <v>1</v>
      </c>
      <c r="I557" s="544">
        <f t="shared" si="50"/>
        <v>6.67</v>
      </c>
      <c r="J557" s="525"/>
      <c r="K557" s="557"/>
      <c r="L557" s="546"/>
      <c r="M557" s="545"/>
      <c r="N557" s="528"/>
      <c r="O557" s="527"/>
      <c r="P557" s="527"/>
      <c r="Q557" s="527"/>
      <c r="R557" s="527"/>
      <c r="S557" s="527"/>
      <c r="T557" s="527"/>
      <c r="U557" s="527"/>
      <c r="V557" s="527"/>
      <c r="W557" s="527"/>
      <c r="X557" s="527"/>
      <c r="Y557" s="527"/>
      <c r="Z557" s="527"/>
      <c r="AA557" s="512"/>
      <c r="AB557" s="460"/>
      <c r="AC557" s="512"/>
      <c r="AF557" s="515"/>
      <c r="AG557" s="513"/>
      <c r="AH557" s="513"/>
      <c r="AI557" s="513"/>
      <c r="AJ557" s="513"/>
      <c r="AK557" s="513"/>
      <c r="AL557" s="516"/>
      <c r="AM557" s="513"/>
      <c r="AN557" s="513"/>
      <c r="AO557" s="517"/>
      <c r="AP557" s="513"/>
      <c r="AQ557" s="513"/>
      <c r="AR557" s="517"/>
      <c r="AS557" s="517"/>
      <c r="AT557" s="513"/>
      <c r="AU557" s="513"/>
      <c r="AV557" s="517"/>
      <c r="AW557" s="513"/>
      <c r="AX557" s="513"/>
      <c r="AY557" s="513"/>
      <c r="AZ557" s="513"/>
      <c r="BA557" s="513"/>
    </row>
    <row r="558" spans="1:53" s="514" customFormat="1" x14ac:dyDescent="0.25">
      <c r="A558" s="1136"/>
      <c r="B558" s="521"/>
      <c r="C558" s="568"/>
      <c r="D558" s="566"/>
      <c r="E558" s="645" t="s">
        <v>18</v>
      </c>
      <c r="F558" s="646" t="s">
        <v>1438</v>
      </c>
      <c r="G558" s="543">
        <v>0.94</v>
      </c>
      <c r="H558" s="523">
        <v>0.5</v>
      </c>
      <c r="I558" s="544">
        <f t="shared" si="50"/>
        <v>0.47</v>
      </c>
      <c r="J558" s="525"/>
      <c r="K558" s="557"/>
      <c r="L558" s="546"/>
      <c r="M558" s="545"/>
      <c r="N558" s="528"/>
      <c r="O558" s="527"/>
      <c r="P558" s="527"/>
      <c r="Q558" s="527"/>
      <c r="R558" s="527"/>
      <c r="S558" s="527"/>
      <c r="T558" s="527"/>
      <c r="U558" s="527"/>
      <c r="V558" s="527"/>
      <c r="W558" s="527"/>
      <c r="X558" s="527"/>
      <c r="Y558" s="527"/>
      <c r="Z558" s="527"/>
      <c r="AA558" s="512"/>
      <c r="AB558" s="460"/>
      <c r="AC558" s="512"/>
      <c r="AF558" s="515"/>
      <c r="AG558" s="513"/>
      <c r="AH558" s="513"/>
      <c r="AI558" s="513"/>
      <c r="AJ558" s="513"/>
      <c r="AK558" s="513"/>
      <c r="AL558" s="516"/>
      <c r="AM558" s="513"/>
      <c r="AN558" s="513"/>
      <c r="AO558" s="517"/>
      <c r="AP558" s="513"/>
      <c r="AQ558" s="513"/>
      <c r="AR558" s="517"/>
      <c r="AS558" s="517"/>
      <c r="AT558" s="513"/>
      <c r="AU558" s="513"/>
      <c r="AV558" s="517"/>
      <c r="AW558" s="513"/>
      <c r="AX558" s="513"/>
      <c r="AY558" s="513"/>
      <c r="AZ558" s="513"/>
      <c r="BA558" s="513"/>
    </row>
    <row r="559" spans="1:53" s="514" customFormat="1" x14ac:dyDescent="0.25">
      <c r="A559" s="1136"/>
      <c r="B559" s="521"/>
      <c r="C559" s="568"/>
      <c r="D559" s="566"/>
      <c r="E559" s="645" t="s">
        <v>22</v>
      </c>
      <c r="F559" s="646" t="s">
        <v>1441</v>
      </c>
      <c r="G559" s="543">
        <v>1.5</v>
      </c>
      <c r="H559" s="523">
        <v>3</v>
      </c>
      <c r="I559" s="544">
        <f t="shared" si="50"/>
        <v>4.5</v>
      </c>
      <c r="J559" s="525"/>
      <c r="K559" s="557"/>
      <c r="L559" s="546"/>
      <c r="M559" s="545"/>
      <c r="N559" s="528"/>
      <c r="O559" s="527"/>
      <c r="P559" s="527"/>
      <c r="Q559" s="527"/>
      <c r="R559" s="527"/>
      <c r="S559" s="527"/>
      <c r="T559" s="527"/>
      <c r="U559" s="527"/>
      <c r="V559" s="527"/>
      <c r="W559" s="527"/>
      <c r="X559" s="527"/>
      <c r="Y559" s="527"/>
      <c r="Z559" s="527"/>
      <c r="AA559" s="512"/>
      <c r="AB559" s="460"/>
      <c r="AC559" s="512"/>
      <c r="AF559" s="515"/>
      <c r="AG559" s="513"/>
      <c r="AH559" s="513"/>
      <c r="AI559" s="513"/>
      <c r="AJ559" s="513"/>
      <c r="AK559" s="513"/>
      <c r="AL559" s="516"/>
      <c r="AM559" s="513"/>
      <c r="AN559" s="513"/>
      <c r="AO559" s="517"/>
      <c r="AP559" s="513"/>
      <c r="AQ559" s="513"/>
      <c r="AR559" s="517"/>
      <c r="AS559" s="517"/>
      <c r="AT559" s="513"/>
      <c r="AU559" s="513"/>
      <c r="AV559" s="517"/>
      <c r="AW559" s="513"/>
      <c r="AX559" s="513"/>
      <c r="AY559" s="513"/>
      <c r="AZ559" s="513"/>
      <c r="BA559" s="513"/>
    </row>
    <row r="560" spans="1:53" s="514" customFormat="1" x14ac:dyDescent="0.25">
      <c r="A560" s="1136"/>
      <c r="B560" s="569" t="s">
        <v>1181</v>
      </c>
      <c r="C560" s="502">
        <f>C552*C555+C553*C556</f>
        <v>950.76861522546415</v>
      </c>
      <c r="D560" s="566"/>
      <c r="E560" s="645" t="s">
        <v>13</v>
      </c>
      <c r="F560" s="646" t="s">
        <v>1441</v>
      </c>
      <c r="G560" s="543">
        <v>1.5</v>
      </c>
      <c r="H560" s="523">
        <v>1</v>
      </c>
      <c r="I560" s="544">
        <f t="shared" si="50"/>
        <v>1.5</v>
      </c>
      <c r="J560" s="525"/>
      <c r="K560" s="557"/>
      <c r="L560" s="528"/>
      <c r="M560" s="528"/>
      <c r="N560" s="528"/>
      <c r="O560" s="527"/>
      <c r="P560" s="527"/>
      <c r="Q560" s="527"/>
      <c r="R560" s="527"/>
      <c r="S560" s="527"/>
      <c r="T560" s="527"/>
      <c r="U560" s="527"/>
      <c r="V560" s="527"/>
      <c r="W560" s="527"/>
      <c r="X560" s="527"/>
      <c r="Y560" s="527"/>
      <c r="Z560" s="527"/>
      <c r="AA560" s="512"/>
      <c r="AB560" s="460">
        <v>0.3</v>
      </c>
      <c r="AC560" s="512"/>
      <c r="AF560" s="515"/>
      <c r="AG560" s="513"/>
      <c r="AH560" s="513"/>
      <c r="AI560" s="513"/>
      <c r="AJ560" s="513"/>
      <c r="AK560" s="513"/>
      <c r="AL560" s="516"/>
      <c r="AM560" s="513"/>
      <c r="AN560" s="513"/>
      <c r="AO560" s="517"/>
      <c r="AP560" s="513"/>
      <c r="AQ560" s="513"/>
      <c r="AR560" s="517"/>
      <c r="AS560" s="517"/>
      <c r="AT560" s="513"/>
      <c r="AU560" s="513"/>
      <c r="AV560" s="517"/>
      <c r="AW560" s="513"/>
      <c r="AX560" s="513"/>
      <c r="AY560" s="513"/>
      <c r="AZ560" s="513"/>
      <c r="BA560" s="513"/>
    </row>
    <row r="561" spans="1:53" s="514" customFormat="1" x14ac:dyDescent="0.25">
      <c r="A561" s="1136"/>
      <c r="B561" s="569"/>
      <c r="C561" s="568"/>
      <c r="D561" s="575"/>
      <c r="E561" s="645" t="s">
        <v>1697</v>
      </c>
      <c r="F561" s="646" t="s">
        <v>1</v>
      </c>
      <c r="G561" s="543">
        <v>256.10000000000002</v>
      </c>
      <c r="H561" s="523">
        <v>0.4</v>
      </c>
      <c r="I561" s="544">
        <f t="shared" si="50"/>
        <v>102.44000000000001</v>
      </c>
      <c r="J561" s="525"/>
      <c r="K561" s="557"/>
      <c r="L561" s="528"/>
      <c r="M561" s="528"/>
      <c r="N561" s="528"/>
      <c r="O561" s="527"/>
      <c r="P561" s="527"/>
      <c r="Q561" s="527"/>
      <c r="R561" s="527"/>
      <c r="S561" s="527"/>
      <c r="T561" s="527"/>
      <c r="U561" s="527"/>
      <c r="V561" s="527"/>
      <c r="W561" s="527"/>
      <c r="X561" s="527"/>
      <c r="Y561" s="527"/>
      <c r="Z561" s="527"/>
      <c r="AA561" s="512"/>
      <c r="AB561" s="460">
        <v>0.3</v>
      </c>
      <c r="AC561" s="512"/>
      <c r="AF561" s="515"/>
      <c r="AG561" s="513"/>
      <c r="AH561" s="513"/>
      <c r="AI561" s="513"/>
      <c r="AJ561" s="513"/>
      <c r="AK561" s="513"/>
      <c r="AL561" s="516"/>
      <c r="AM561" s="513"/>
      <c r="AN561" s="513"/>
      <c r="AO561" s="517"/>
      <c r="AP561" s="513"/>
      <c r="AQ561" s="513"/>
      <c r="AR561" s="517"/>
      <c r="AS561" s="517"/>
      <c r="AT561" s="513"/>
      <c r="AU561" s="513"/>
      <c r="AV561" s="517"/>
      <c r="AW561" s="513"/>
      <c r="AX561" s="513"/>
      <c r="AY561" s="513"/>
      <c r="AZ561" s="513"/>
      <c r="BA561" s="513"/>
    </row>
    <row r="562" spans="1:53" s="514" customFormat="1" ht="56.25" customHeight="1" x14ac:dyDescent="0.25">
      <c r="A562" s="1136" t="s">
        <v>1545</v>
      </c>
      <c r="B562" s="503"/>
      <c r="C562" s="502"/>
      <c r="D562" s="570"/>
      <c r="E562" s="576" t="s">
        <v>488</v>
      </c>
      <c r="F562" s="507" t="s">
        <v>837</v>
      </c>
      <c r="G562" s="503" t="s">
        <v>489</v>
      </c>
      <c r="H562" s="505" t="s">
        <v>1170</v>
      </c>
      <c r="I562" s="507" t="s">
        <v>838</v>
      </c>
      <c r="J562" s="508" t="s">
        <v>1171</v>
      </c>
      <c r="K562" s="508" t="s">
        <v>490</v>
      </c>
      <c r="L562" s="509" t="s">
        <v>489</v>
      </c>
      <c r="M562" s="508" t="s">
        <v>1172</v>
      </c>
      <c r="N562" s="507" t="s">
        <v>838</v>
      </c>
      <c r="O562" s="508" t="s">
        <v>1171</v>
      </c>
      <c r="P562" s="508" t="s">
        <v>826</v>
      </c>
      <c r="Q562" s="508" t="s">
        <v>1173</v>
      </c>
      <c r="R562" s="508" t="s">
        <v>1174</v>
      </c>
      <c r="S562" s="508" t="s">
        <v>839</v>
      </c>
      <c r="T562" s="508" t="s">
        <v>1171</v>
      </c>
      <c r="U562" s="508" t="s">
        <v>1392</v>
      </c>
      <c r="V562" s="508" t="s">
        <v>841</v>
      </c>
      <c r="W562" s="510" t="s">
        <v>1173</v>
      </c>
      <c r="X562" s="508" t="s">
        <v>1394</v>
      </c>
      <c r="Y562" s="508" t="s">
        <v>839</v>
      </c>
      <c r="Z562" s="511"/>
      <c r="AA562" s="512"/>
      <c r="AB562" s="460">
        <v>0.3</v>
      </c>
      <c r="AC562" s="512"/>
      <c r="AD562" s="513"/>
      <c r="AF562" s="515"/>
      <c r="AG562" s="513"/>
      <c r="AH562" s="513"/>
      <c r="AI562" s="513"/>
      <c r="AJ562" s="513"/>
      <c r="AK562" s="513"/>
      <c r="AL562" s="516"/>
      <c r="AM562" s="513"/>
      <c r="AN562" s="513"/>
      <c r="AO562" s="517"/>
      <c r="AP562" s="513"/>
      <c r="AQ562" s="518"/>
      <c r="AR562" s="518"/>
      <c r="AS562" s="518"/>
      <c r="AT562" s="513"/>
      <c r="AU562" s="513"/>
      <c r="AV562" s="517"/>
      <c r="AW562" s="513"/>
      <c r="AX562" s="513"/>
      <c r="AY562" s="513"/>
      <c r="AZ562" s="513"/>
      <c r="BA562" s="513"/>
    </row>
    <row r="563" spans="1:53" s="514" customFormat="1" ht="12" customHeight="1" x14ac:dyDescent="0.25">
      <c r="A563" s="1136"/>
      <c r="B563" s="519" t="s">
        <v>1175</v>
      </c>
      <c r="C563" s="502">
        <f>C573</f>
        <v>1204.3069126189214</v>
      </c>
      <c r="D563" s="570">
        <f>C563*$D$7</f>
        <v>243.26999634902214</v>
      </c>
      <c r="E563" s="573" t="s">
        <v>1176</v>
      </c>
      <c r="F563" s="571"/>
      <c r="G563" s="523"/>
      <c r="H563" s="523"/>
      <c r="I563" s="524">
        <f>SUM(I564:I574)</f>
        <v>159.83920000000001</v>
      </c>
      <c r="J563" s="525" t="s">
        <v>1176</v>
      </c>
      <c r="K563" s="526"/>
      <c r="L563" s="527"/>
      <c r="M563" s="527"/>
      <c r="N563" s="528">
        <f>SUM(N564:N574)</f>
        <v>4.4213899999999997</v>
      </c>
      <c r="O563" s="527" t="s">
        <v>1176</v>
      </c>
      <c r="P563" s="527"/>
      <c r="Q563" s="529"/>
      <c r="R563" s="530"/>
      <c r="S563" s="528">
        <f>SUM(S564:S574)</f>
        <v>9.9028000000000009</v>
      </c>
      <c r="T563" s="528"/>
      <c r="U563" s="528"/>
      <c r="V563" s="528"/>
      <c r="W563" s="528"/>
      <c r="X563" s="528"/>
      <c r="Y563" s="528">
        <f>SUM(Y564:Y574)</f>
        <v>9.1999999999999998E-3</v>
      </c>
      <c r="Z563" s="531">
        <f>(C563+D563+I563+N563+S563+Y563)*$Z$7</f>
        <v>2108.5787393542219</v>
      </c>
      <c r="AA563" s="532">
        <f>C563+D563+I563+N563+S563+Y563+Z563</f>
        <v>3730.3282383221658</v>
      </c>
      <c r="AB563" s="460">
        <v>0.3</v>
      </c>
      <c r="AC563" s="533">
        <f>AA563*(1+AB563)</f>
        <v>4849.4267098188157</v>
      </c>
      <c r="AD563" s="517"/>
      <c r="AF563" s="515"/>
      <c r="AG563" s="513"/>
      <c r="AH563" s="513"/>
      <c r="AI563" s="518"/>
      <c r="AJ563" s="534"/>
      <c r="AK563" s="535"/>
      <c r="AL563" s="516"/>
      <c r="AM563" s="536"/>
      <c r="AN563" s="537"/>
      <c r="AO563" s="536"/>
      <c r="AP563" s="518"/>
      <c r="AQ563" s="518"/>
      <c r="AR563" s="518"/>
      <c r="AS563" s="518"/>
      <c r="AT563" s="518"/>
      <c r="AU563" s="536"/>
      <c r="AV563" s="536"/>
      <c r="AW563" s="538"/>
      <c r="AX563" s="513"/>
      <c r="AY563" s="513"/>
      <c r="AZ563" s="513"/>
      <c r="BA563" s="513"/>
    </row>
    <row r="564" spans="1:53" s="514" customFormat="1" ht="66" x14ac:dyDescent="0.25">
      <c r="A564" s="1136"/>
      <c r="B564" s="572" t="s">
        <v>1177</v>
      </c>
      <c r="C564" s="502"/>
      <c r="D564" s="566"/>
      <c r="E564" s="541" t="s">
        <v>1437</v>
      </c>
      <c r="F564" s="542" t="s">
        <v>1438</v>
      </c>
      <c r="G564" s="543">
        <v>0.74</v>
      </c>
      <c r="H564" s="542">
        <v>0.1</v>
      </c>
      <c r="I564" s="544">
        <f t="shared" ref="I564:I574" si="51">G564*H564</f>
        <v>7.3999999999999996E-2</v>
      </c>
      <c r="J564" s="525" t="s">
        <v>1291</v>
      </c>
      <c r="K564" s="545">
        <v>2</v>
      </c>
      <c r="L564" s="546">
        <v>750</v>
      </c>
      <c r="M564" s="545">
        <v>2</v>
      </c>
      <c r="N564" s="528">
        <v>1.1745000000000001</v>
      </c>
      <c r="O564" s="547" t="s">
        <v>1578</v>
      </c>
      <c r="P564" s="527">
        <v>188900</v>
      </c>
      <c r="Q564" s="548">
        <v>0.19670000000000001</v>
      </c>
      <c r="R564" s="527">
        <f>P564*Q564</f>
        <v>37156.630000000005</v>
      </c>
      <c r="S564" s="527">
        <v>8.1902000000000008</v>
      </c>
      <c r="T564" s="512" t="s">
        <v>1435</v>
      </c>
      <c r="U564" s="523">
        <v>6785401.3499999996</v>
      </c>
      <c r="V564" s="549">
        <v>1.32E-2</v>
      </c>
      <c r="W564" s="512">
        <v>1508.3</v>
      </c>
      <c r="X564" s="528">
        <v>59.38</v>
      </c>
      <c r="Y564" s="527">
        <v>9.1999999999999998E-3</v>
      </c>
      <c r="Z564" s="527"/>
      <c r="AA564" s="512"/>
      <c r="AB564" s="460">
        <v>0.3</v>
      </c>
      <c r="AC564" s="512"/>
      <c r="AD564" s="513"/>
      <c r="AE564" s="513"/>
      <c r="AF564" s="515"/>
      <c r="AG564" s="513"/>
      <c r="AH564" s="513"/>
      <c r="AI564" s="513"/>
      <c r="AJ564" s="513"/>
      <c r="AK564" s="513"/>
      <c r="AL564" s="516"/>
      <c r="AM564" s="513"/>
      <c r="AN564" s="513"/>
      <c r="AO564" s="517"/>
      <c r="AP564" s="513"/>
      <c r="AQ564" s="513"/>
      <c r="AR564" s="517"/>
      <c r="AS564" s="517"/>
      <c r="AT564" s="513"/>
      <c r="AU564" s="513"/>
      <c r="AV564" s="517"/>
      <c r="AW564" s="513"/>
      <c r="AX564" s="513"/>
      <c r="AY564" s="513"/>
      <c r="AZ564" s="513"/>
      <c r="BA564" s="513"/>
    </row>
    <row r="565" spans="1:53" s="514" customFormat="1" x14ac:dyDescent="0.25">
      <c r="A565" s="1136"/>
      <c r="B565" s="565" t="s">
        <v>1178</v>
      </c>
      <c r="C565" s="491">
        <f>C552</f>
        <v>43.888814515309463</v>
      </c>
      <c r="D565" s="566"/>
      <c r="E565" s="541" t="s">
        <v>1439</v>
      </c>
      <c r="F565" s="542" t="s">
        <v>1438</v>
      </c>
      <c r="G565" s="543">
        <v>0.27</v>
      </c>
      <c r="H565" s="542">
        <v>0.01</v>
      </c>
      <c r="I565" s="544">
        <f t="shared" si="51"/>
        <v>2.7000000000000001E-3</v>
      </c>
      <c r="J565" s="525" t="s">
        <v>1445</v>
      </c>
      <c r="K565" s="528">
        <v>2</v>
      </c>
      <c r="L565" s="553">
        <v>95</v>
      </c>
      <c r="M565" s="545">
        <v>2</v>
      </c>
      <c r="N565" s="528">
        <v>3.1146400000000001</v>
      </c>
      <c r="O565" s="527" t="s">
        <v>1580</v>
      </c>
      <c r="P565" s="527">
        <v>39500</v>
      </c>
      <c r="Q565" s="548">
        <v>0.19670000000000001</v>
      </c>
      <c r="R565" s="527">
        <f>P565*Q565</f>
        <v>7769.6500000000005</v>
      </c>
      <c r="S565" s="527">
        <v>1.7125999999999999</v>
      </c>
      <c r="T565" s="527"/>
      <c r="U565" s="527"/>
      <c r="V565" s="527"/>
      <c r="W565" s="548"/>
      <c r="X565" s="527"/>
      <c r="Y565" s="527"/>
      <c r="Z565" s="527"/>
      <c r="AA565" s="512"/>
      <c r="AB565" s="460">
        <v>0.3</v>
      </c>
      <c r="AC565" s="512"/>
      <c r="AD565" s="513"/>
      <c r="AE565" s="513"/>
      <c r="AF565" s="515"/>
      <c r="AG565" s="513"/>
      <c r="AH565" s="513"/>
      <c r="AI565" s="513"/>
      <c r="AJ565" s="513"/>
      <c r="AK565" s="513"/>
      <c r="AL565" s="516"/>
      <c r="AM565" s="513"/>
      <c r="AN565" s="513"/>
      <c r="AO565" s="517"/>
      <c r="AP565" s="513"/>
      <c r="AQ565" s="513"/>
      <c r="AR565" s="517"/>
      <c r="AS565" s="517"/>
      <c r="AT565" s="513"/>
      <c r="AU565" s="513"/>
      <c r="AV565" s="517"/>
      <c r="AW565" s="513"/>
      <c r="AX565" s="513"/>
      <c r="AY565" s="513"/>
      <c r="AZ565" s="513"/>
      <c r="BA565" s="513"/>
    </row>
    <row r="566" spans="1:53" s="514" customFormat="1" x14ac:dyDescent="0.25">
      <c r="A566" s="1136"/>
      <c r="B566" s="521" t="s">
        <v>1179</v>
      </c>
      <c r="C566" s="487">
        <f>C553</f>
        <v>19.495759833054819</v>
      </c>
      <c r="D566" s="566"/>
      <c r="E566" s="541" t="s">
        <v>1440</v>
      </c>
      <c r="F566" s="542" t="s">
        <v>1441</v>
      </c>
      <c r="G566" s="543">
        <v>5.92</v>
      </c>
      <c r="H566" s="555">
        <v>1</v>
      </c>
      <c r="I566" s="544">
        <f t="shared" si="51"/>
        <v>5.92</v>
      </c>
      <c r="J566" s="525" t="s">
        <v>1513</v>
      </c>
      <c r="K566" s="528">
        <v>2</v>
      </c>
      <c r="L566" s="528">
        <v>25</v>
      </c>
      <c r="M566" s="545">
        <v>0.5</v>
      </c>
      <c r="N566" s="528">
        <v>0.13225000000000001</v>
      </c>
      <c r="O566" s="527"/>
      <c r="P566" s="527"/>
      <c r="Q566" s="548"/>
      <c r="R566" s="527"/>
      <c r="S566" s="527"/>
      <c r="T566" s="527"/>
      <c r="U566" s="527"/>
      <c r="V566" s="527"/>
      <c r="W566" s="548"/>
      <c r="X566" s="527"/>
      <c r="Y566" s="527"/>
      <c r="Z566" s="527"/>
      <c r="AA566" s="512"/>
      <c r="AB566" s="460">
        <v>0.3</v>
      </c>
      <c r="AC566" s="512"/>
      <c r="AD566" s="513"/>
      <c r="AE566" s="513"/>
      <c r="AF566" s="515"/>
      <c r="AG566" s="513"/>
      <c r="AH566" s="513"/>
      <c r="AI566" s="513"/>
      <c r="AJ566" s="513"/>
      <c r="AK566" s="513"/>
      <c r="AL566" s="516"/>
      <c r="AM566" s="513"/>
      <c r="AN566" s="513"/>
      <c r="AO566" s="517"/>
      <c r="AP566" s="513"/>
      <c r="AQ566" s="513"/>
      <c r="AR566" s="517"/>
      <c r="AS566" s="517"/>
      <c r="AT566" s="513"/>
      <c r="AU566" s="513"/>
      <c r="AV566" s="517"/>
      <c r="AW566" s="513"/>
      <c r="AX566" s="513"/>
      <c r="AY566" s="513"/>
      <c r="AZ566" s="513"/>
      <c r="BA566" s="513"/>
    </row>
    <row r="567" spans="1:53" s="514" customFormat="1" x14ac:dyDescent="0.25">
      <c r="A567" s="1136"/>
      <c r="B567" s="521" t="s">
        <v>1180</v>
      </c>
      <c r="C567" s="567"/>
      <c r="D567" s="566"/>
      <c r="E567" s="541" t="s">
        <v>1442</v>
      </c>
      <c r="F567" s="542" t="s">
        <v>1443</v>
      </c>
      <c r="G567" s="543">
        <v>419.5</v>
      </c>
      <c r="H567" s="542">
        <v>0.01</v>
      </c>
      <c r="I567" s="544">
        <f t="shared" si="51"/>
        <v>4.1950000000000003</v>
      </c>
      <c r="J567" s="525"/>
      <c r="K567" s="557"/>
      <c r="L567" s="528"/>
      <c r="M567" s="528"/>
      <c r="N567" s="528"/>
      <c r="O567" s="527"/>
      <c r="P567" s="527"/>
      <c r="Q567" s="527"/>
      <c r="R567" s="527"/>
      <c r="S567" s="527"/>
      <c r="T567" s="527"/>
      <c r="U567" s="527"/>
      <c r="V567" s="527"/>
      <c r="W567" s="527"/>
      <c r="X567" s="527"/>
      <c r="Y567" s="527"/>
      <c r="Z567" s="527"/>
      <c r="AA567" s="512"/>
      <c r="AB567" s="460">
        <v>0.3</v>
      </c>
      <c r="AC567" s="512"/>
      <c r="AF567" s="515"/>
      <c r="AG567" s="513"/>
      <c r="AH567" s="513"/>
      <c r="AI567" s="513"/>
      <c r="AJ567" s="513"/>
      <c r="AK567" s="513"/>
      <c r="AL567" s="516"/>
      <c r="AM567" s="513"/>
      <c r="AN567" s="513"/>
      <c r="AO567" s="517"/>
      <c r="AP567" s="513"/>
      <c r="AQ567" s="513"/>
      <c r="AR567" s="517"/>
      <c r="AS567" s="517"/>
      <c r="AT567" s="513"/>
      <c r="AU567" s="513"/>
      <c r="AV567" s="517"/>
      <c r="AW567" s="513"/>
      <c r="AX567" s="513"/>
      <c r="AY567" s="513"/>
      <c r="AZ567" s="513"/>
      <c r="BA567" s="513"/>
    </row>
    <row r="568" spans="1:53" s="514" customFormat="1" x14ac:dyDescent="0.25">
      <c r="A568" s="1136"/>
      <c r="B568" s="565" t="s">
        <v>1178</v>
      </c>
      <c r="C568" s="568">
        <v>19</v>
      </c>
      <c r="D568" s="566"/>
      <c r="E568" s="541" t="s">
        <v>1444</v>
      </c>
      <c r="F568" s="542" t="s">
        <v>1443</v>
      </c>
      <c r="G568" s="543">
        <v>872</v>
      </c>
      <c r="H568" s="542">
        <v>5.0000000000000001E-3</v>
      </c>
      <c r="I568" s="544">
        <f t="shared" si="51"/>
        <v>4.3600000000000003</v>
      </c>
      <c r="J568" s="525"/>
      <c r="K568" s="557"/>
      <c r="L568" s="528"/>
      <c r="M568" s="528"/>
      <c r="N568" s="528"/>
      <c r="O568" s="527"/>
      <c r="P568" s="527"/>
      <c r="Q568" s="527"/>
      <c r="R568" s="527"/>
      <c r="S568" s="527"/>
      <c r="T568" s="527"/>
      <c r="U568" s="527"/>
      <c r="V568" s="527"/>
      <c r="W568" s="527"/>
      <c r="X568" s="527"/>
      <c r="Y568" s="527"/>
      <c r="Z568" s="527"/>
      <c r="AA568" s="512"/>
      <c r="AB568" s="460">
        <v>0.3</v>
      </c>
      <c r="AC568" s="512"/>
      <c r="AF568" s="515"/>
      <c r="AG568" s="513"/>
      <c r="AH568" s="513"/>
      <c r="AI568" s="513"/>
      <c r="AJ568" s="513"/>
      <c r="AK568" s="513"/>
      <c r="AL568" s="516"/>
      <c r="AM568" s="513"/>
      <c r="AN568" s="513"/>
      <c r="AO568" s="517"/>
      <c r="AP568" s="513"/>
      <c r="AQ568" s="513"/>
      <c r="AR568" s="517"/>
      <c r="AS568" s="517"/>
      <c r="AT568" s="513"/>
      <c r="AU568" s="513"/>
      <c r="AV568" s="517"/>
      <c r="AW568" s="513"/>
      <c r="AX568" s="513"/>
      <c r="AY568" s="513"/>
      <c r="AZ568" s="513"/>
      <c r="BA568" s="513"/>
    </row>
    <row r="569" spans="1:53" s="514" customFormat="1" x14ac:dyDescent="0.25">
      <c r="A569" s="1136"/>
      <c r="B569" s="521" t="s">
        <v>1179</v>
      </c>
      <c r="C569" s="568">
        <v>19</v>
      </c>
      <c r="D569" s="566"/>
      <c r="E569" s="559" t="s">
        <v>581</v>
      </c>
      <c r="F569" s="560" t="s">
        <v>1438</v>
      </c>
      <c r="G569" s="543">
        <v>16.39</v>
      </c>
      <c r="H569" s="542">
        <v>0.25</v>
      </c>
      <c r="I569" s="544">
        <f t="shared" si="51"/>
        <v>4.0975000000000001</v>
      </c>
      <c r="J569" s="525"/>
      <c r="K569" s="557"/>
      <c r="L569" s="546"/>
      <c r="M569" s="545"/>
      <c r="N569" s="528"/>
      <c r="O569" s="527"/>
      <c r="P569" s="527"/>
      <c r="Q569" s="527"/>
      <c r="R569" s="527"/>
      <c r="S569" s="527"/>
      <c r="T569" s="527"/>
      <c r="U569" s="527"/>
      <c r="V569" s="527"/>
      <c r="W569" s="527"/>
      <c r="X569" s="527"/>
      <c r="Y569" s="527"/>
      <c r="Z569" s="527"/>
      <c r="AA569" s="512"/>
      <c r="AB569" s="460">
        <v>0.3</v>
      </c>
      <c r="AC569" s="512"/>
      <c r="AF569" s="515"/>
      <c r="AG569" s="513"/>
      <c r="AH569" s="513"/>
      <c r="AI569" s="513"/>
      <c r="AJ569" s="513"/>
      <c r="AK569" s="513"/>
      <c r="AL569" s="516"/>
      <c r="AM569" s="513"/>
      <c r="AN569" s="513"/>
      <c r="AO569" s="517"/>
      <c r="AP569" s="513"/>
      <c r="AQ569" s="513"/>
      <c r="AR569" s="517"/>
      <c r="AS569" s="517"/>
      <c r="AT569" s="513"/>
      <c r="AU569" s="513"/>
      <c r="AV569" s="517"/>
      <c r="AW569" s="513"/>
      <c r="AX569" s="513"/>
      <c r="AY569" s="513"/>
      <c r="AZ569" s="513"/>
      <c r="BA569" s="513"/>
    </row>
    <row r="570" spans="1:53" s="514" customFormat="1" x14ac:dyDescent="0.25">
      <c r="A570" s="1136"/>
      <c r="B570" s="521"/>
      <c r="C570" s="568"/>
      <c r="D570" s="566"/>
      <c r="E570" s="645" t="s">
        <v>26</v>
      </c>
      <c r="F570" s="646" t="s">
        <v>1</v>
      </c>
      <c r="G570" s="543">
        <v>6.67</v>
      </c>
      <c r="H570" s="523">
        <v>1</v>
      </c>
      <c r="I570" s="544">
        <f t="shared" si="51"/>
        <v>6.67</v>
      </c>
      <c r="J570" s="525"/>
      <c r="K570" s="557"/>
      <c r="L570" s="546"/>
      <c r="M570" s="545"/>
      <c r="N570" s="528"/>
      <c r="O570" s="527"/>
      <c r="P570" s="527"/>
      <c r="Q570" s="527"/>
      <c r="R570" s="527"/>
      <c r="S570" s="527"/>
      <c r="T570" s="527"/>
      <c r="U570" s="527"/>
      <c r="V570" s="527"/>
      <c r="W570" s="527"/>
      <c r="X570" s="527"/>
      <c r="Y570" s="527"/>
      <c r="Z570" s="527"/>
      <c r="AA570" s="512"/>
      <c r="AB570" s="460"/>
      <c r="AC570" s="512"/>
      <c r="AF570" s="515"/>
      <c r="AG570" s="513"/>
      <c r="AH570" s="513"/>
      <c r="AI570" s="513"/>
      <c r="AJ570" s="513"/>
      <c r="AK570" s="513"/>
      <c r="AL570" s="516"/>
      <c r="AM570" s="513"/>
      <c r="AN570" s="513"/>
      <c r="AO570" s="517"/>
      <c r="AP570" s="513"/>
      <c r="AQ570" s="513"/>
      <c r="AR570" s="517"/>
      <c r="AS570" s="517"/>
      <c r="AT570" s="513"/>
      <c r="AU570" s="513"/>
      <c r="AV570" s="517"/>
      <c r="AW570" s="513"/>
      <c r="AX570" s="513"/>
      <c r="AY570" s="513"/>
      <c r="AZ570" s="513"/>
      <c r="BA570" s="513"/>
    </row>
    <row r="571" spans="1:53" s="514" customFormat="1" x14ac:dyDescent="0.25">
      <c r="A571" s="1136"/>
      <c r="B571" s="521"/>
      <c r="C571" s="568"/>
      <c r="D571" s="566"/>
      <c r="E571" s="645" t="s">
        <v>18</v>
      </c>
      <c r="F571" s="646" t="s">
        <v>1438</v>
      </c>
      <c r="G571" s="543">
        <v>0.94</v>
      </c>
      <c r="H571" s="523">
        <v>0.5</v>
      </c>
      <c r="I571" s="544">
        <f t="shared" si="51"/>
        <v>0.47</v>
      </c>
      <c r="J571" s="525"/>
      <c r="K571" s="557"/>
      <c r="L571" s="546"/>
      <c r="M571" s="545"/>
      <c r="N571" s="528"/>
      <c r="O571" s="527"/>
      <c r="P571" s="527"/>
      <c r="Q571" s="527"/>
      <c r="R571" s="527"/>
      <c r="S571" s="527"/>
      <c r="T571" s="527"/>
      <c r="U571" s="527"/>
      <c r="V571" s="527"/>
      <c r="W571" s="527"/>
      <c r="X571" s="527"/>
      <c r="Y571" s="527"/>
      <c r="Z571" s="527"/>
      <c r="AA571" s="512"/>
      <c r="AB571" s="460"/>
      <c r="AC571" s="512"/>
      <c r="AF571" s="515"/>
      <c r="AG571" s="513"/>
      <c r="AH571" s="513"/>
      <c r="AI571" s="513"/>
      <c r="AJ571" s="513"/>
      <c r="AK571" s="513"/>
      <c r="AL571" s="516"/>
      <c r="AM571" s="513"/>
      <c r="AN571" s="513"/>
      <c r="AO571" s="517"/>
      <c r="AP571" s="513"/>
      <c r="AQ571" s="513"/>
      <c r="AR571" s="517"/>
      <c r="AS571" s="517"/>
      <c r="AT571" s="513"/>
      <c r="AU571" s="513"/>
      <c r="AV571" s="517"/>
      <c r="AW571" s="513"/>
      <c r="AX571" s="513"/>
      <c r="AY571" s="513"/>
      <c r="AZ571" s="513"/>
      <c r="BA571" s="513"/>
    </row>
    <row r="572" spans="1:53" s="514" customFormat="1" x14ac:dyDescent="0.25">
      <c r="A572" s="1136"/>
      <c r="B572" s="521"/>
      <c r="C572" s="568"/>
      <c r="D572" s="566"/>
      <c r="E572" s="645" t="s">
        <v>22</v>
      </c>
      <c r="F572" s="646" t="s">
        <v>1441</v>
      </c>
      <c r="G572" s="543">
        <v>1.5</v>
      </c>
      <c r="H572" s="523">
        <v>3</v>
      </c>
      <c r="I572" s="544">
        <f t="shared" si="51"/>
        <v>4.5</v>
      </c>
      <c r="J572" s="525"/>
      <c r="K572" s="557"/>
      <c r="L572" s="546"/>
      <c r="M572" s="545"/>
      <c r="N572" s="528"/>
      <c r="O572" s="527"/>
      <c r="P572" s="527"/>
      <c r="Q572" s="527"/>
      <c r="R572" s="527"/>
      <c r="S572" s="527"/>
      <c r="T572" s="527"/>
      <c r="U572" s="527"/>
      <c r="V572" s="527"/>
      <c r="W572" s="527"/>
      <c r="X572" s="527"/>
      <c r="Y572" s="527"/>
      <c r="Z572" s="527"/>
      <c r="AA572" s="512"/>
      <c r="AB572" s="460"/>
      <c r="AC572" s="512"/>
      <c r="AF572" s="515"/>
      <c r="AG572" s="513"/>
      <c r="AH572" s="513"/>
      <c r="AI572" s="513"/>
      <c r="AJ572" s="513"/>
      <c r="AK572" s="513"/>
      <c r="AL572" s="516"/>
      <c r="AM572" s="513"/>
      <c r="AN572" s="513"/>
      <c r="AO572" s="517"/>
      <c r="AP572" s="513"/>
      <c r="AQ572" s="513"/>
      <c r="AR572" s="517"/>
      <c r="AS572" s="517"/>
      <c r="AT572" s="513"/>
      <c r="AU572" s="513"/>
      <c r="AV572" s="517"/>
      <c r="AW572" s="513"/>
      <c r="AX572" s="513"/>
      <c r="AY572" s="513"/>
      <c r="AZ572" s="513"/>
      <c r="BA572" s="513"/>
    </row>
    <row r="573" spans="1:53" s="514" customFormat="1" x14ac:dyDescent="0.25">
      <c r="A573" s="1136"/>
      <c r="B573" s="569" t="s">
        <v>1181</v>
      </c>
      <c r="C573" s="502">
        <f>C565*C568+C566*C569</f>
        <v>1204.3069126189214</v>
      </c>
      <c r="D573" s="566"/>
      <c r="E573" s="645" t="s">
        <v>13</v>
      </c>
      <c r="F573" s="646" t="s">
        <v>1441</v>
      </c>
      <c r="G573" s="543">
        <v>1.5</v>
      </c>
      <c r="H573" s="523">
        <v>1</v>
      </c>
      <c r="I573" s="544">
        <f t="shared" si="51"/>
        <v>1.5</v>
      </c>
      <c r="J573" s="525"/>
      <c r="K573" s="557"/>
      <c r="L573" s="528"/>
      <c r="M573" s="528"/>
      <c r="N573" s="528"/>
      <c r="O573" s="527"/>
      <c r="P573" s="527"/>
      <c r="Q573" s="527"/>
      <c r="R573" s="527"/>
      <c r="S573" s="527"/>
      <c r="T573" s="527"/>
      <c r="U573" s="527"/>
      <c r="V573" s="527"/>
      <c r="W573" s="527"/>
      <c r="X573" s="527"/>
      <c r="Y573" s="527"/>
      <c r="Z573" s="527"/>
      <c r="AA573" s="512"/>
      <c r="AB573" s="460">
        <v>0.3</v>
      </c>
      <c r="AC573" s="512"/>
      <c r="AF573" s="515"/>
      <c r="AG573" s="513"/>
      <c r="AH573" s="513"/>
      <c r="AI573" s="513"/>
      <c r="AJ573" s="513"/>
      <c r="AK573" s="513"/>
      <c r="AL573" s="516"/>
      <c r="AM573" s="513"/>
      <c r="AN573" s="513"/>
      <c r="AO573" s="517"/>
      <c r="AP573" s="513"/>
      <c r="AQ573" s="513"/>
      <c r="AR573" s="517"/>
      <c r="AS573" s="517"/>
      <c r="AT573" s="513"/>
      <c r="AU573" s="513"/>
      <c r="AV573" s="517"/>
      <c r="AW573" s="513"/>
      <c r="AX573" s="513"/>
      <c r="AY573" s="513"/>
      <c r="AZ573" s="513"/>
      <c r="BA573" s="513"/>
    </row>
    <row r="574" spans="1:53" s="514" customFormat="1" x14ac:dyDescent="0.25">
      <c r="A574" s="1136"/>
      <c r="B574" s="569"/>
      <c r="C574" s="568"/>
      <c r="D574" s="575"/>
      <c r="E574" s="645" t="s">
        <v>1697</v>
      </c>
      <c r="F574" s="646" t="s">
        <v>1</v>
      </c>
      <c r="G574" s="543">
        <v>256.10000000000002</v>
      </c>
      <c r="H574" s="523">
        <v>0.5</v>
      </c>
      <c r="I574" s="544">
        <f t="shared" si="51"/>
        <v>128.05000000000001</v>
      </c>
      <c r="J574" s="525"/>
      <c r="K574" s="557"/>
      <c r="L574" s="528"/>
      <c r="M574" s="528"/>
      <c r="N574" s="528"/>
      <c r="O574" s="527"/>
      <c r="P574" s="527"/>
      <c r="Q574" s="527"/>
      <c r="R574" s="527"/>
      <c r="S574" s="527"/>
      <c r="T574" s="527"/>
      <c r="U574" s="527"/>
      <c r="V574" s="527"/>
      <c r="W574" s="527"/>
      <c r="X574" s="527"/>
      <c r="Y574" s="527"/>
      <c r="Z574" s="527"/>
      <c r="AA574" s="512"/>
      <c r="AB574" s="460">
        <v>0.3</v>
      </c>
      <c r="AC574" s="512"/>
      <c r="AF574" s="515"/>
      <c r="AG574" s="513"/>
      <c r="AH574" s="513"/>
      <c r="AI574" s="513"/>
      <c r="AJ574" s="513"/>
      <c r="AK574" s="513"/>
      <c r="AL574" s="516"/>
      <c r="AM574" s="513"/>
      <c r="AN574" s="513"/>
      <c r="AO574" s="517"/>
      <c r="AP574" s="513"/>
      <c r="AQ574" s="513"/>
      <c r="AR574" s="517"/>
      <c r="AS574" s="517"/>
      <c r="AT574" s="513"/>
      <c r="AU574" s="513"/>
      <c r="AV574" s="517"/>
      <c r="AW574" s="513"/>
      <c r="AX574" s="513"/>
      <c r="AY574" s="513"/>
      <c r="AZ574" s="513"/>
      <c r="BA574" s="513"/>
    </row>
    <row r="575" spans="1:53" s="514" customFormat="1" ht="56.25" customHeight="1" x14ac:dyDescent="0.25">
      <c r="A575" s="1136" t="s">
        <v>1584</v>
      </c>
      <c r="B575" s="503" t="s">
        <v>1819</v>
      </c>
      <c r="C575" s="502"/>
      <c r="D575" s="570"/>
      <c r="E575" s="576" t="s">
        <v>488</v>
      </c>
      <c r="F575" s="507" t="s">
        <v>837</v>
      </c>
      <c r="G575" s="503" t="s">
        <v>489</v>
      </c>
      <c r="H575" s="505" t="s">
        <v>1170</v>
      </c>
      <c r="I575" s="507" t="s">
        <v>838</v>
      </c>
      <c r="J575" s="508" t="s">
        <v>1171</v>
      </c>
      <c r="K575" s="508" t="s">
        <v>490</v>
      </c>
      <c r="L575" s="509" t="s">
        <v>489</v>
      </c>
      <c r="M575" s="508" t="s">
        <v>1172</v>
      </c>
      <c r="N575" s="507" t="s">
        <v>838</v>
      </c>
      <c r="O575" s="508" t="s">
        <v>1171</v>
      </c>
      <c r="P575" s="508" t="s">
        <v>826</v>
      </c>
      <c r="Q575" s="508" t="s">
        <v>1173</v>
      </c>
      <c r="R575" s="508" t="s">
        <v>1174</v>
      </c>
      <c r="S575" s="508" t="s">
        <v>839</v>
      </c>
      <c r="T575" s="508" t="s">
        <v>1171</v>
      </c>
      <c r="U575" s="508" t="s">
        <v>1392</v>
      </c>
      <c r="V575" s="508" t="s">
        <v>841</v>
      </c>
      <c r="W575" s="510" t="s">
        <v>1173</v>
      </c>
      <c r="X575" s="508" t="s">
        <v>1394</v>
      </c>
      <c r="Y575" s="508" t="s">
        <v>839</v>
      </c>
      <c r="Z575" s="511"/>
      <c r="AA575" s="512"/>
      <c r="AB575" s="460">
        <v>0.3</v>
      </c>
      <c r="AC575" s="512"/>
      <c r="AD575" s="513"/>
      <c r="AF575" s="515"/>
      <c r="AG575" s="513"/>
      <c r="AH575" s="513"/>
      <c r="AI575" s="513"/>
      <c r="AJ575" s="513"/>
      <c r="AK575" s="513"/>
      <c r="AL575" s="516"/>
      <c r="AM575" s="513"/>
      <c r="AN575" s="513"/>
      <c r="AO575" s="517"/>
      <c r="AP575" s="513"/>
      <c r="AQ575" s="518"/>
      <c r="AR575" s="518"/>
      <c r="AS575" s="518"/>
      <c r="AT575" s="513"/>
      <c r="AU575" s="513"/>
      <c r="AV575" s="517"/>
      <c r="AW575" s="513"/>
      <c r="AX575" s="513"/>
      <c r="AY575" s="513"/>
      <c r="AZ575" s="513"/>
      <c r="BA575" s="513"/>
    </row>
    <row r="576" spans="1:53" s="514" customFormat="1" ht="12" customHeight="1" x14ac:dyDescent="0.25">
      <c r="A576" s="1136"/>
      <c r="B576" s="519" t="s">
        <v>1175</v>
      </c>
      <c r="C576" s="502">
        <f>C583</f>
        <v>273.03405722651195</v>
      </c>
      <c r="D576" s="570">
        <f>C576*$D$7</f>
        <v>55.152879559755419</v>
      </c>
      <c r="E576" s="573" t="s">
        <v>1176</v>
      </c>
      <c r="F576" s="571"/>
      <c r="G576" s="523"/>
      <c r="H576" s="523"/>
      <c r="I576" s="524">
        <f>SUM(I577:I584)</f>
        <v>39.677700000000002</v>
      </c>
      <c r="J576" s="525" t="s">
        <v>1176</v>
      </c>
      <c r="K576" s="526"/>
      <c r="L576" s="527"/>
      <c r="M576" s="527"/>
      <c r="N576" s="528">
        <f>SUM(N577:N584)</f>
        <v>4.4213899999999997</v>
      </c>
      <c r="O576" s="527" t="s">
        <v>1176</v>
      </c>
      <c r="P576" s="527"/>
      <c r="Q576" s="529"/>
      <c r="R576" s="530"/>
      <c r="S576" s="528">
        <f>SUM(S577:S584)</f>
        <v>9.9028000000000009</v>
      </c>
      <c r="T576" s="528"/>
      <c r="U576" s="528"/>
      <c r="V576" s="528"/>
      <c r="W576" s="528"/>
      <c r="X576" s="528"/>
      <c r="Y576" s="528">
        <f>SUM(Y577:Y584)</f>
        <v>9.1999999999999998E-3</v>
      </c>
      <c r="Z576" s="531">
        <f>(C576+D576+I576+N576+S576+Y576)*$Z$7</f>
        <v>496.92917063795471</v>
      </c>
      <c r="AA576" s="532">
        <f>C576+D576+I576+N576+S576+Y576+Z576</f>
        <v>879.12719742422212</v>
      </c>
      <c r="AB576" s="460">
        <v>0.3</v>
      </c>
      <c r="AC576" s="533">
        <f>AA576*(1+AB576)</f>
        <v>1142.8653566514888</v>
      </c>
      <c r="AD576" s="517"/>
      <c r="AF576" s="515"/>
      <c r="AG576" s="513"/>
      <c r="AH576" s="513"/>
      <c r="AI576" s="518"/>
      <c r="AJ576" s="534"/>
      <c r="AK576" s="535"/>
      <c r="AL576" s="516"/>
      <c r="AM576" s="536"/>
      <c r="AN576" s="537"/>
      <c r="AO576" s="536"/>
      <c r="AP576" s="518"/>
      <c r="AQ576" s="518"/>
      <c r="AR576" s="518"/>
      <c r="AS576" s="518"/>
      <c r="AT576" s="518"/>
      <c r="AU576" s="536"/>
      <c r="AV576" s="536"/>
      <c r="AW576" s="538"/>
      <c r="AX576" s="513"/>
      <c r="AY576" s="513"/>
      <c r="AZ576" s="513"/>
      <c r="BA576" s="513"/>
    </row>
    <row r="577" spans="1:53" s="514" customFormat="1" ht="66" x14ac:dyDescent="0.25">
      <c r="A577" s="1136"/>
      <c r="B577" s="572" t="s">
        <v>1177</v>
      </c>
      <c r="C577" s="502"/>
      <c r="D577" s="566"/>
      <c r="E577" s="541" t="s">
        <v>1437</v>
      </c>
      <c r="F577" s="542" t="s">
        <v>1438</v>
      </c>
      <c r="G577" s="543">
        <v>0.74</v>
      </c>
      <c r="H577" s="542">
        <v>0.5</v>
      </c>
      <c r="I577" s="544">
        <f t="shared" ref="I577:I583" si="52">G577*H577</f>
        <v>0.37</v>
      </c>
      <c r="J577" s="525" t="s">
        <v>1291</v>
      </c>
      <c r="K577" s="545">
        <v>2</v>
      </c>
      <c r="L577" s="546">
        <v>750</v>
      </c>
      <c r="M577" s="545">
        <v>2</v>
      </c>
      <c r="N577" s="528">
        <v>1.1745000000000001</v>
      </c>
      <c r="O577" s="547" t="s">
        <v>1578</v>
      </c>
      <c r="P577" s="527">
        <v>188900</v>
      </c>
      <c r="Q577" s="548">
        <v>0.19670000000000001</v>
      </c>
      <c r="R577" s="527">
        <f>P577*Q577</f>
        <v>37156.630000000005</v>
      </c>
      <c r="S577" s="527">
        <v>8.1902000000000008</v>
      </c>
      <c r="T577" s="512" t="s">
        <v>1435</v>
      </c>
      <c r="U577" s="523">
        <v>6785401.3499999996</v>
      </c>
      <c r="V577" s="549">
        <v>1.32E-2</v>
      </c>
      <c r="W577" s="512">
        <v>1508.3</v>
      </c>
      <c r="X577" s="528">
        <v>59.38</v>
      </c>
      <c r="Y577" s="527">
        <v>9.1999999999999998E-3</v>
      </c>
      <c r="Z577" s="527"/>
      <c r="AA577" s="512"/>
      <c r="AB577" s="460">
        <v>0.3</v>
      </c>
      <c r="AC577" s="512"/>
      <c r="AD577" s="513"/>
      <c r="AE577" s="513"/>
      <c r="AF577" s="515"/>
      <c r="AG577" s="513"/>
      <c r="AH577" s="513"/>
      <c r="AI577" s="513"/>
      <c r="AJ577" s="513"/>
      <c r="AK577" s="513"/>
      <c r="AL577" s="516"/>
      <c r="AM577" s="513"/>
      <c r="AN577" s="513"/>
      <c r="AO577" s="517"/>
      <c r="AP577" s="513"/>
      <c r="AQ577" s="513"/>
      <c r="AR577" s="517"/>
      <c r="AS577" s="517"/>
      <c r="AT577" s="513"/>
      <c r="AU577" s="513"/>
      <c r="AV577" s="517"/>
      <c r="AW577" s="513"/>
      <c r="AX577" s="513"/>
      <c r="AY577" s="513"/>
      <c r="AZ577" s="513"/>
      <c r="BA577" s="513"/>
    </row>
    <row r="578" spans="1:53" s="514" customFormat="1" x14ac:dyDescent="0.25">
      <c r="A578" s="1136"/>
      <c r="B578" s="565" t="s">
        <v>1178</v>
      </c>
      <c r="C578" s="491">
        <f>C565</f>
        <v>43.888814515309463</v>
      </c>
      <c r="D578" s="566"/>
      <c r="E578" s="541" t="s">
        <v>1439</v>
      </c>
      <c r="F578" s="542" t="s">
        <v>1438</v>
      </c>
      <c r="G578" s="543">
        <v>0.27</v>
      </c>
      <c r="H578" s="542">
        <v>0.01</v>
      </c>
      <c r="I578" s="544">
        <f t="shared" si="52"/>
        <v>2.7000000000000001E-3</v>
      </c>
      <c r="J578" s="525" t="s">
        <v>1445</v>
      </c>
      <c r="K578" s="528">
        <v>2</v>
      </c>
      <c r="L578" s="553">
        <v>95</v>
      </c>
      <c r="M578" s="545">
        <v>2</v>
      </c>
      <c r="N578" s="528">
        <v>3.1146400000000001</v>
      </c>
      <c r="O578" s="527" t="s">
        <v>1580</v>
      </c>
      <c r="P578" s="527">
        <v>39500</v>
      </c>
      <c r="Q578" s="548">
        <v>0.19670000000000001</v>
      </c>
      <c r="R578" s="527">
        <f>P578*Q578</f>
        <v>7769.6500000000005</v>
      </c>
      <c r="S578" s="527">
        <v>1.7125999999999999</v>
      </c>
      <c r="T578" s="527"/>
      <c r="U578" s="527"/>
      <c r="V578" s="527"/>
      <c r="W578" s="548"/>
      <c r="X578" s="527"/>
      <c r="Y578" s="527"/>
      <c r="Z578" s="527"/>
      <c r="AA578" s="512"/>
      <c r="AB578" s="460">
        <v>0.3</v>
      </c>
      <c r="AC578" s="512"/>
      <c r="AD578" s="513"/>
      <c r="AE578" s="513"/>
      <c r="AF578" s="515"/>
      <c r="AG578" s="513"/>
      <c r="AH578" s="513"/>
      <c r="AI578" s="513"/>
      <c r="AJ578" s="513"/>
      <c r="AK578" s="513"/>
      <c r="AL578" s="516"/>
      <c r="AM578" s="513"/>
      <c r="AN578" s="513"/>
      <c r="AO578" s="517"/>
      <c r="AP578" s="513"/>
      <c r="AQ578" s="513"/>
      <c r="AR578" s="517"/>
      <c r="AS578" s="517"/>
      <c r="AT578" s="513"/>
      <c r="AU578" s="513"/>
      <c r="AV578" s="517"/>
      <c r="AW578" s="513"/>
      <c r="AX578" s="513"/>
      <c r="AY578" s="513"/>
      <c r="AZ578" s="513"/>
      <c r="BA578" s="513"/>
    </row>
    <row r="579" spans="1:53" s="514" customFormat="1" x14ac:dyDescent="0.25">
      <c r="A579" s="1136"/>
      <c r="B579" s="521" t="s">
        <v>1179</v>
      </c>
      <c r="C579" s="487">
        <f>C566</f>
        <v>19.495759833054819</v>
      </c>
      <c r="D579" s="566"/>
      <c r="E579" s="541" t="s">
        <v>1440</v>
      </c>
      <c r="F579" s="542" t="s">
        <v>1441</v>
      </c>
      <c r="G579" s="543">
        <v>5.92</v>
      </c>
      <c r="H579" s="555">
        <v>1</v>
      </c>
      <c r="I579" s="544">
        <f t="shared" si="52"/>
        <v>5.92</v>
      </c>
      <c r="J579" s="525" t="s">
        <v>1513</v>
      </c>
      <c r="K579" s="528">
        <v>2</v>
      </c>
      <c r="L579" s="528">
        <v>25</v>
      </c>
      <c r="M579" s="545">
        <v>0.5</v>
      </c>
      <c r="N579" s="528">
        <v>0.13225000000000001</v>
      </c>
      <c r="O579" s="527"/>
      <c r="P579" s="527"/>
      <c r="Q579" s="548"/>
      <c r="R579" s="527"/>
      <c r="S579" s="527"/>
      <c r="T579" s="527"/>
      <c r="U579" s="527"/>
      <c r="V579" s="527"/>
      <c r="W579" s="548"/>
      <c r="X579" s="527"/>
      <c r="Y579" s="527"/>
      <c r="Z579" s="527"/>
      <c r="AA579" s="512"/>
      <c r="AB579" s="460">
        <v>0.3</v>
      </c>
      <c r="AC579" s="512"/>
      <c r="AD579" s="513"/>
      <c r="AE579" s="513"/>
      <c r="AF579" s="515"/>
      <c r="AG579" s="513"/>
      <c r="AH579" s="513"/>
      <c r="AI579" s="513"/>
      <c r="AJ579" s="513"/>
      <c r="AK579" s="513"/>
      <c r="AL579" s="516"/>
      <c r="AM579" s="513"/>
      <c r="AN579" s="513"/>
      <c r="AO579" s="517"/>
      <c r="AP579" s="513"/>
      <c r="AQ579" s="513"/>
      <c r="AR579" s="517"/>
      <c r="AS579" s="517"/>
      <c r="AT579" s="513"/>
      <c r="AU579" s="513"/>
      <c r="AV579" s="517"/>
      <c r="AW579" s="513"/>
      <c r="AX579" s="513"/>
      <c r="AY579" s="513"/>
      <c r="AZ579" s="513"/>
      <c r="BA579" s="513"/>
    </row>
    <row r="580" spans="1:53" s="514" customFormat="1" x14ac:dyDescent="0.25">
      <c r="A580" s="1136"/>
      <c r="B580" s="521" t="s">
        <v>1180</v>
      </c>
      <c r="C580" s="567"/>
      <c r="D580" s="566"/>
      <c r="E580" s="541" t="s">
        <v>1442</v>
      </c>
      <c r="F580" s="542" t="s">
        <v>1443</v>
      </c>
      <c r="G580" s="543">
        <v>419.5</v>
      </c>
      <c r="H580" s="542">
        <v>0.01</v>
      </c>
      <c r="I580" s="544">
        <f t="shared" si="52"/>
        <v>4.1950000000000003</v>
      </c>
      <c r="J580" s="525"/>
      <c r="K580" s="557"/>
      <c r="L580" s="528"/>
      <c r="M580" s="528"/>
      <c r="N580" s="528"/>
      <c r="O580" s="527"/>
      <c r="P580" s="527"/>
      <c r="Q580" s="527"/>
      <c r="R580" s="527"/>
      <c r="S580" s="527"/>
      <c r="T580" s="527"/>
      <c r="U580" s="527"/>
      <c r="V580" s="527"/>
      <c r="W580" s="527"/>
      <c r="X580" s="527"/>
      <c r="Y580" s="527"/>
      <c r="Z580" s="527"/>
      <c r="AA580" s="512"/>
      <c r="AB580" s="460">
        <v>0.3</v>
      </c>
      <c r="AC580" s="512"/>
      <c r="AF580" s="515"/>
      <c r="AG580" s="513"/>
      <c r="AH580" s="513"/>
      <c r="AI580" s="513"/>
      <c r="AJ580" s="513"/>
      <c r="AK580" s="513"/>
      <c r="AL580" s="516"/>
      <c r="AM580" s="513"/>
      <c r="AN580" s="513"/>
      <c r="AO580" s="517"/>
      <c r="AP580" s="513"/>
      <c r="AQ580" s="513"/>
      <c r="AR580" s="517"/>
      <c r="AS580" s="517"/>
      <c r="AT580" s="513"/>
      <c r="AU580" s="513"/>
      <c r="AV580" s="517"/>
      <c r="AW580" s="513"/>
      <c r="AX580" s="513"/>
      <c r="AY580" s="513"/>
      <c r="AZ580" s="513"/>
      <c r="BA580" s="513"/>
    </row>
    <row r="581" spans="1:53" s="514" customFormat="1" x14ac:dyDescent="0.25">
      <c r="A581" s="1136"/>
      <c r="B581" s="565" t="s">
        <v>1178</v>
      </c>
      <c r="C581" s="568">
        <v>4</v>
      </c>
      <c r="D581" s="566"/>
      <c r="E581" s="541" t="s">
        <v>1444</v>
      </c>
      <c r="F581" s="542" t="s">
        <v>1443</v>
      </c>
      <c r="G581" s="543">
        <v>872</v>
      </c>
      <c r="H581" s="542">
        <v>5.0000000000000001E-3</v>
      </c>
      <c r="I581" s="544">
        <f t="shared" si="52"/>
        <v>4.3600000000000003</v>
      </c>
      <c r="J581" s="525"/>
      <c r="K581" s="557"/>
      <c r="L581" s="528"/>
      <c r="M581" s="528"/>
      <c r="N581" s="528"/>
      <c r="O581" s="527"/>
      <c r="P581" s="527"/>
      <c r="Q581" s="527"/>
      <c r="R581" s="527"/>
      <c r="S581" s="527"/>
      <c r="T581" s="527"/>
      <c r="U581" s="527"/>
      <c r="V581" s="527"/>
      <c r="W581" s="527"/>
      <c r="X581" s="527"/>
      <c r="Y581" s="527"/>
      <c r="Z581" s="527"/>
      <c r="AA581" s="512"/>
      <c r="AB581" s="460">
        <v>0.3</v>
      </c>
      <c r="AC581" s="512"/>
      <c r="AF581" s="515"/>
      <c r="AG581" s="513"/>
      <c r="AH581" s="513"/>
      <c r="AI581" s="513"/>
      <c r="AJ581" s="513"/>
      <c r="AK581" s="513"/>
      <c r="AL581" s="516"/>
      <c r="AM581" s="513"/>
      <c r="AN581" s="513"/>
      <c r="AO581" s="517"/>
      <c r="AP581" s="513"/>
      <c r="AQ581" s="513"/>
      <c r="AR581" s="517"/>
      <c r="AS581" s="517"/>
      <c r="AT581" s="513"/>
      <c r="AU581" s="513"/>
      <c r="AV581" s="517"/>
      <c r="AW581" s="513"/>
      <c r="AX581" s="513"/>
      <c r="AY581" s="513"/>
      <c r="AZ581" s="513"/>
      <c r="BA581" s="513"/>
    </row>
    <row r="582" spans="1:53" s="514" customFormat="1" x14ac:dyDescent="0.25">
      <c r="A582" s="1136"/>
      <c r="B582" s="521" t="s">
        <v>1179</v>
      </c>
      <c r="C582" s="568">
        <v>5</v>
      </c>
      <c r="D582" s="566"/>
      <c r="E582" s="559" t="s">
        <v>13</v>
      </c>
      <c r="F582" s="560" t="s">
        <v>1441</v>
      </c>
      <c r="G582" s="543">
        <v>1.5</v>
      </c>
      <c r="H582" s="542">
        <v>1</v>
      </c>
      <c r="I582" s="544">
        <f t="shared" si="52"/>
        <v>1.5</v>
      </c>
      <c r="J582" s="525"/>
      <c r="K582" s="557"/>
      <c r="L582" s="546"/>
      <c r="M582" s="545"/>
      <c r="N582" s="528"/>
      <c r="O582" s="527"/>
      <c r="P582" s="527"/>
      <c r="Q582" s="527"/>
      <c r="R582" s="527"/>
      <c r="S582" s="527"/>
      <c r="T582" s="527"/>
      <c r="U582" s="527"/>
      <c r="V582" s="527"/>
      <c r="W582" s="527"/>
      <c r="X582" s="527"/>
      <c r="Y582" s="527"/>
      <c r="Z582" s="527"/>
      <c r="AA582" s="512"/>
      <c r="AB582" s="460">
        <v>0.3</v>
      </c>
      <c r="AC582" s="512"/>
      <c r="AF582" s="515"/>
      <c r="AG582" s="513"/>
      <c r="AH582" s="513"/>
      <c r="AI582" s="513"/>
      <c r="AJ582" s="513"/>
      <c r="AK582" s="513"/>
      <c r="AL582" s="516"/>
      <c r="AM582" s="513"/>
      <c r="AN582" s="513"/>
      <c r="AO582" s="517"/>
      <c r="AP582" s="513"/>
      <c r="AQ582" s="513"/>
      <c r="AR582" s="517"/>
      <c r="AS582" s="517"/>
      <c r="AT582" s="513"/>
      <c r="AU582" s="513"/>
      <c r="AV582" s="517"/>
      <c r="AW582" s="513"/>
      <c r="AX582" s="513"/>
      <c r="AY582" s="513"/>
      <c r="AZ582" s="513"/>
      <c r="BA582" s="513"/>
    </row>
    <row r="583" spans="1:53" s="514" customFormat="1" x14ac:dyDescent="0.25">
      <c r="A583" s="1136"/>
      <c r="B583" s="569" t="s">
        <v>1181</v>
      </c>
      <c r="C583" s="502">
        <f>C578*C581+C579*C582</f>
        <v>273.03405722651195</v>
      </c>
      <c r="D583" s="566"/>
      <c r="E583" s="645" t="s">
        <v>1698</v>
      </c>
      <c r="F583" s="646" t="s">
        <v>1441</v>
      </c>
      <c r="G583" s="543">
        <v>23.33</v>
      </c>
      <c r="H583" s="523">
        <v>1</v>
      </c>
      <c r="I583" s="544">
        <f t="shared" si="52"/>
        <v>23.33</v>
      </c>
      <c r="J583" s="525"/>
      <c r="K583" s="557"/>
      <c r="L583" s="528"/>
      <c r="M583" s="528"/>
      <c r="N583" s="528"/>
      <c r="O583" s="527"/>
      <c r="P583" s="527"/>
      <c r="Q583" s="527"/>
      <c r="R583" s="527"/>
      <c r="S583" s="527"/>
      <c r="T583" s="527"/>
      <c r="U583" s="527"/>
      <c r="V583" s="527"/>
      <c r="W583" s="527"/>
      <c r="X583" s="527"/>
      <c r="Y583" s="527"/>
      <c r="Z583" s="527"/>
      <c r="AA583" s="512"/>
      <c r="AB583" s="460">
        <v>0.3</v>
      </c>
      <c r="AC583" s="512"/>
      <c r="AF583" s="515"/>
      <c r="AG583" s="513"/>
      <c r="AH583" s="513"/>
      <c r="AI583" s="513"/>
      <c r="AJ583" s="513"/>
      <c r="AK583" s="513"/>
      <c r="AL583" s="516"/>
      <c r="AM583" s="513"/>
      <c r="AN583" s="513"/>
      <c r="AO583" s="517"/>
      <c r="AP583" s="513"/>
      <c r="AQ583" s="513"/>
      <c r="AR583" s="517"/>
      <c r="AS583" s="517"/>
      <c r="AT583" s="513"/>
      <c r="AU583" s="513"/>
      <c r="AV583" s="517"/>
      <c r="AW583" s="513"/>
      <c r="AX583" s="513"/>
      <c r="AY583" s="513"/>
      <c r="AZ583" s="513"/>
      <c r="BA583" s="513"/>
    </row>
    <row r="584" spans="1:53" s="514" customFormat="1" x14ac:dyDescent="0.25">
      <c r="A584" s="1136"/>
      <c r="B584" s="569"/>
      <c r="C584" s="568"/>
      <c r="D584" s="575"/>
      <c r="E584" s="573"/>
      <c r="F584" s="574"/>
      <c r="G584" s="543"/>
      <c r="H584" s="523"/>
      <c r="I584" s="544"/>
      <c r="J584" s="525"/>
      <c r="K584" s="557"/>
      <c r="L584" s="528"/>
      <c r="M584" s="528"/>
      <c r="N584" s="528"/>
      <c r="O584" s="527"/>
      <c r="P584" s="527"/>
      <c r="Q584" s="527"/>
      <c r="R584" s="527"/>
      <c r="S584" s="527"/>
      <c r="T584" s="527"/>
      <c r="U584" s="527"/>
      <c r="V584" s="527"/>
      <c r="W584" s="527"/>
      <c r="X584" s="527"/>
      <c r="Y584" s="527"/>
      <c r="Z584" s="527"/>
      <c r="AA584" s="512"/>
      <c r="AB584" s="460">
        <v>0.3</v>
      </c>
      <c r="AC584" s="512"/>
      <c r="AF584" s="515"/>
      <c r="AG584" s="513"/>
      <c r="AH584" s="513"/>
      <c r="AI584" s="513"/>
      <c r="AJ584" s="513"/>
      <c r="AK584" s="513"/>
      <c r="AL584" s="516"/>
      <c r="AM584" s="513"/>
      <c r="AN584" s="513"/>
      <c r="AO584" s="517"/>
      <c r="AP584" s="513"/>
      <c r="AQ584" s="513"/>
      <c r="AR584" s="517"/>
      <c r="AS584" s="517"/>
      <c r="AT584" s="513"/>
      <c r="AU584" s="513"/>
      <c r="AV584" s="517"/>
      <c r="AW584" s="513"/>
      <c r="AX584" s="513"/>
      <c r="AY584" s="513"/>
      <c r="AZ584" s="513"/>
      <c r="BA584" s="513"/>
    </row>
    <row r="585" spans="1:53" s="514" customFormat="1" ht="56.25" customHeight="1" x14ac:dyDescent="0.25">
      <c r="A585" s="1136" t="s">
        <v>1585</v>
      </c>
      <c r="B585" s="503" t="s">
        <v>563</v>
      </c>
      <c r="C585" s="502"/>
      <c r="D585" s="570"/>
      <c r="E585" s="576" t="s">
        <v>488</v>
      </c>
      <c r="F585" s="507" t="s">
        <v>837</v>
      </c>
      <c r="G585" s="503" t="s">
        <v>489</v>
      </c>
      <c r="H585" s="505" t="s">
        <v>1170</v>
      </c>
      <c r="I585" s="507" t="s">
        <v>838</v>
      </c>
      <c r="J585" s="508" t="s">
        <v>1171</v>
      </c>
      <c r="K585" s="508" t="s">
        <v>490</v>
      </c>
      <c r="L585" s="509" t="s">
        <v>489</v>
      </c>
      <c r="M585" s="508" t="s">
        <v>1172</v>
      </c>
      <c r="N585" s="507" t="s">
        <v>838</v>
      </c>
      <c r="O585" s="508" t="s">
        <v>1171</v>
      </c>
      <c r="P585" s="508" t="s">
        <v>826</v>
      </c>
      <c r="Q585" s="508" t="s">
        <v>1173</v>
      </c>
      <c r="R585" s="508" t="s">
        <v>1174</v>
      </c>
      <c r="S585" s="508" t="s">
        <v>839</v>
      </c>
      <c r="T585" s="508" t="s">
        <v>1171</v>
      </c>
      <c r="U585" s="508" t="s">
        <v>1392</v>
      </c>
      <c r="V585" s="508" t="s">
        <v>841</v>
      </c>
      <c r="W585" s="510" t="s">
        <v>1173</v>
      </c>
      <c r="X585" s="508" t="s">
        <v>1394</v>
      </c>
      <c r="Y585" s="508" t="s">
        <v>839</v>
      </c>
      <c r="Z585" s="511"/>
      <c r="AA585" s="512"/>
      <c r="AB585" s="460">
        <v>0.3</v>
      </c>
      <c r="AC585" s="512"/>
      <c r="AD585" s="513"/>
      <c r="AF585" s="515"/>
      <c r="AG585" s="513"/>
      <c r="AH585" s="513"/>
      <c r="AI585" s="513"/>
      <c r="AJ585" s="513"/>
      <c r="AK585" s="513"/>
      <c r="AL585" s="516"/>
      <c r="AM585" s="513"/>
      <c r="AN585" s="513"/>
      <c r="AO585" s="517"/>
      <c r="AP585" s="513"/>
      <c r="AQ585" s="518"/>
      <c r="AR585" s="518"/>
      <c r="AS585" s="518"/>
      <c r="AT585" s="513"/>
      <c r="AU585" s="513"/>
      <c r="AV585" s="517"/>
      <c r="AW585" s="513"/>
      <c r="AX585" s="513"/>
      <c r="AY585" s="513"/>
      <c r="AZ585" s="513"/>
      <c r="BA585" s="513"/>
    </row>
    <row r="586" spans="1:53" s="514" customFormat="1" ht="12" customHeight="1" x14ac:dyDescent="0.25">
      <c r="A586" s="1136"/>
      <c r="B586" s="519" t="s">
        <v>1175</v>
      </c>
      <c r="C586" s="502">
        <f>C593</f>
        <v>73.132454264891692</v>
      </c>
      <c r="D586" s="570">
        <f>C586*$D$7</f>
        <v>14.772755761508122</v>
      </c>
      <c r="E586" s="573" t="s">
        <v>1176</v>
      </c>
      <c r="F586" s="571"/>
      <c r="G586" s="523"/>
      <c r="H586" s="523"/>
      <c r="I586" s="524">
        <f>SUM(I587:I594)</f>
        <v>16.3477</v>
      </c>
      <c r="J586" s="525" t="s">
        <v>1176</v>
      </c>
      <c r="K586" s="526"/>
      <c r="L586" s="527"/>
      <c r="M586" s="527"/>
      <c r="N586" s="528">
        <f>SUM(N587:N594)</f>
        <v>4.4213899999999997</v>
      </c>
      <c r="O586" s="527" t="s">
        <v>1176</v>
      </c>
      <c r="P586" s="527"/>
      <c r="Q586" s="529"/>
      <c r="R586" s="530"/>
      <c r="S586" s="528">
        <f>SUM(S587:S594)</f>
        <v>9.9028000000000009</v>
      </c>
      <c r="T586" s="528"/>
      <c r="U586" s="528"/>
      <c r="V586" s="528"/>
      <c r="W586" s="528"/>
      <c r="X586" s="528"/>
      <c r="Y586" s="528">
        <f>SUM(Y587:Y594)</f>
        <v>9.1999999999999998E-3</v>
      </c>
      <c r="Z586" s="531">
        <f>(C586+D586+I586+N586+S586+Y586)*$Z$7</f>
        <v>154.18444782839441</v>
      </c>
      <c r="AA586" s="532">
        <f>C586+D586+I586+N586+S586+Y586+Z586</f>
        <v>272.77074785479425</v>
      </c>
      <c r="AB586" s="460">
        <v>0.3</v>
      </c>
      <c r="AC586" s="533">
        <f>AA586*(1+AB586)</f>
        <v>354.60197221123252</v>
      </c>
      <c r="AD586" s="517"/>
      <c r="AF586" s="515"/>
      <c r="AG586" s="513"/>
      <c r="AH586" s="513"/>
      <c r="AI586" s="518"/>
      <c r="AJ586" s="534"/>
      <c r="AK586" s="535"/>
      <c r="AL586" s="516"/>
      <c r="AM586" s="536"/>
      <c r="AN586" s="537"/>
      <c r="AO586" s="536"/>
      <c r="AP586" s="518"/>
      <c r="AQ586" s="518"/>
      <c r="AR586" s="518"/>
      <c r="AS586" s="518"/>
      <c r="AT586" s="518"/>
      <c r="AU586" s="536"/>
      <c r="AV586" s="536"/>
      <c r="AW586" s="538"/>
      <c r="AX586" s="513"/>
      <c r="AY586" s="513"/>
      <c r="AZ586" s="513"/>
      <c r="BA586" s="513"/>
    </row>
    <row r="587" spans="1:53" s="514" customFormat="1" ht="66" x14ac:dyDescent="0.25">
      <c r="A587" s="1136"/>
      <c r="B587" s="572" t="s">
        <v>1177</v>
      </c>
      <c r="C587" s="502"/>
      <c r="D587" s="566"/>
      <c r="E587" s="541" t="s">
        <v>1437</v>
      </c>
      <c r="F587" s="542" t="s">
        <v>1438</v>
      </c>
      <c r="G587" s="543">
        <v>0.74</v>
      </c>
      <c r="H587" s="542">
        <v>0.5</v>
      </c>
      <c r="I587" s="544">
        <f t="shared" ref="I587:I592" si="53">G587*H587</f>
        <v>0.37</v>
      </c>
      <c r="J587" s="525" t="s">
        <v>1291</v>
      </c>
      <c r="K587" s="545">
        <v>2</v>
      </c>
      <c r="L587" s="546">
        <v>750</v>
      </c>
      <c r="M587" s="545">
        <v>2</v>
      </c>
      <c r="N587" s="528">
        <v>1.1745000000000001</v>
      </c>
      <c r="O587" s="547" t="s">
        <v>1578</v>
      </c>
      <c r="P587" s="527">
        <v>188900</v>
      </c>
      <c r="Q587" s="548">
        <v>0.19670000000000001</v>
      </c>
      <c r="R587" s="527">
        <f>P587*Q587</f>
        <v>37156.630000000005</v>
      </c>
      <c r="S587" s="527">
        <v>8.1902000000000008</v>
      </c>
      <c r="T587" s="512" t="s">
        <v>1435</v>
      </c>
      <c r="U587" s="523">
        <v>6785401.3499999996</v>
      </c>
      <c r="V587" s="549">
        <v>1.32E-2</v>
      </c>
      <c r="W587" s="512">
        <v>1508.3</v>
      </c>
      <c r="X587" s="528">
        <v>59.38</v>
      </c>
      <c r="Y587" s="527">
        <v>9.1999999999999998E-3</v>
      </c>
      <c r="Z587" s="527"/>
      <c r="AA587" s="512"/>
      <c r="AB587" s="460">
        <v>0.3</v>
      </c>
      <c r="AC587" s="512"/>
      <c r="AD587" s="513"/>
      <c r="AE587" s="513"/>
      <c r="AF587" s="515"/>
      <c r="AG587" s="513"/>
      <c r="AH587" s="513"/>
      <c r="AI587" s="513"/>
      <c r="AJ587" s="513"/>
      <c r="AK587" s="513"/>
      <c r="AL587" s="516"/>
      <c r="AM587" s="513"/>
      <c r="AN587" s="513"/>
      <c r="AO587" s="517"/>
      <c r="AP587" s="513"/>
      <c r="AQ587" s="513"/>
      <c r="AR587" s="517"/>
      <c r="AS587" s="517"/>
      <c r="AT587" s="513"/>
      <c r="AU587" s="513"/>
      <c r="AV587" s="517"/>
      <c r="AW587" s="513"/>
      <c r="AX587" s="513"/>
      <c r="AY587" s="513"/>
      <c r="AZ587" s="513"/>
      <c r="BA587" s="513"/>
    </row>
    <row r="588" spans="1:53" s="514" customFormat="1" x14ac:dyDescent="0.25">
      <c r="A588" s="1136"/>
      <c r="B588" s="565" t="s">
        <v>1178</v>
      </c>
      <c r="C588" s="491">
        <f>C578</f>
        <v>43.888814515309463</v>
      </c>
      <c r="D588" s="566"/>
      <c r="E588" s="541" t="s">
        <v>1439</v>
      </c>
      <c r="F588" s="542" t="s">
        <v>1438</v>
      </c>
      <c r="G588" s="543">
        <v>0.27</v>
      </c>
      <c r="H588" s="542">
        <v>0.01</v>
      </c>
      <c r="I588" s="544">
        <f t="shared" si="53"/>
        <v>2.7000000000000001E-3</v>
      </c>
      <c r="J588" s="525" t="s">
        <v>1445</v>
      </c>
      <c r="K588" s="528">
        <v>2</v>
      </c>
      <c r="L588" s="553">
        <v>95</v>
      </c>
      <c r="M588" s="545">
        <v>2</v>
      </c>
      <c r="N588" s="528">
        <v>3.1146400000000001</v>
      </c>
      <c r="O588" s="527" t="s">
        <v>1580</v>
      </c>
      <c r="P588" s="527">
        <v>39500</v>
      </c>
      <c r="Q588" s="548">
        <v>0.19670000000000001</v>
      </c>
      <c r="R588" s="527">
        <f>P588*Q588</f>
        <v>7769.6500000000005</v>
      </c>
      <c r="S588" s="527">
        <v>1.7125999999999999</v>
      </c>
      <c r="T588" s="527"/>
      <c r="U588" s="527"/>
      <c r="V588" s="527"/>
      <c r="W588" s="548"/>
      <c r="X588" s="527"/>
      <c r="Y588" s="527"/>
      <c r="Z588" s="527"/>
      <c r="AA588" s="512"/>
      <c r="AB588" s="460">
        <v>0.3</v>
      </c>
      <c r="AC588" s="512"/>
      <c r="AD588" s="513"/>
      <c r="AE588" s="513"/>
      <c r="AF588" s="515"/>
      <c r="AG588" s="513"/>
      <c r="AH588" s="513"/>
      <c r="AI588" s="513"/>
      <c r="AJ588" s="513"/>
      <c r="AK588" s="513"/>
      <c r="AL588" s="516"/>
      <c r="AM588" s="513"/>
      <c r="AN588" s="513"/>
      <c r="AO588" s="517"/>
      <c r="AP588" s="513"/>
      <c r="AQ588" s="513"/>
      <c r="AR588" s="517"/>
      <c r="AS588" s="517"/>
      <c r="AT588" s="513"/>
      <c r="AU588" s="513"/>
      <c r="AV588" s="517"/>
      <c r="AW588" s="513"/>
      <c r="AX588" s="513"/>
      <c r="AY588" s="513"/>
      <c r="AZ588" s="513"/>
      <c r="BA588" s="513"/>
    </row>
    <row r="589" spans="1:53" s="514" customFormat="1" x14ac:dyDescent="0.25">
      <c r="A589" s="1136"/>
      <c r="B589" s="521" t="s">
        <v>1179</v>
      </c>
      <c r="C589" s="487">
        <f>C579</f>
        <v>19.495759833054819</v>
      </c>
      <c r="D589" s="566"/>
      <c r="E589" s="541" t="s">
        <v>1440</v>
      </c>
      <c r="F589" s="542" t="s">
        <v>1441</v>
      </c>
      <c r="G589" s="543">
        <v>5.92</v>
      </c>
      <c r="H589" s="555">
        <v>1</v>
      </c>
      <c r="I589" s="544">
        <f t="shared" si="53"/>
        <v>5.92</v>
      </c>
      <c r="J589" s="525" t="s">
        <v>1513</v>
      </c>
      <c r="K589" s="528">
        <v>2</v>
      </c>
      <c r="L589" s="528">
        <v>25</v>
      </c>
      <c r="M589" s="545">
        <v>0.5</v>
      </c>
      <c r="N589" s="528">
        <v>0.13225000000000001</v>
      </c>
      <c r="O589" s="527"/>
      <c r="P589" s="527"/>
      <c r="Q589" s="548"/>
      <c r="R589" s="527"/>
      <c r="S589" s="527"/>
      <c r="T589" s="527"/>
      <c r="U589" s="527"/>
      <c r="V589" s="527"/>
      <c r="W589" s="548"/>
      <c r="X589" s="527"/>
      <c r="Y589" s="527"/>
      <c r="Z589" s="527"/>
      <c r="AA589" s="512"/>
      <c r="AB589" s="460">
        <v>0.3</v>
      </c>
      <c r="AC589" s="512"/>
      <c r="AD589" s="513"/>
      <c r="AE589" s="513"/>
      <c r="AF589" s="515"/>
      <c r="AG589" s="513"/>
      <c r="AH589" s="513"/>
      <c r="AI589" s="513"/>
      <c r="AJ589" s="513"/>
      <c r="AK589" s="513"/>
      <c r="AL589" s="516"/>
      <c r="AM589" s="513"/>
      <c r="AN589" s="513"/>
      <c r="AO589" s="517"/>
      <c r="AP589" s="513"/>
      <c r="AQ589" s="513"/>
      <c r="AR589" s="517"/>
      <c r="AS589" s="517"/>
      <c r="AT589" s="513"/>
      <c r="AU589" s="513"/>
      <c r="AV589" s="517"/>
      <c r="AW589" s="513"/>
      <c r="AX589" s="513"/>
      <c r="AY589" s="513"/>
      <c r="AZ589" s="513"/>
      <c r="BA589" s="513"/>
    </row>
    <row r="590" spans="1:53" s="514" customFormat="1" x14ac:dyDescent="0.25">
      <c r="A590" s="1136"/>
      <c r="B590" s="521" t="s">
        <v>1180</v>
      </c>
      <c r="C590" s="567"/>
      <c r="D590" s="566"/>
      <c r="E590" s="541" t="s">
        <v>1442</v>
      </c>
      <c r="F590" s="542" t="s">
        <v>1443</v>
      </c>
      <c r="G590" s="543">
        <v>419.5</v>
      </c>
      <c r="H590" s="542">
        <v>0.01</v>
      </c>
      <c r="I590" s="544">
        <f t="shared" si="53"/>
        <v>4.1950000000000003</v>
      </c>
      <c r="J590" s="525"/>
      <c r="K590" s="557"/>
      <c r="L590" s="528"/>
      <c r="M590" s="528"/>
      <c r="N590" s="528"/>
      <c r="O590" s="527"/>
      <c r="P590" s="527"/>
      <c r="Q590" s="527"/>
      <c r="R590" s="527"/>
      <c r="S590" s="527"/>
      <c r="T590" s="527"/>
      <c r="U590" s="527"/>
      <c r="V590" s="527"/>
      <c r="W590" s="527"/>
      <c r="X590" s="527"/>
      <c r="Y590" s="527"/>
      <c r="Z590" s="527"/>
      <c r="AA590" s="512"/>
      <c r="AB590" s="460">
        <v>0.3</v>
      </c>
      <c r="AC590" s="512"/>
      <c r="AF590" s="515"/>
      <c r="AG590" s="513"/>
      <c r="AH590" s="513"/>
      <c r="AI590" s="513"/>
      <c r="AJ590" s="513"/>
      <c r="AK590" s="513"/>
      <c r="AL590" s="516"/>
      <c r="AM590" s="513"/>
      <c r="AN590" s="513"/>
      <c r="AO590" s="517"/>
      <c r="AP590" s="513"/>
      <c r="AQ590" s="513"/>
      <c r="AR590" s="517"/>
      <c r="AS590" s="517"/>
      <c r="AT590" s="513"/>
      <c r="AU590" s="513"/>
      <c r="AV590" s="517"/>
      <c r="AW590" s="513"/>
      <c r="AX590" s="513"/>
      <c r="AY590" s="513"/>
      <c r="AZ590" s="513"/>
      <c r="BA590" s="513"/>
    </row>
    <row r="591" spans="1:53" s="514" customFormat="1" x14ac:dyDescent="0.25">
      <c r="A591" s="1136"/>
      <c r="B591" s="565" t="s">
        <v>1178</v>
      </c>
      <c r="C591" s="568">
        <v>1</v>
      </c>
      <c r="D591" s="566"/>
      <c r="E591" s="541" t="s">
        <v>1444</v>
      </c>
      <c r="F591" s="542" t="s">
        <v>1443</v>
      </c>
      <c r="G591" s="543">
        <v>872</v>
      </c>
      <c r="H591" s="542">
        <v>5.0000000000000001E-3</v>
      </c>
      <c r="I591" s="544">
        <f t="shared" si="53"/>
        <v>4.3600000000000003</v>
      </c>
      <c r="J591" s="525"/>
      <c r="K591" s="557"/>
      <c r="L591" s="528"/>
      <c r="M591" s="528"/>
      <c r="N591" s="528"/>
      <c r="O591" s="527"/>
      <c r="P591" s="527"/>
      <c r="Q591" s="527"/>
      <c r="R591" s="527"/>
      <c r="S591" s="527"/>
      <c r="T591" s="527"/>
      <c r="U591" s="527"/>
      <c r="V591" s="527"/>
      <c r="W591" s="527"/>
      <c r="X591" s="527"/>
      <c r="Y591" s="527"/>
      <c r="Z591" s="527"/>
      <c r="AA591" s="512"/>
      <c r="AB591" s="460">
        <v>0.3</v>
      </c>
      <c r="AC591" s="512"/>
      <c r="AF591" s="515"/>
      <c r="AG591" s="513"/>
      <c r="AH591" s="513"/>
      <c r="AI591" s="513"/>
      <c r="AJ591" s="513"/>
      <c r="AK591" s="513"/>
      <c r="AL591" s="516"/>
      <c r="AM591" s="513"/>
      <c r="AN591" s="513"/>
      <c r="AO591" s="517"/>
      <c r="AP591" s="513"/>
      <c r="AQ591" s="513"/>
      <c r="AR591" s="517"/>
      <c r="AS591" s="517"/>
      <c r="AT591" s="513"/>
      <c r="AU591" s="513"/>
      <c r="AV591" s="517"/>
      <c r="AW591" s="513"/>
      <c r="AX591" s="513"/>
      <c r="AY591" s="513"/>
      <c r="AZ591" s="513"/>
      <c r="BA591" s="513"/>
    </row>
    <row r="592" spans="1:53" s="514" customFormat="1" x14ac:dyDescent="0.25">
      <c r="A592" s="1136"/>
      <c r="B592" s="521" t="s">
        <v>1179</v>
      </c>
      <c r="C592" s="568">
        <v>1.5</v>
      </c>
      <c r="D592" s="566"/>
      <c r="E592" s="559" t="s">
        <v>13</v>
      </c>
      <c r="F592" s="560" t="s">
        <v>1441</v>
      </c>
      <c r="G592" s="543">
        <v>1.5</v>
      </c>
      <c r="H592" s="542">
        <v>1</v>
      </c>
      <c r="I592" s="544">
        <f t="shared" si="53"/>
        <v>1.5</v>
      </c>
      <c r="J592" s="525"/>
      <c r="K592" s="557"/>
      <c r="L592" s="546"/>
      <c r="M592" s="545"/>
      <c r="N592" s="528"/>
      <c r="O592" s="527"/>
      <c r="P592" s="527"/>
      <c r="Q592" s="527"/>
      <c r="R592" s="527"/>
      <c r="S592" s="527"/>
      <c r="T592" s="527"/>
      <c r="U592" s="527"/>
      <c r="V592" s="527"/>
      <c r="W592" s="527"/>
      <c r="X592" s="527"/>
      <c r="Y592" s="527"/>
      <c r="Z592" s="527"/>
      <c r="AA592" s="512"/>
      <c r="AB592" s="460">
        <v>0.3</v>
      </c>
      <c r="AC592" s="512"/>
      <c r="AF592" s="515"/>
      <c r="AG592" s="513"/>
      <c r="AH592" s="513"/>
      <c r="AI592" s="513"/>
      <c r="AJ592" s="513"/>
      <c r="AK592" s="513"/>
      <c r="AL592" s="516"/>
      <c r="AM592" s="513"/>
      <c r="AN592" s="513"/>
      <c r="AO592" s="517"/>
      <c r="AP592" s="513"/>
      <c r="AQ592" s="513"/>
      <c r="AR592" s="517"/>
      <c r="AS592" s="517"/>
      <c r="AT592" s="513"/>
      <c r="AU592" s="513"/>
      <c r="AV592" s="517"/>
      <c r="AW592" s="513"/>
      <c r="AX592" s="513"/>
      <c r="AY592" s="513"/>
      <c r="AZ592" s="513"/>
      <c r="BA592" s="513"/>
    </row>
    <row r="593" spans="1:53" s="514" customFormat="1" x14ac:dyDescent="0.25">
      <c r="A593" s="1136"/>
      <c r="B593" s="569" t="s">
        <v>1181</v>
      </c>
      <c r="C593" s="502">
        <f>C588*C591+C589*C592</f>
        <v>73.132454264891692</v>
      </c>
      <c r="D593" s="566"/>
      <c r="E593" s="573"/>
      <c r="F593" s="574"/>
      <c r="G593" s="543"/>
      <c r="H593" s="523"/>
      <c r="I593" s="544"/>
      <c r="J593" s="525"/>
      <c r="K593" s="557"/>
      <c r="L593" s="528"/>
      <c r="M593" s="528"/>
      <c r="N593" s="528"/>
      <c r="O593" s="527"/>
      <c r="P593" s="527"/>
      <c r="Q593" s="527"/>
      <c r="R593" s="527"/>
      <c r="S593" s="527"/>
      <c r="T593" s="527"/>
      <c r="U593" s="527"/>
      <c r="V593" s="527"/>
      <c r="W593" s="527"/>
      <c r="X593" s="527"/>
      <c r="Y593" s="527"/>
      <c r="Z593" s="527"/>
      <c r="AA593" s="512"/>
      <c r="AB593" s="460">
        <v>0.3</v>
      </c>
      <c r="AC593" s="512"/>
      <c r="AF593" s="515"/>
      <c r="AG593" s="513"/>
      <c r="AH593" s="513"/>
      <c r="AI593" s="513"/>
      <c r="AJ593" s="513"/>
      <c r="AK593" s="513"/>
      <c r="AL593" s="516"/>
      <c r="AM593" s="513"/>
      <c r="AN593" s="513"/>
      <c r="AO593" s="517"/>
      <c r="AP593" s="513"/>
      <c r="AQ593" s="513"/>
      <c r="AR593" s="517"/>
      <c r="AS593" s="517"/>
      <c r="AT593" s="513"/>
      <c r="AU593" s="513"/>
      <c r="AV593" s="517"/>
      <c r="AW593" s="513"/>
      <c r="AX593" s="513"/>
      <c r="AY593" s="513"/>
      <c r="AZ593" s="513"/>
      <c r="BA593" s="513"/>
    </row>
    <row r="594" spans="1:53" s="514" customFormat="1" x14ac:dyDescent="0.25">
      <c r="A594" s="1136"/>
      <c r="B594" s="569"/>
      <c r="C594" s="568"/>
      <c r="D594" s="575"/>
      <c r="E594" s="573"/>
      <c r="F594" s="574"/>
      <c r="G594" s="543"/>
      <c r="H594" s="523"/>
      <c r="I594" s="544"/>
      <c r="J594" s="525"/>
      <c r="K594" s="557"/>
      <c r="L594" s="528"/>
      <c r="M594" s="528"/>
      <c r="N594" s="528"/>
      <c r="O594" s="527"/>
      <c r="P594" s="527"/>
      <c r="Q594" s="527"/>
      <c r="R594" s="527"/>
      <c r="S594" s="527"/>
      <c r="T594" s="527"/>
      <c r="U594" s="527"/>
      <c r="V594" s="527"/>
      <c r="W594" s="527"/>
      <c r="X594" s="527"/>
      <c r="Y594" s="527"/>
      <c r="Z594" s="527"/>
      <c r="AA594" s="512"/>
      <c r="AB594" s="460">
        <v>0.3</v>
      </c>
      <c r="AC594" s="512"/>
      <c r="AF594" s="515"/>
      <c r="AG594" s="513"/>
      <c r="AH594" s="513"/>
      <c r="AI594" s="513"/>
      <c r="AJ594" s="513"/>
      <c r="AK594" s="513"/>
      <c r="AL594" s="516"/>
      <c r="AM594" s="513"/>
      <c r="AN594" s="513"/>
      <c r="AO594" s="517"/>
      <c r="AP594" s="513"/>
      <c r="AQ594" s="513"/>
      <c r="AR594" s="517"/>
      <c r="AS594" s="517"/>
      <c r="AT594" s="513"/>
      <c r="AU594" s="513"/>
      <c r="AV594" s="517"/>
      <c r="AW594" s="513"/>
      <c r="AX594" s="513"/>
      <c r="AY594" s="513"/>
      <c r="AZ594" s="513"/>
      <c r="BA594" s="513"/>
    </row>
    <row r="595" spans="1:53" s="514" customFormat="1" ht="56.25" customHeight="1" x14ac:dyDescent="0.25">
      <c r="A595" s="1136" t="s">
        <v>1586</v>
      </c>
      <c r="B595" s="503" t="s">
        <v>564</v>
      </c>
      <c r="C595" s="502"/>
      <c r="D595" s="570"/>
      <c r="E595" s="576" t="s">
        <v>488</v>
      </c>
      <c r="F595" s="507" t="s">
        <v>837</v>
      </c>
      <c r="G595" s="503" t="s">
        <v>489</v>
      </c>
      <c r="H595" s="505" t="s">
        <v>1170</v>
      </c>
      <c r="I595" s="507" t="s">
        <v>838</v>
      </c>
      <c r="J595" s="508" t="s">
        <v>1171</v>
      </c>
      <c r="K595" s="508" t="s">
        <v>490</v>
      </c>
      <c r="L595" s="509" t="s">
        <v>489</v>
      </c>
      <c r="M595" s="508" t="s">
        <v>1172</v>
      </c>
      <c r="N595" s="507" t="s">
        <v>838</v>
      </c>
      <c r="O595" s="508" t="s">
        <v>1171</v>
      </c>
      <c r="P595" s="508" t="s">
        <v>826</v>
      </c>
      <c r="Q595" s="508" t="s">
        <v>1173</v>
      </c>
      <c r="R595" s="508" t="s">
        <v>1174</v>
      </c>
      <c r="S595" s="508" t="s">
        <v>839</v>
      </c>
      <c r="T595" s="508" t="s">
        <v>1171</v>
      </c>
      <c r="U595" s="508" t="s">
        <v>1392</v>
      </c>
      <c r="V595" s="508" t="s">
        <v>841</v>
      </c>
      <c r="W595" s="510" t="s">
        <v>1173</v>
      </c>
      <c r="X595" s="508" t="s">
        <v>1394</v>
      </c>
      <c r="Y595" s="508" t="s">
        <v>839</v>
      </c>
      <c r="Z595" s="511"/>
      <c r="AA595" s="512"/>
      <c r="AB595" s="460">
        <v>0.3</v>
      </c>
      <c r="AC595" s="512"/>
      <c r="AD595" s="513"/>
      <c r="AF595" s="515"/>
      <c r="AG595" s="513"/>
      <c r="AH595" s="513"/>
      <c r="AI595" s="513"/>
      <c r="AJ595" s="513"/>
      <c r="AK595" s="513"/>
      <c r="AL595" s="516"/>
      <c r="AM595" s="513"/>
      <c r="AN595" s="513"/>
      <c r="AO595" s="517"/>
      <c r="AP595" s="513"/>
      <c r="AQ595" s="518"/>
      <c r="AR595" s="518"/>
      <c r="AS595" s="518"/>
      <c r="AT595" s="513"/>
      <c r="AU595" s="513"/>
      <c r="AV595" s="517"/>
      <c r="AW595" s="513"/>
      <c r="AX595" s="513"/>
      <c r="AY595" s="513"/>
      <c r="AZ595" s="513"/>
      <c r="BA595" s="513"/>
    </row>
    <row r="596" spans="1:53" s="514" customFormat="1" ht="12" customHeight="1" x14ac:dyDescent="0.25">
      <c r="A596" s="1136"/>
      <c r="B596" s="519" t="s">
        <v>1175</v>
      </c>
      <c r="C596" s="502">
        <f>C603</f>
        <v>47.538430761273212</v>
      </c>
      <c r="D596" s="570">
        <f>C596*$D$7</f>
        <v>9.6027630137771887</v>
      </c>
      <c r="E596" s="573" t="s">
        <v>1176</v>
      </c>
      <c r="F596" s="571"/>
      <c r="G596" s="523"/>
      <c r="H596" s="523"/>
      <c r="I596" s="524">
        <f>SUM(I597:I604)</f>
        <v>16.3477</v>
      </c>
      <c r="J596" s="525" t="s">
        <v>1176</v>
      </c>
      <c r="K596" s="526"/>
      <c r="L596" s="527"/>
      <c r="M596" s="527"/>
      <c r="N596" s="528">
        <f>SUM(N597:N604)</f>
        <v>4.4213899999999997</v>
      </c>
      <c r="O596" s="527" t="s">
        <v>1176</v>
      </c>
      <c r="P596" s="527"/>
      <c r="Q596" s="529"/>
      <c r="R596" s="530"/>
      <c r="S596" s="528">
        <f>SUM(S597:S604)</f>
        <v>9.9028000000000009</v>
      </c>
      <c r="T596" s="528"/>
      <c r="U596" s="528"/>
      <c r="V596" s="528"/>
      <c r="W596" s="528"/>
      <c r="X596" s="528"/>
      <c r="Y596" s="528">
        <f>SUM(Y597:Y604)</f>
        <v>9.1999999999999998E-3</v>
      </c>
      <c r="Z596" s="531">
        <f>(C596+D596+I596+N596+S596+Y596)*$Z$7</f>
        <v>114.18545251745127</v>
      </c>
      <c r="AA596" s="532">
        <f>C596+D596+I596+N596+S596+Y596+Z596</f>
        <v>202.00773629250168</v>
      </c>
      <c r="AB596" s="460">
        <v>0.3</v>
      </c>
      <c r="AC596" s="533">
        <f>AA596*(1+AB596)</f>
        <v>262.61005718025217</v>
      </c>
      <c r="AD596" s="517"/>
      <c r="AF596" s="515"/>
      <c r="AG596" s="513"/>
      <c r="AH596" s="513"/>
      <c r="AI596" s="518"/>
      <c r="AJ596" s="534"/>
      <c r="AK596" s="535"/>
      <c r="AL596" s="516"/>
      <c r="AM596" s="536"/>
      <c r="AN596" s="537"/>
      <c r="AO596" s="536"/>
      <c r="AP596" s="518"/>
      <c r="AQ596" s="518"/>
      <c r="AR596" s="518"/>
      <c r="AS596" s="518"/>
      <c r="AT596" s="518"/>
      <c r="AU596" s="536"/>
      <c r="AV596" s="536"/>
      <c r="AW596" s="538"/>
      <c r="AX596" s="513"/>
      <c r="AY596" s="513"/>
      <c r="AZ596" s="513"/>
      <c r="BA596" s="513"/>
    </row>
    <row r="597" spans="1:53" s="514" customFormat="1" ht="66" x14ac:dyDescent="0.25">
      <c r="A597" s="1136"/>
      <c r="B597" s="572" t="s">
        <v>1177</v>
      </c>
      <c r="C597" s="502"/>
      <c r="D597" s="566"/>
      <c r="E597" s="541" t="s">
        <v>1437</v>
      </c>
      <c r="F597" s="542" t="s">
        <v>1438</v>
      </c>
      <c r="G597" s="543">
        <v>0.74</v>
      </c>
      <c r="H597" s="542">
        <v>0.5</v>
      </c>
      <c r="I597" s="544">
        <f t="shared" ref="I597:I602" si="54">G597*H597</f>
        <v>0.37</v>
      </c>
      <c r="J597" s="525" t="s">
        <v>1291</v>
      </c>
      <c r="K597" s="545">
        <v>2</v>
      </c>
      <c r="L597" s="546">
        <v>750</v>
      </c>
      <c r="M597" s="545">
        <v>2</v>
      </c>
      <c r="N597" s="528">
        <v>1.1745000000000001</v>
      </c>
      <c r="O597" s="547" t="s">
        <v>1578</v>
      </c>
      <c r="P597" s="527">
        <v>188900</v>
      </c>
      <c r="Q597" s="548">
        <v>0.19670000000000001</v>
      </c>
      <c r="R597" s="527">
        <f>P597*Q597</f>
        <v>37156.630000000005</v>
      </c>
      <c r="S597" s="527">
        <v>8.1902000000000008</v>
      </c>
      <c r="T597" s="512" t="s">
        <v>1435</v>
      </c>
      <c r="U597" s="523">
        <v>6785401.3499999996</v>
      </c>
      <c r="V597" s="549">
        <v>1.32E-2</v>
      </c>
      <c r="W597" s="512">
        <v>1508.3</v>
      </c>
      <c r="X597" s="528">
        <v>59.38</v>
      </c>
      <c r="Y597" s="527">
        <v>9.1999999999999998E-3</v>
      </c>
      <c r="Z597" s="527"/>
      <c r="AA597" s="512"/>
      <c r="AB597" s="460">
        <v>0.3</v>
      </c>
      <c r="AC597" s="512"/>
      <c r="AD597" s="513"/>
      <c r="AE597" s="513"/>
      <c r="AF597" s="515"/>
      <c r="AG597" s="513"/>
      <c r="AH597" s="513"/>
      <c r="AI597" s="513"/>
      <c r="AJ597" s="513"/>
      <c r="AK597" s="513"/>
      <c r="AL597" s="516"/>
      <c r="AM597" s="513"/>
      <c r="AN597" s="513"/>
      <c r="AO597" s="517"/>
      <c r="AP597" s="513"/>
      <c r="AQ597" s="513"/>
      <c r="AR597" s="517"/>
      <c r="AS597" s="517"/>
      <c r="AT597" s="513"/>
      <c r="AU597" s="513"/>
      <c r="AV597" s="517"/>
      <c r="AW597" s="513"/>
      <c r="AX597" s="513"/>
      <c r="AY597" s="513"/>
      <c r="AZ597" s="513"/>
      <c r="BA597" s="513"/>
    </row>
    <row r="598" spans="1:53" s="514" customFormat="1" x14ac:dyDescent="0.25">
      <c r="A598" s="1136"/>
      <c r="B598" s="565" t="s">
        <v>1178</v>
      </c>
      <c r="C598" s="491">
        <f>C588</f>
        <v>43.888814515309463</v>
      </c>
      <c r="D598" s="566"/>
      <c r="E598" s="541" t="s">
        <v>1439</v>
      </c>
      <c r="F598" s="542" t="s">
        <v>1438</v>
      </c>
      <c r="G598" s="543">
        <v>0.27</v>
      </c>
      <c r="H598" s="542">
        <v>0.01</v>
      </c>
      <c r="I598" s="544">
        <f t="shared" si="54"/>
        <v>2.7000000000000001E-3</v>
      </c>
      <c r="J598" s="525" t="s">
        <v>1445</v>
      </c>
      <c r="K598" s="528">
        <v>2</v>
      </c>
      <c r="L598" s="553">
        <v>95</v>
      </c>
      <c r="M598" s="545">
        <v>2</v>
      </c>
      <c r="N598" s="528">
        <v>3.1146400000000001</v>
      </c>
      <c r="O598" s="527" t="s">
        <v>1580</v>
      </c>
      <c r="P598" s="527">
        <v>39500</v>
      </c>
      <c r="Q598" s="548">
        <v>0.19670000000000001</v>
      </c>
      <c r="R598" s="527">
        <f>P598*Q598</f>
        <v>7769.6500000000005</v>
      </c>
      <c r="S598" s="527">
        <v>1.7125999999999999</v>
      </c>
      <c r="T598" s="527"/>
      <c r="U598" s="527"/>
      <c r="V598" s="527"/>
      <c r="W598" s="548"/>
      <c r="X598" s="527"/>
      <c r="Y598" s="527"/>
      <c r="Z598" s="527"/>
      <c r="AA598" s="512"/>
      <c r="AB598" s="460">
        <v>0.3</v>
      </c>
      <c r="AC598" s="512"/>
      <c r="AD598" s="513"/>
      <c r="AE598" s="513"/>
      <c r="AF598" s="515"/>
      <c r="AG598" s="513"/>
      <c r="AH598" s="513"/>
      <c r="AI598" s="513"/>
      <c r="AJ598" s="513"/>
      <c r="AK598" s="513"/>
      <c r="AL598" s="516"/>
      <c r="AM598" s="513"/>
      <c r="AN598" s="513"/>
      <c r="AO598" s="517"/>
      <c r="AP598" s="513"/>
      <c r="AQ598" s="513"/>
      <c r="AR598" s="517"/>
      <c r="AS598" s="517"/>
      <c r="AT598" s="513"/>
      <c r="AU598" s="513"/>
      <c r="AV598" s="517"/>
      <c r="AW598" s="513"/>
      <c r="AX598" s="513"/>
      <c r="AY598" s="513"/>
      <c r="AZ598" s="513"/>
      <c r="BA598" s="513"/>
    </row>
    <row r="599" spans="1:53" s="514" customFormat="1" x14ac:dyDescent="0.25">
      <c r="A599" s="1136"/>
      <c r="B599" s="521" t="s">
        <v>1179</v>
      </c>
      <c r="C599" s="487">
        <f>C589</f>
        <v>19.495759833054819</v>
      </c>
      <c r="D599" s="566"/>
      <c r="E599" s="541" t="s">
        <v>1440</v>
      </c>
      <c r="F599" s="542" t="s">
        <v>1441</v>
      </c>
      <c r="G599" s="543">
        <v>5.92</v>
      </c>
      <c r="H599" s="555">
        <v>1</v>
      </c>
      <c r="I599" s="544">
        <f t="shared" si="54"/>
        <v>5.92</v>
      </c>
      <c r="J599" s="525" t="s">
        <v>1513</v>
      </c>
      <c r="K599" s="528">
        <v>2</v>
      </c>
      <c r="L599" s="528">
        <v>25</v>
      </c>
      <c r="M599" s="545">
        <v>0.5</v>
      </c>
      <c r="N599" s="528">
        <v>0.13225000000000001</v>
      </c>
      <c r="O599" s="527"/>
      <c r="P599" s="527"/>
      <c r="Q599" s="548"/>
      <c r="R599" s="527"/>
      <c r="S599" s="527"/>
      <c r="T599" s="527"/>
      <c r="U599" s="527"/>
      <c r="V599" s="527"/>
      <c r="W599" s="548"/>
      <c r="X599" s="527"/>
      <c r="Y599" s="527"/>
      <c r="Z599" s="527"/>
      <c r="AA599" s="512"/>
      <c r="AB599" s="460">
        <v>0.3</v>
      </c>
      <c r="AC599" s="512"/>
      <c r="AD599" s="513"/>
      <c r="AE599" s="513"/>
      <c r="AF599" s="515"/>
      <c r="AG599" s="513"/>
      <c r="AH599" s="513"/>
      <c r="AI599" s="513"/>
      <c r="AJ599" s="513"/>
      <c r="AK599" s="513"/>
      <c r="AL599" s="516"/>
      <c r="AM599" s="513"/>
      <c r="AN599" s="513"/>
      <c r="AO599" s="517"/>
      <c r="AP599" s="513"/>
      <c r="AQ599" s="513"/>
      <c r="AR599" s="517"/>
      <c r="AS599" s="517"/>
      <c r="AT599" s="513"/>
      <c r="AU599" s="513"/>
      <c r="AV599" s="517"/>
      <c r="AW599" s="513"/>
      <c r="AX599" s="513"/>
      <c r="AY599" s="513"/>
      <c r="AZ599" s="513"/>
      <c r="BA599" s="513"/>
    </row>
    <row r="600" spans="1:53" s="514" customFormat="1" x14ac:dyDescent="0.25">
      <c r="A600" s="1136"/>
      <c r="B600" s="521" t="s">
        <v>1180</v>
      </c>
      <c r="C600" s="567"/>
      <c r="D600" s="566"/>
      <c r="E600" s="541" t="s">
        <v>1442</v>
      </c>
      <c r="F600" s="542" t="s">
        <v>1443</v>
      </c>
      <c r="G600" s="543">
        <v>419.5</v>
      </c>
      <c r="H600" s="542">
        <v>0.01</v>
      </c>
      <c r="I600" s="544">
        <f t="shared" si="54"/>
        <v>4.1950000000000003</v>
      </c>
      <c r="J600" s="525"/>
      <c r="K600" s="557"/>
      <c r="L600" s="528"/>
      <c r="M600" s="528"/>
      <c r="N600" s="528"/>
      <c r="O600" s="527"/>
      <c r="P600" s="527"/>
      <c r="Q600" s="527"/>
      <c r="R600" s="527"/>
      <c r="S600" s="527"/>
      <c r="T600" s="527"/>
      <c r="U600" s="527"/>
      <c r="V600" s="527"/>
      <c r="W600" s="527"/>
      <c r="X600" s="527"/>
      <c r="Y600" s="527"/>
      <c r="Z600" s="527"/>
      <c r="AA600" s="512"/>
      <c r="AB600" s="460">
        <v>0.3</v>
      </c>
      <c r="AC600" s="512"/>
      <c r="AF600" s="515"/>
      <c r="AG600" s="513"/>
      <c r="AH600" s="513"/>
      <c r="AI600" s="513"/>
      <c r="AJ600" s="513"/>
      <c r="AK600" s="513"/>
      <c r="AL600" s="516"/>
      <c r="AM600" s="513"/>
      <c r="AN600" s="513"/>
      <c r="AO600" s="517"/>
      <c r="AP600" s="513"/>
      <c r="AQ600" s="513"/>
      <c r="AR600" s="517"/>
      <c r="AS600" s="517"/>
      <c r="AT600" s="513"/>
      <c r="AU600" s="513"/>
      <c r="AV600" s="517"/>
      <c r="AW600" s="513"/>
      <c r="AX600" s="513"/>
      <c r="AY600" s="513"/>
      <c r="AZ600" s="513"/>
      <c r="BA600" s="513"/>
    </row>
    <row r="601" spans="1:53" s="514" customFormat="1" x14ac:dyDescent="0.25">
      <c r="A601" s="1136"/>
      <c r="B601" s="565" t="s">
        <v>1178</v>
      </c>
      <c r="C601" s="577">
        <v>0.75</v>
      </c>
      <c r="D601" s="566"/>
      <c r="E601" s="541" t="s">
        <v>1444</v>
      </c>
      <c r="F601" s="542" t="s">
        <v>1443</v>
      </c>
      <c r="G601" s="543">
        <v>872</v>
      </c>
      <c r="H601" s="542">
        <v>5.0000000000000001E-3</v>
      </c>
      <c r="I601" s="544">
        <f t="shared" si="54"/>
        <v>4.3600000000000003</v>
      </c>
      <c r="J601" s="525"/>
      <c r="K601" s="557"/>
      <c r="L601" s="528"/>
      <c r="M601" s="528"/>
      <c r="N601" s="528"/>
      <c r="O601" s="527"/>
      <c r="P601" s="527"/>
      <c r="Q601" s="527"/>
      <c r="R601" s="527"/>
      <c r="S601" s="527"/>
      <c r="T601" s="527"/>
      <c r="U601" s="527"/>
      <c r="V601" s="527"/>
      <c r="W601" s="527"/>
      <c r="X601" s="527"/>
      <c r="Y601" s="527"/>
      <c r="Z601" s="527"/>
      <c r="AA601" s="512"/>
      <c r="AB601" s="460">
        <v>0.3</v>
      </c>
      <c r="AC601" s="512"/>
      <c r="AF601" s="515"/>
      <c r="AG601" s="513"/>
      <c r="AH601" s="513"/>
      <c r="AI601" s="513"/>
      <c r="AJ601" s="513"/>
      <c r="AK601" s="513"/>
      <c r="AL601" s="516"/>
      <c r="AM601" s="513"/>
      <c r="AN601" s="513"/>
      <c r="AO601" s="517"/>
      <c r="AP601" s="513"/>
      <c r="AQ601" s="513"/>
      <c r="AR601" s="517"/>
      <c r="AS601" s="517"/>
      <c r="AT601" s="513"/>
      <c r="AU601" s="513"/>
      <c r="AV601" s="517"/>
      <c r="AW601" s="513"/>
      <c r="AX601" s="513"/>
      <c r="AY601" s="513"/>
      <c r="AZ601" s="513"/>
      <c r="BA601" s="513"/>
    </row>
    <row r="602" spans="1:53" s="514" customFormat="1" x14ac:dyDescent="0.25">
      <c r="A602" s="1136"/>
      <c r="B602" s="521" t="s">
        <v>1179</v>
      </c>
      <c r="C602" s="577">
        <v>0.75</v>
      </c>
      <c r="D602" s="566"/>
      <c r="E602" s="559" t="s">
        <v>13</v>
      </c>
      <c r="F602" s="560" t="s">
        <v>1441</v>
      </c>
      <c r="G602" s="543">
        <v>1.5</v>
      </c>
      <c r="H602" s="542">
        <v>1</v>
      </c>
      <c r="I602" s="544">
        <f t="shared" si="54"/>
        <v>1.5</v>
      </c>
      <c r="J602" s="525"/>
      <c r="K602" s="557"/>
      <c r="L602" s="546"/>
      <c r="M602" s="545"/>
      <c r="N602" s="528"/>
      <c r="O602" s="527"/>
      <c r="P602" s="527"/>
      <c r="Q602" s="527"/>
      <c r="R602" s="527"/>
      <c r="S602" s="527"/>
      <c r="T602" s="527"/>
      <c r="U602" s="527"/>
      <c r="V602" s="527"/>
      <c r="W602" s="527"/>
      <c r="X602" s="527"/>
      <c r="Y602" s="527"/>
      <c r="Z602" s="527"/>
      <c r="AA602" s="512"/>
      <c r="AB602" s="460">
        <v>0.3</v>
      </c>
      <c r="AC602" s="512"/>
      <c r="AF602" s="515"/>
      <c r="AG602" s="513"/>
      <c r="AH602" s="513"/>
      <c r="AI602" s="513"/>
      <c r="AJ602" s="513"/>
      <c r="AK602" s="513"/>
      <c r="AL602" s="516"/>
      <c r="AM602" s="513"/>
      <c r="AN602" s="513"/>
      <c r="AO602" s="517"/>
      <c r="AP602" s="513"/>
      <c r="AQ602" s="513"/>
      <c r="AR602" s="517"/>
      <c r="AS602" s="517"/>
      <c r="AT602" s="513"/>
      <c r="AU602" s="513"/>
      <c r="AV602" s="517"/>
      <c r="AW602" s="513"/>
      <c r="AX602" s="513"/>
      <c r="AY602" s="513"/>
      <c r="AZ602" s="513"/>
      <c r="BA602" s="513"/>
    </row>
    <row r="603" spans="1:53" s="514" customFormat="1" x14ac:dyDescent="0.25">
      <c r="A603" s="1136"/>
      <c r="B603" s="569" t="s">
        <v>1181</v>
      </c>
      <c r="C603" s="502">
        <f>C598*C601+C599*C602</f>
        <v>47.538430761273212</v>
      </c>
      <c r="D603" s="566"/>
      <c r="E603" s="573"/>
      <c r="F603" s="574"/>
      <c r="G603" s="543"/>
      <c r="H603" s="523"/>
      <c r="I603" s="544"/>
      <c r="J603" s="525"/>
      <c r="K603" s="557"/>
      <c r="L603" s="528"/>
      <c r="M603" s="528"/>
      <c r="N603" s="528"/>
      <c r="O603" s="527"/>
      <c r="P603" s="527"/>
      <c r="Q603" s="527"/>
      <c r="R603" s="527"/>
      <c r="S603" s="527"/>
      <c r="T603" s="527"/>
      <c r="U603" s="527"/>
      <c r="V603" s="527"/>
      <c r="W603" s="527"/>
      <c r="X603" s="527"/>
      <c r="Y603" s="527"/>
      <c r="Z603" s="527"/>
      <c r="AA603" s="512"/>
      <c r="AB603" s="460">
        <v>0.3</v>
      </c>
      <c r="AC603" s="512"/>
      <c r="AF603" s="515"/>
      <c r="AG603" s="513"/>
      <c r="AH603" s="513"/>
      <c r="AI603" s="513"/>
      <c r="AJ603" s="513"/>
      <c r="AK603" s="513"/>
      <c r="AL603" s="516"/>
      <c r="AM603" s="513"/>
      <c r="AN603" s="513"/>
      <c r="AO603" s="517"/>
      <c r="AP603" s="513"/>
      <c r="AQ603" s="513"/>
      <c r="AR603" s="517"/>
      <c r="AS603" s="517"/>
      <c r="AT603" s="513"/>
      <c r="AU603" s="513"/>
      <c r="AV603" s="517"/>
      <c r="AW603" s="513"/>
      <c r="AX603" s="513"/>
      <c r="AY603" s="513"/>
      <c r="AZ603" s="513"/>
      <c r="BA603" s="513"/>
    </row>
    <row r="604" spans="1:53" s="514" customFormat="1" x14ac:dyDescent="0.25">
      <c r="A604" s="1136"/>
      <c r="B604" s="569"/>
      <c r="C604" s="568"/>
      <c r="D604" s="575"/>
      <c r="E604" s="573"/>
      <c r="F604" s="574"/>
      <c r="G604" s="543"/>
      <c r="H604" s="523"/>
      <c r="I604" s="544"/>
      <c r="J604" s="525"/>
      <c r="K604" s="557"/>
      <c r="L604" s="528"/>
      <c r="M604" s="528"/>
      <c r="N604" s="528"/>
      <c r="O604" s="527"/>
      <c r="P604" s="527"/>
      <c r="Q604" s="527"/>
      <c r="R604" s="527"/>
      <c r="S604" s="527"/>
      <c r="T604" s="527"/>
      <c r="U604" s="527"/>
      <c r="V604" s="527"/>
      <c r="W604" s="527"/>
      <c r="X604" s="527"/>
      <c r="Y604" s="527"/>
      <c r="Z604" s="527"/>
      <c r="AA604" s="512"/>
      <c r="AB604" s="460">
        <v>0.3</v>
      </c>
      <c r="AC604" s="512"/>
      <c r="AF604" s="515"/>
      <c r="AG604" s="513"/>
      <c r="AH604" s="513"/>
      <c r="AI604" s="513"/>
      <c r="AJ604" s="513"/>
      <c r="AK604" s="513"/>
      <c r="AL604" s="516"/>
      <c r="AM604" s="513"/>
      <c r="AN604" s="513"/>
      <c r="AO604" s="517"/>
      <c r="AP604" s="513"/>
      <c r="AQ604" s="513"/>
      <c r="AR604" s="517"/>
      <c r="AS604" s="517"/>
      <c r="AT604" s="513"/>
      <c r="AU604" s="513"/>
      <c r="AV604" s="517"/>
      <c r="AW604" s="513"/>
      <c r="AX604" s="513"/>
      <c r="AY604" s="513"/>
      <c r="AZ604" s="513"/>
      <c r="BA604" s="513"/>
    </row>
    <row r="605" spans="1:53" s="514" customFormat="1" ht="56.25" customHeight="1" x14ac:dyDescent="0.25">
      <c r="A605" s="1126" t="s">
        <v>1581</v>
      </c>
      <c r="B605" s="503" t="s">
        <v>565</v>
      </c>
      <c r="C605" s="502"/>
      <c r="D605" s="570"/>
      <c r="E605" s="576" t="s">
        <v>488</v>
      </c>
      <c r="F605" s="507" t="s">
        <v>837</v>
      </c>
      <c r="G605" s="503" t="s">
        <v>489</v>
      </c>
      <c r="H605" s="505" t="s">
        <v>1170</v>
      </c>
      <c r="I605" s="507" t="s">
        <v>838</v>
      </c>
      <c r="J605" s="508" t="s">
        <v>1171</v>
      </c>
      <c r="K605" s="508" t="s">
        <v>490</v>
      </c>
      <c r="L605" s="509" t="s">
        <v>489</v>
      </c>
      <c r="M605" s="508" t="s">
        <v>1172</v>
      </c>
      <c r="N605" s="507" t="s">
        <v>838</v>
      </c>
      <c r="O605" s="508" t="s">
        <v>1171</v>
      </c>
      <c r="P605" s="508" t="s">
        <v>826</v>
      </c>
      <c r="Q605" s="508" t="s">
        <v>1173</v>
      </c>
      <c r="R605" s="508" t="s">
        <v>1174</v>
      </c>
      <c r="S605" s="508" t="s">
        <v>839</v>
      </c>
      <c r="T605" s="508" t="s">
        <v>1171</v>
      </c>
      <c r="U605" s="508" t="s">
        <v>1392</v>
      </c>
      <c r="V605" s="508" t="s">
        <v>841</v>
      </c>
      <c r="W605" s="510" t="s">
        <v>1173</v>
      </c>
      <c r="X605" s="508" t="s">
        <v>1394</v>
      </c>
      <c r="Y605" s="508" t="s">
        <v>839</v>
      </c>
      <c r="Z605" s="511"/>
      <c r="AA605" s="512"/>
      <c r="AB605" s="460">
        <v>0.3</v>
      </c>
      <c r="AC605" s="512"/>
      <c r="AD605" s="513"/>
      <c r="AF605" s="515"/>
      <c r="AG605" s="513"/>
      <c r="AH605" s="513"/>
      <c r="AI605" s="513"/>
      <c r="AJ605" s="513"/>
      <c r="AK605" s="513"/>
      <c r="AL605" s="516"/>
      <c r="AM605" s="513"/>
      <c r="AN605" s="513"/>
      <c r="AO605" s="517"/>
      <c r="AP605" s="513"/>
      <c r="AQ605" s="518"/>
      <c r="AR605" s="518"/>
      <c r="AS605" s="518"/>
      <c r="AT605" s="513"/>
      <c r="AU605" s="513"/>
      <c r="AV605" s="517"/>
      <c r="AW605" s="513"/>
      <c r="AX605" s="513"/>
      <c r="AY605" s="513"/>
      <c r="AZ605" s="513"/>
      <c r="BA605" s="513"/>
    </row>
    <row r="606" spans="1:53" s="514" customFormat="1" ht="12" customHeight="1" x14ac:dyDescent="0.25">
      <c r="A606" s="1126"/>
      <c r="B606" s="519" t="s">
        <v>1175</v>
      </c>
      <c r="C606" s="502">
        <f>C613</f>
        <v>31.692287174182141</v>
      </c>
      <c r="D606" s="570">
        <f>C606*$D$7</f>
        <v>6.4018420091847927</v>
      </c>
      <c r="E606" s="573" t="s">
        <v>1176</v>
      </c>
      <c r="F606" s="571"/>
      <c r="G606" s="523"/>
      <c r="H606" s="523"/>
      <c r="I606" s="524">
        <f>SUM(I607:I614)</f>
        <v>23.281700000000001</v>
      </c>
      <c r="J606" s="525" t="s">
        <v>1176</v>
      </c>
      <c r="K606" s="526"/>
      <c r="L606" s="527"/>
      <c r="M606" s="527"/>
      <c r="N606" s="528">
        <f>SUM(N607:N614)</f>
        <v>4.4213899999999997</v>
      </c>
      <c r="O606" s="527" t="s">
        <v>1176</v>
      </c>
      <c r="P606" s="527"/>
      <c r="Q606" s="529"/>
      <c r="R606" s="530"/>
      <c r="S606" s="528">
        <f>SUM(S607:S614)</f>
        <v>8.1902000000000008</v>
      </c>
      <c r="T606" s="528"/>
      <c r="U606" s="528"/>
      <c r="V606" s="528"/>
      <c r="W606" s="528"/>
      <c r="X606" s="528"/>
      <c r="Y606" s="528">
        <f>SUM(Y607:Y614)</f>
        <v>9.1999999999999998E-3</v>
      </c>
      <c r="Z606" s="531">
        <f>(C606+D606+I606+N606+S606+Y606)*$Z$7</f>
        <v>96.209493570635857</v>
      </c>
      <c r="AA606" s="532">
        <f>C606+D606+I606+N606+S606+Y606+Z606</f>
        <v>170.20611275400279</v>
      </c>
      <c r="AB606" s="460">
        <v>0.3</v>
      </c>
      <c r="AC606" s="533">
        <f>AA606*(1+AB606)</f>
        <v>221.26794658020364</v>
      </c>
      <c r="AD606" s="517"/>
      <c r="AF606" s="515"/>
      <c r="AG606" s="513"/>
      <c r="AH606" s="513"/>
      <c r="AI606" s="518"/>
      <c r="AJ606" s="534"/>
      <c r="AK606" s="535"/>
      <c r="AL606" s="516"/>
      <c r="AM606" s="536"/>
      <c r="AN606" s="537"/>
      <c r="AO606" s="536"/>
      <c r="AP606" s="518"/>
      <c r="AQ606" s="518"/>
      <c r="AR606" s="518"/>
      <c r="AS606" s="518"/>
      <c r="AT606" s="518"/>
      <c r="AU606" s="536"/>
      <c r="AV606" s="536"/>
      <c r="AW606" s="538"/>
      <c r="AX606" s="513"/>
      <c r="AY606" s="513"/>
      <c r="AZ606" s="513"/>
      <c r="BA606" s="513"/>
    </row>
    <row r="607" spans="1:53" s="514" customFormat="1" ht="66" x14ac:dyDescent="0.25">
      <c r="A607" s="1126"/>
      <c r="B607" s="572" t="s">
        <v>1177</v>
      </c>
      <c r="C607" s="502"/>
      <c r="D607" s="566"/>
      <c r="E607" s="541" t="s">
        <v>1437</v>
      </c>
      <c r="F607" s="542" t="s">
        <v>1438</v>
      </c>
      <c r="G607" s="543">
        <v>0.74</v>
      </c>
      <c r="H607" s="542">
        <v>0.1</v>
      </c>
      <c r="I607" s="544">
        <f t="shared" ref="I607:I613" si="55">G607*H607</f>
        <v>7.3999999999999996E-2</v>
      </c>
      <c r="J607" s="525" t="s">
        <v>1291</v>
      </c>
      <c r="K607" s="545">
        <v>2</v>
      </c>
      <c r="L607" s="546">
        <v>750</v>
      </c>
      <c r="M607" s="545">
        <v>2</v>
      </c>
      <c r="N607" s="528">
        <v>1.1745000000000001</v>
      </c>
      <c r="O607" s="547" t="s">
        <v>1578</v>
      </c>
      <c r="P607" s="527">
        <v>188900</v>
      </c>
      <c r="Q607" s="548">
        <v>0.19670000000000001</v>
      </c>
      <c r="R607" s="527">
        <f>P607*Q607</f>
        <v>37156.630000000005</v>
      </c>
      <c r="S607" s="527">
        <v>8.1902000000000008</v>
      </c>
      <c r="T607" s="512" t="s">
        <v>1435</v>
      </c>
      <c r="U607" s="523">
        <v>6785401.3499999996</v>
      </c>
      <c r="V607" s="549">
        <v>1.32E-2</v>
      </c>
      <c r="W607" s="512">
        <v>1508.3</v>
      </c>
      <c r="X607" s="528">
        <v>59.38</v>
      </c>
      <c r="Y607" s="527">
        <v>9.1999999999999998E-3</v>
      </c>
      <c r="Z607" s="527"/>
      <c r="AA607" s="512"/>
      <c r="AB607" s="460">
        <v>0.3</v>
      </c>
      <c r="AC607" s="512"/>
      <c r="AD607" s="513"/>
      <c r="AE607" s="513"/>
      <c r="AF607" s="515"/>
      <c r="AG607" s="513"/>
      <c r="AH607" s="513"/>
      <c r="AI607" s="513"/>
      <c r="AJ607" s="513"/>
      <c r="AK607" s="513"/>
      <c r="AL607" s="516"/>
      <c r="AM607" s="513"/>
      <c r="AN607" s="513"/>
      <c r="AO607" s="517"/>
      <c r="AP607" s="513"/>
      <c r="AQ607" s="513"/>
      <c r="AR607" s="517"/>
      <c r="AS607" s="517"/>
      <c r="AT607" s="513"/>
      <c r="AU607" s="513"/>
      <c r="AV607" s="517"/>
      <c r="AW607" s="513"/>
      <c r="AX607" s="513"/>
      <c r="AY607" s="513"/>
      <c r="AZ607" s="513"/>
      <c r="BA607" s="513"/>
    </row>
    <row r="608" spans="1:53" s="514" customFormat="1" x14ac:dyDescent="0.25">
      <c r="A608" s="1126"/>
      <c r="B608" s="565" t="s">
        <v>1178</v>
      </c>
      <c r="C608" s="491">
        <f>C598</f>
        <v>43.888814515309463</v>
      </c>
      <c r="D608" s="566"/>
      <c r="E608" s="541" t="s">
        <v>1439</v>
      </c>
      <c r="F608" s="542" t="s">
        <v>1438</v>
      </c>
      <c r="G608" s="543">
        <v>0.27</v>
      </c>
      <c r="H608" s="542">
        <v>0.01</v>
      </c>
      <c r="I608" s="544">
        <f t="shared" si="55"/>
        <v>2.7000000000000001E-3</v>
      </c>
      <c r="J608" s="525" t="s">
        <v>1445</v>
      </c>
      <c r="K608" s="528">
        <v>2</v>
      </c>
      <c r="L608" s="553">
        <v>95</v>
      </c>
      <c r="M608" s="545">
        <v>2</v>
      </c>
      <c r="N608" s="528">
        <v>3.1146400000000001</v>
      </c>
      <c r="O608" s="527"/>
      <c r="P608" s="527"/>
      <c r="Q608" s="548"/>
      <c r="R608" s="527"/>
      <c r="S608" s="527"/>
      <c r="T608" s="527"/>
      <c r="U608" s="527"/>
      <c r="V608" s="527"/>
      <c r="W608" s="548"/>
      <c r="X608" s="527"/>
      <c r="Y608" s="527"/>
      <c r="Z608" s="527"/>
      <c r="AA608" s="512"/>
      <c r="AB608" s="460">
        <v>0.3</v>
      </c>
      <c r="AC608" s="512"/>
      <c r="AD608" s="513"/>
      <c r="AE608" s="513"/>
      <c r="AF608" s="515"/>
      <c r="AG608" s="513"/>
      <c r="AH608" s="513"/>
      <c r="AI608" s="513"/>
      <c r="AJ608" s="513"/>
      <c r="AK608" s="513"/>
      <c r="AL608" s="516"/>
      <c r="AM608" s="513"/>
      <c r="AN608" s="513"/>
      <c r="AO608" s="517"/>
      <c r="AP608" s="513"/>
      <c r="AQ608" s="513"/>
      <c r="AR608" s="517"/>
      <c r="AS608" s="517"/>
      <c r="AT608" s="513"/>
      <c r="AU608" s="513"/>
      <c r="AV608" s="517"/>
      <c r="AW608" s="513"/>
      <c r="AX608" s="513"/>
      <c r="AY608" s="513"/>
      <c r="AZ608" s="513"/>
      <c r="BA608" s="513"/>
    </row>
    <row r="609" spans="1:53" s="514" customFormat="1" x14ac:dyDescent="0.25">
      <c r="A609" s="1126"/>
      <c r="B609" s="521" t="s">
        <v>1179</v>
      </c>
      <c r="C609" s="487">
        <f>C599</f>
        <v>19.495759833054819</v>
      </c>
      <c r="D609" s="566"/>
      <c r="E609" s="541" t="s">
        <v>1440</v>
      </c>
      <c r="F609" s="542" t="s">
        <v>1441</v>
      </c>
      <c r="G609" s="543">
        <v>5.92</v>
      </c>
      <c r="H609" s="555">
        <v>1</v>
      </c>
      <c r="I609" s="544">
        <f t="shared" si="55"/>
        <v>5.92</v>
      </c>
      <c r="J609" s="525" t="s">
        <v>1513</v>
      </c>
      <c r="K609" s="528">
        <v>2</v>
      </c>
      <c r="L609" s="528">
        <v>25</v>
      </c>
      <c r="M609" s="545">
        <v>0.5</v>
      </c>
      <c r="N609" s="528">
        <v>0.13225000000000001</v>
      </c>
      <c r="O609" s="527"/>
      <c r="P609" s="527"/>
      <c r="Q609" s="548"/>
      <c r="R609" s="527"/>
      <c r="S609" s="527"/>
      <c r="T609" s="527"/>
      <c r="U609" s="527"/>
      <c r="V609" s="527"/>
      <c r="W609" s="548"/>
      <c r="X609" s="527"/>
      <c r="Y609" s="527"/>
      <c r="Z609" s="527"/>
      <c r="AA609" s="512"/>
      <c r="AB609" s="460">
        <v>0.3</v>
      </c>
      <c r="AC609" s="512"/>
      <c r="AD609" s="513"/>
      <c r="AE609" s="513"/>
      <c r="AF609" s="515"/>
      <c r="AG609" s="513"/>
      <c r="AH609" s="513"/>
      <c r="AI609" s="513"/>
      <c r="AJ609" s="513"/>
      <c r="AK609" s="513"/>
      <c r="AL609" s="516"/>
      <c r="AM609" s="513"/>
      <c r="AN609" s="513"/>
      <c r="AO609" s="517"/>
      <c r="AP609" s="513"/>
      <c r="AQ609" s="513"/>
      <c r="AR609" s="517"/>
      <c r="AS609" s="517"/>
      <c r="AT609" s="513"/>
      <c r="AU609" s="513"/>
      <c r="AV609" s="517"/>
      <c r="AW609" s="513"/>
      <c r="AX609" s="513"/>
      <c r="AY609" s="513"/>
      <c r="AZ609" s="513"/>
      <c r="BA609" s="513"/>
    </row>
    <row r="610" spans="1:53" s="514" customFormat="1" x14ac:dyDescent="0.25">
      <c r="A610" s="1126"/>
      <c r="B610" s="521" t="s">
        <v>1180</v>
      </c>
      <c r="C610" s="567"/>
      <c r="D610" s="566"/>
      <c r="E610" s="541" t="s">
        <v>1442</v>
      </c>
      <c r="F610" s="542" t="s">
        <v>1443</v>
      </c>
      <c r="G610" s="543">
        <v>419.5</v>
      </c>
      <c r="H610" s="542">
        <v>0.01</v>
      </c>
      <c r="I610" s="544">
        <f t="shared" si="55"/>
        <v>4.1950000000000003</v>
      </c>
      <c r="J610" s="525"/>
      <c r="K610" s="557"/>
      <c r="L610" s="528"/>
      <c r="M610" s="528"/>
      <c r="N610" s="528"/>
      <c r="O610" s="527"/>
      <c r="P610" s="527"/>
      <c r="Q610" s="527"/>
      <c r="R610" s="527"/>
      <c r="S610" s="527"/>
      <c r="T610" s="527"/>
      <c r="U610" s="527"/>
      <c r="V610" s="527"/>
      <c r="W610" s="527"/>
      <c r="X610" s="527"/>
      <c r="Y610" s="527"/>
      <c r="Z610" s="527"/>
      <c r="AA610" s="512"/>
      <c r="AB610" s="460">
        <v>0.3</v>
      </c>
      <c r="AC610" s="512"/>
      <c r="AF610" s="515"/>
      <c r="AG610" s="513"/>
      <c r="AH610" s="513"/>
      <c r="AI610" s="513"/>
      <c r="AJ610" s="513"/>
      <c r="AK610" s="513"/>
      <c r="AL610" s="516"/>
      <c r="AM610" s="513"/>
      <c r="AN610" s="513"/>
      <c r="AO610" s="517"/>
      <c r="AP610" s="513"/>
      <c r="AQ610" s="513"/>
      <c r="AR610" s="517"/>
      <c r="AS610" s="517"/>
      <c r="AT610" s="513"/>
      <c r="AU610" s="513"/>
      <c r="AV610" s="517"/>
      <c r="AW610" s="513"/>
      <c r="AX610" s="513"/>
      <c r="AY610" s="513"/>
      <c r="AZ610" s="513"/>
      <c r="BA610" s="513"/>
    </row>
    <row r="611" spans="1:53" s="514" customFormat="1" x14ac:dyDescent="0.25">
      <c r="A611" s="1126"/>
      <c r="B611" s="565" t="s">
        <v>1178</v>
      </c>
      <c r="C611" s="568">
        <v>0.5</v>
      </c>
      <c r="D611" s="566"/>
      <c r="E611" s="541" t="s">
        <v>1444</v>
      </c>
      <c r="F611" s="542" t="s">
        <v>1443</v>
      </c>
      <c r="G611" s="543">
        <v>872</v>
      </c>
      <c r="H611" s="542">
        <v>5.0000000000000001E-3</v>
      </c>
      <c r="I611" s="544">
        <f t="shared" si="55"/>
        <v>4.3600000000000003</v>
      </c>
      <c r="J611" s="525"/>
      <c r="K611" s="557"/>
      <c r="L611" s="528"/>
      <c r="M611" s="528"/>
      <c r="N611" s="528"/>
      <c r="O611" s="527"/>
      <c r="P611" s="527"/>
      <c r="Q611" s="527"/>
      <c r="R611" s="527"/>
      <c r="S611" s="527"/>
      <c r="T611" s="527"/>
      <c r="U611" s="527"/>
      <c r="V611" s="527"/>
      <c r="W611" s="527"/>
      <c r="X611" s="527"/>
      <c r="Y611" s="527"/>
      <c r="Z611" s="527"/>
      <c r="AA611" s="512"/>
      <c r="AB611" s="460">
        <v>0.3</v>
      </c>
      <c r="AC611" s="512"/>
      <c r="AF611" s="515"/>
      <c r="AG611" s="513"/>
      <c r="AH611" s="513"/>
      <c r="AI611" s="513"/>
      <c r="AJ611" s="513"/>
      <c r="AK611" s="513"/>
      <c r="AL611" s="516"/>
      <c r="AM611" s="513"/>
      <c r="AN611" s="513"/>
      <c r="AO611" s="517"/>
      <c r="AP611" s="513"/>
      <c r="AQ611" s="513"/>
      <c r="AR611" s="517"/>
      <c r="AS611" s="517"/>
      <c r="AT611" s="513"/>
      <c r="AU611" s="513"/>
      <c r="AV611" s="517"/>
      <c r="AW611" s="513"/>
      <c r="AX611" s="513"/>
      <c r="AY611" s="513"/>
      <c r="AZ611" s="513"/>
      <c r="BA611" s="513"/>
    </row>
    <row r="612" spans="1:53" s="514" customFormat="1" x14ac:dyDescent="0.25">
      <c r="A612" s="1126"/>
      <c r="B612" s="521" t="s">
        <v>1179</v>
      </c>
      <c r="C612" s="568">
        <v>0.5</v>
      </c>
      <c r="D612" s="566"/>
      <c r="E612" s="559" t="s">
        <v>13</v>
      </c>
      <c r="F612" s="560" t="s">
        <v>1441</v>
      </c>
      <c r="G612" s="543">
        <v>1.5</v>
      </c>
      <c r="H612" s="542">
        <v>1</v>
      </c>
      <c r="I612" s="544">
        <f t="shared" si="55"/>
        <v>1.5</v>
      </c>
      <c r="J612" s="525"/>
      <c r="K612" s="557"/>
      <c r="L612" s="546"/>
      <c r="M612" s="545"/>
      <c r="N612" s="528"/>
      <c r="O612" s="527"/>
      <c r="P612" s="527"/>
      <c r="Q612" s="527"/>
      <c r="R612" s="527"/>
      <c r="S612" s="527"/>
      <c r="T612" s="527"/>
      <c r="U612" s="527"/>
      <c r="V612" s="527"/>
      <c r="W612" s="527"/>
      <c r="X612" s="527"/>
      <c r="Y612" s="527"/>
      <c r="Z612" s="527"/>
      <c r="AA612" s="512"/>
      <c r="AB612" s="460">
        <v>0.3</v>
      </c>
      <c r="AC612" s="512"/>
      <c r="AF612" s="515"/>
      <c r="AG612" s="513"/>
      <c r="AH612" s="513"/>
      <c r="AI612" s="513"/>
      <c r="AJ612" s="513"/>
      <c r="AK612" s="513"/>
      <c r="AL612" s="516"/>
      <c r="AM612" s="513"/>
      <c r="AN612" s="513"/>
      <c r="AO612" s="517"/>
      <c r="AP612" s="513"/>
      <c r="AQ612" s="513"/>
      <c r="AR612" s="517"/>
      <c r="AS612" s="517"/>
      <c r="AT612" s="513"/>
      <c r="AU612" s="513"/>
      <c r="AV612" s="517"/>
      <c r="AW612" s="513"/>
      <c r="AX612" s="513"/>
      <c r="AY612" s="513"/>
      <c r="AZ612" s="513"/>
      <c r="BA612" s="513"/>
    </row>
    <row r="613" spans="1:53" x14ac:dyDescent="0.25">
      <c r="A613" s="1126"/>
      <c r="B613" s="474" t="s">
        <v>1181</v>
      </c>
      <c r="C613" s="487">
        <f>C608*C611+C609*C612</f>
        <v>31.692287174182141</v>
      </c>
      <c r="D613" s="451"/>
      <c r="E613" s="653" t="s">
        <v>1699</v>
      </c>
      <c r="F613" s="654" t="s">
        <v>1438</v>
      </c>
      <c r="G613" s="302">
        <v>14.46</v>
      </c>
      <c r="H613" s="454">
        <v>0.5</v>
      </c>
      <c r="I613" s="303">
        <f t="shared" si="55"/>
        <v>7.23</v>
      </c>
      <c r="J613" s="290"/>
      <c r="K613" s="374"/>
      <c r="L613" s="292"/>
      <c r="M613" s="292"/>
      <c r="N613" s="292"/>
      <c r="O613" s="291"/>
      <c r="P613" s="291"/>
      <c r="Q613" s="291"/>
      <c r="R613" s="291"/>
      <c r="S613" s="291"/>
      <c r="T613" s="291"/>
      <c r="U613" s="291"/>
      <c r="V613" s="291"/>
      <c r="W613" s="291"/>
      <c r="X613" s="291"/>
      <c r="Y613" s="291"/>
      <c r="Z613" s="291"/>
      <c r="AA613" s="440"/>
      <c r="AB613" s="460">
        <v>0.3</v>
      </c>
      <c r="AC613" s="440"/>
    </row>
    <row r="614" spans="1:53" x14ac:dyDescent="0.25">
      <c r="A614" s="1126"/>
      <c r="B614" s="474"/>
      <c r="C614" s="493"/>
      <c r="D614" s="475"/>
      <c r="E614" s="490"/>
      <c r="F614" s="578"/>
      <c r="G614" s="302"/>
      <c r="H614" s="454"/>
      <c r="I614" s="303"/>
      <c r="J614" s="290"/>
      <c r="K614" s="374"/>
      <c r="L614" s="292"/>
      <c r="M614" s="292"/>
      <c r="N614" s="292"/>
      <c r="O614" s="291"/>
      <c r="P614" s="291"/>
      <c r="Q614" s="291"/>
      <c r="R614" s="291"/>
      <c r="S614" s="291"/>
      <c r="T614" s="291"/>
      <c r="U614" s="291"/>
      <c r="V614" s="291"/>
      <c r="W614" s="291"/>
      <c r="X614" s="291"/>
      <c r="Y614" s="291"/>
      <c r="Z614" s="291"/>
      <c r="AA614" s="440"/>
      <c r="AB614" s="460">
        <v>0.3</v>
      </c>
      <c r="AC614" s="440"/>
    </row>
    <row r="615" spans="1:53" ht="56.25" customHeight="1" x14ac:dyDescent="0.25">
      <c r="A615" s="1126" t="s">
        <v>1546</v>
      </c>
      <c r="B615" s="439" t="s">
        <v>566</v>
      </c>
      <c r="C615" s="487"/>
      <c r="D615" s="489"/>
      <c r="E615" s="488" t="s">
        <v>488</v>
      </c>
      <c r="F615" s="442" t="s">
        <v>837</v>
      </c>
      <c r="G615" s="439" t="s">
        <v>489</v>
      </c>
      <c r="H615" s="441" t="s">
        <v>1170</v>
      </c>
      <c r="I615" s="442" t="s">
        <v>838</v>
      </c>
      <c r="J615" s="280" t="s">
        <v>1171</v>
      </c>
      <c r="K615" s="280" t="s">
        <v>490</v>
      </c>
      <c r="L615" s="281" t="s">
        <v>489</v>
      </c>
      <c r="M615" s="280" t="s">
        <v>1172</v>
      </c>
      <c r="N615" s="442" t="s">
        <v>838</v>
      </c>
      <c r="O615" s="280" t="s">
        <v>1171</v>
      </c>
      <c r="P615" s="280" t="s">
        <v>826</v>
      </c>
      <c r="Q615" s="280" t="s">
        <v>1173</v>
      </c>
      <c r="R615" s="280" t="s">
        <v>1174</v>
      </c>
      <c r="S615" s="280" t="s">
        <v>839</v>
      </c>
      <c r="T615" s="280" t="s">
        <v>1171</v>
      </c>
      <c r="U615" s="280" t="s">
        <v>1392</v>
      </c>
      <c r="V615" s="280" t="s">
        <v>841</v>
      </c>
      <c r="W615" s="282" t="s">
        <v>1173</v>
      </c>
      <c r="X615" s="280" t="s">
        <v>1394</v>
      </c>
      <c r="Y615" s="280" t="s">
        <v>839</v>
      </c>
      <c r="Z615" s="283"/>
      <c r="AA615" s="440"/>
      <c r="AB615" s="460">
        <v>0.3</v>
      </c>
      <c r="AC615" s="440"/>
      <c r="AD615" s="444"/>
      <c r="AQ615" s="449"/>
      <c r="AR615" s="449"/>
      <c r="AS615" s="449"/>
    </row>
    <row r="616" spans="1:53" ht="12" customHeight="1" x14ac:dyDescent="0.25">
      <c r="A616" s="1126"/>
      <c r="B616" s="450" t="s">
        <v>1175</v>
      </c>
      <c r="C616" s="487">
        <f>C623</f>
        <v>63.384574348364282</v>
      </c>
      <c r="D616" s="489">
        <f>C616*$D$7</f>
        <v>12.803684018369585</v>
      </c>
      <c r="E616" s="490" t="s">
        <v>1176</v>
      </c>
      <c r="F616" s="453"/>
      <c r="G616" s="454"/>
      <c r="H616" s="454"/>
      <c r="I616" s="455">
        <f>SUM(I617:I624)</f>
        <v>36.137699999999995</v>
      </c>
      <c r="J616" s="290" t="s">
        <v>1176</v>
      </c>
      <c r="K616" s="357"/>
      <c r="L616" s="291"/>
      <c r="M616" s="291"/>
      <c r="N616" s="292">
        <f>SUM(N617:N624)</f>
        <v>4.4213899999999997</v>
      </c>
      <c r="O616" s="291" t="s">
        <v>1176</v>
      </c>
      <c r="P616" s="291"/>
      <c r="Q616" s="293"/>
      <c r="R616" s="294"/>
      <c r="S616" s="292">
        <f>SUM(S617:S624)</f>
        <v>8.1902000000000008</v>
      </c>
      <c r="T616" s="292"/>
      <c r="U616" s="292"/>
      <c r="V616" s="292"/>
      <c r="W616" s="292"/>
      <c r="X616" s="292"/>
      <c r="Y616" s="292">
        <f>SUM(Y617:Y624)</f>
        <v>9.1999999999999998E-3</v>
      </c>
      <c r="Z616" s="296">
        <f>(C616+D616+I616+N616+S616+Y616)*$Z$7</f>
        <v>162.45422448115372</v>
      </c>
      <c r="AA616" s="459">
        <f>C616+D616+I616+N616+S616+Y616+Z616</f>
        <v>287.4009728478876</v>
      </c>
      <c r="AB616" s="460">
        <v>0.3</v>
      </c>
      <c r="AC616" s="461">
        <f>AA616*(1+AB616)</f>
        <v>373.62126470225388</v>
      </c>
      <c r="AD616" s="448"/>
      <c r="AI616" s="449"/>
      <c r="AJ616" s="462"/>
      <c r="AK616" s="463"/>
      <c r="AM616" s="464"/>
      <c r="AN616" s="143"/>
      <c r="AO616" s="464"/>
      <c r="AP616" s="449"/>
      <c r="AQ616" s="449"/>
      <c r="AR616" s="449"/>
      <c r="AS616" s="449"/>
      <c r="AT616" s="449"/>
      <c r="AU616" s="464"/>
      <c r="AV616" s="464"/>
      <c r="AW616" s="465"/>
    </row>
    <row r="617" spans="1:53" ht="66" x14ac:dyDescent="0.25">
      <c r="A617" s="1126"/>
      <c r="B617" s="466" t="s">
        <v>1177</v>
      </c>
      <c r="C617" s="487"/>
      <c r="D617" s="451"/>
      <c r="E617" s="300" t="s">
        <v>1437</v>
      </c>
      <c r="F617" s="301" t="s">
        <v>1438</v>
      </c>
      <c r="G617" s="302">
        <v>0.74</v>
      </c>
      <c r="H617" s="301">
        <v>0.1</v>
      </c>
      <c r="I617" s="303">
        <f t="shared" ref="I617:I622" si="56">G617*H617</f>
        <v>7.3999999999999996E-2</v>
      </c>
      <c r="J617" s="290" t="s">
        <v>1291</v>
      </c>
      <c r="K617" s="304">
        <v>2</v>
      </c>
      <c r="L617" s="305">
        <v>750</v>
      </c>
      <c r="M617" s="304">
        <v>2</v>
      </c>
      <c r="N617" s="292">
        <v>1.1745000000000001</v>
      </c>
      <c r="O617" s="467" t="s">
        <v>1578</v>
      </c>
      <c r="P617" s="291">
        <v>188900</v>
      </c>
      <c r="Q617" s="372">
        <v>0.19670000000000001</v>
      </c>
      <c r="R617" s="291">
        <f>P617*Q617</f>
        <v>37156.630000000005</v>
      </c>
      <c r="S617" s="291">
        <v>8.1902000000000008</v>
      </c>
      <c r="T617" s="458" t="s">
        <v>1435</v>
      </c>
      <c r="U617" s="456">
        <v>6785401.3499999996</v>
      </c>
      <c r="V617" s="457">
        <v>1.32E-2</v>
      </c>
      <c r="W617" s="458">
        <v>1508.3</v>
      </c>
      <c r="X617" s="292">
        <v>59.38</v>
      </c>
      <c r="Y617" s="291">
        <v>9.1999999999999998E-3</v>
      </c>
      <c r="Z617" s="291"/>
      <c r="AA617" s="440"/>
      <c r="AB617" s="460">
        <v>0.3</v>
      </c>
      <c r="AC617" s="440"/>
      <c r="AD617" s="444"/>
      <c r="AE617" s="444"/>
    </row>
    <row r="618" spans="1:53" x14ac:dyDescent="0.25">
      <c r="A618" s="1126"/>
      <c r="B618" s="469" t="s">
        <v>1178</v>
      </c>
      <c r="C618" s="491">
        <f>C608</f>
        <v>43.888814515309463</v>
      </c>
      <c r="D618" s="451"/>
      <c r="E618" s="300" t="s">
        <v>1439</v>
      </c>
      <c r="F618" s="301" t="s">
        <v>1438</v>
      </c>
      <c r="G618" s="302">
        <v>0.27</v>
      </c>
      <c r="H618" s="301">
        <v>0.01</v>
      </c>
      <c r="I618" s="303">
        <f t="shared" si="56"/>
        <v>2.7000000000000001E-3</v>
      </c>
      <c r="J618" s="290" t="s">
        <v>1445</v>
      </c>
      <c r="K618" s="292">
        <v>2</v>
      </c>
      <c r="L618" s="311">
        <v>95</v>
      </c>
      <c r="M618" s="304">
        <v>2</v>
      </c>
      <c r="N618" s="292">
        <v>3.1146400000000001</v>
      </c>
      <c r="O618" s="291"/>
      <c r="P618" s="291"/>
      <c r="Q618" s="372"/>
      <c r="R618" s="291"/>
      <c r="S618" s="291"/>
      <c r="T618" s="291"/>
      <c r="U618" s="291"/>
      <c r="V618" s="291"/>
      <c r="W618" s="372"/>
      <c r="X618" s="291"/>
      <c r="Y618" s="291"/>
      <c r="Z618" s="291"/>
      <c r="AA618" s="440"/>
      <c r="AB618" s="460">
        <v>0.3</v>
      </c>
      <c r="AC618" s="440"/>
      <c r="AD618" s="444"/>
      <c r="AE618" s="444"/>
    </row>
    <row r="619" spans="1:53" x14ac:dyDescent="0.25">
      <c r="A619" s="1126"/>
      <c r="B619" s="452" t="s">
        <v>1179</v>
      </c>
      <c r="C619" s="487">
        <f>C609</f>
        <v>19.495759833054819</v>
      </c>
      <c r="D619" s="451"/>
      <c r="E619" s="300" t="s">
        <v>1440</v>
      </c>
      <c r="F619" s="301" t="s">
        <v>1441</v>
      </c>
      <c r="G619" s="302">
        <v>5.92</v>
      </c>
      <c r="H619" s="471">
        <v>1</v>
      </c>
      <c r="I619" s="303">
        <f t="shared" si="56"/>
        <v>5.92</v>
      </c>
      <c r="J619" s="290" t="s">
        <v>1513</v>
      </c>
      <c r="K619" s="292">
        <v>2</v>
      </c>
      <c r="L619" s="292">
        <v>25</v>
      </c>
      <c r="M619" s="304">
        <v>0.5</v>
      </c>
      <c r="N619" s="292">
        <v>0.13225000000000001</v>
      </c>
      <c r="O619" s="291"/>
      <c r="P619" s="291"/>
      <c r="Q619" s="372"/>
      <c r="R619" s="291"/>
      <c r="S619" s="291"/>
      <c r="T619" s="291"/>
      <c r="U619" s="291"/>
      <c r="V619" s="291"/>
      <c r="W619" s="372"/>
      <c r="X619" s="291"/>
      <c r="Y619" s="291"/>
      <c r="Z619" s="291"/>
      <c r="AA619" s="440"/>
      <c r="AB619" s="460">
        <v>0.3</v>
      </c>
      <c r="AC619" s="440"/>
      <c r="AD619" s="444"/>
      <c r="AE619" s="444"/>
    </row>
    <row r="620" spans="1:53" x14ac:dyDescent="0.25">
      <c r="A620" s="1126"/>
      <c r="B620" s="452" t="s">
        <v>1180</v>
      </c>
      <c r="C620" s="492"/>
      <c r="D620" s="451"/>
      <c r="E620" s="300" t="s">
        <v>1442</v>
      </c>
      <c r="F620" s="301" t="s">
        <v>1443</v>
      </c>
      <c r="G620" s="302">
        <v>419.5</v>
      </c>
      <c r="H620" s="301">
        <v>0.01</v>
      </c>
      <c r="I620" s="303">
        <f t="shared" si="56"/>
        <v>4.1950000000000003</v>
      </c>
      <c r="J620" s="290"/>
      <c r="K620" s="374"/>
      <c r="L620" s="292"/>
      <c r="M620" s="292"/>
      <c r="N620" s="292"/>
      <c r="O620" s="291"/>
      <c r="P620" s="291"/>
      <c r="Q620" s="291"/>
      <c r="R620" s="291"/>
      <c r="S620" s="291"/>
      <c r="T620" s="291"/>
      <c r="U620" s="291"/>
      <c r="V620" s="291"/>
      <c r="W620" s="291"/>
      <c r="X620" s="291"/>
      <c r="Y620" s="291"/>
      <c r="Z620" s="291"/>
      <c r="AA620" s="440"/>
      <c r="AB620" s="460">
        <v>0.3</v>
      </c>
      <c r="AC620" s="440"/>
    </row>
    <row r="621" spans="1:53" x14ac:dyDescent="0.25">
      <c r="A621" s="1126"/>
      <c r="B621" s="469" t="s">
        <v>1178</v>
      </c>
      <c r="C621" s="493">
        <v>1</v>
      </c>
      <c r="D621" s="451"/>
      <c r="E621" s="300" t="s">
        <v>1444</v>
      </c>
      <c r="F621" s="301" t="s">
        <v>1443</v>
      </c>
      <c r="G621" s="302">
        <v>872</v>
      </c>
      <c r="H621" s="301">
        <v>3.0000000000000001E-3</v>
      </c>
      <c r="I621" s="303">
        <f t="shared" si="56"/>
        <v>2.6160000000000001</v>
      </c>
      <c r="J621" s="290"/>
      <c r="K621" s="374"/>
      <c r="L621" s="292"/>
      <c r="M621" s="292"/>
      <c r="N621" s="292"/>
      <c r="O621" s="291"/>
      <c r="P621" s="291"/>
      <c r="Q621" s="291"/>
      <c r="R621" s="291"/>
      <c r="S621" s="291"/>
      <c r="T621" s="291"/>
      <c r="U621" s="291"/>
      <c r="V621" s="291"/>
      <c r="W621" s="291"/>
      <c r="X621" s="291"/>
      <c r="Y621" s="291"/>
      <c r="Z621" s="291"/>
      <c r="AA621" s="440"/>
      <c r="AB621" s="460">
        <v>0.3</v>
      </c>
      <c r="AC621" s="440"/>
    </row>
    <row r="622" spans="1:53" x14ac:dyDescent="0.25">
      <c r="A622" s="1126"/>
      <c r="B622" s="452" t="s">
        <v>1179</v>
      </c>
      <c r="C622" s="493">
        <v>1</v>
      </c>
      <c r="D622" s="451"/>
      <c r="E622" s="494" t="s">
        <v>1700</v>
      </c>
      <c r="F622" s="376" t="s">
        <v>1441</v>
      </c>
      <c r="G622" s="302">
        <v>23.33</v>
      </c>
      <c r="H622" s="301">
        <v>1</v>
      </c>
      <c r="I622" s="303">
        <f t="shared" si="56"/>
        <v>23.33</v>
      </c>
      <c r="J622" s="290"/>
      <c r="K622" s="374"/>
      <c r="L622" s="305"/>
      <c r="M622" s="304"/>
      <c r="N622" s="292"/>
      <c r="O622" s="291"/>
      <c r="P622" s="291"/>
      <c r="Q622" s="291"/>
      <c r="R622" s="291"/>
      <c r="S622" s="291"/>
      <c r="T622" s="291"/>
      <c r="U622" s="291"/>
      <c r="V622" s="291"/>
      <c r="W622" s="291"/>
      <c r="X622" s="291"/>
      <c r="Y622" s="291"/>
      <c r="Z622" s="291"/>
      <c r="AA622" s="440"/>
      <c r="AB622" s="460">
        <v>0.3</v>
      </c>
      <c r="AC622" s="440"/>
    </row>
    <row r="623" spans="1:53" x14ac:dyDescent="0.25">
      <c r="A623" s="1126"/>
      <c r="B623" s="474" t="s">
        <v>1181</v>
      </c>
      <c r="C623" s="487">
        <f>C618*C621+C619*C622</f>
        <v>63.384574348364282</v>
      </c>
      <c r="D623" s="451"/>
      <c r="E623" s="490"/>
      <c r="F623" s="578"/>
      <c r="G623" s="302"/>
      <c r="H623" s="454"/>
      <c r="I623" s="303"/>
      <c r="J623" s="290"/>
      <c r="K623" s="374"/>
      <c r="L623" s="292"/>
      <c r="M623" s="292"/>
      <c r="N623" s="292"/>
      <c r="O623" s="291"/>
      <c r="P623" s="291"/>
      <c r="Q623" s="291"/>
      <c r="R623" s="291"/>
      <c r="S623" s="291"/>
      <c r="T623" s="291"/>
      <c r="U623" s="291"/>
      <c r="V623" s="291"/>
      <c r="W623" s="291"/>
      <c r="X623" s="291"/>
      <c r="Y623" s="291"/>
      <c r="Z623" s="291"/>
      <c r="AA623" s="440"/>
      <c r="AB623" s="460">
        <v>0.3</v>
      </c>
      <c r="AC623" s="440"/>
    </row>
    <row r="624" spans="1:53" x14ac:dyDescent="0.25">
      <c r="A624" s="1126"/>
      <c r="B624" s="474"/>
      <c r="C624" s="493"/>
      <c r="D624" s="475"/>
      <c r="E624" s="490"/>
      <c r="F624" s="578"/>
      <c r="G624" s="302"/>
      <c r="H624" s="454"/>
      <c r="I624" s="303"/>
      <c r="J624" s="290"/>
      <c r="K624" s="374"/>
      <c r="L624" s="292"/>
      <c r="M624" s="292"/>
      <c r="N624" s="292"/>
      <c r="O624" s="291"/>
      <c r="P624" s="291"/>
      <c r="Q624" s="291"/>
      <c r="R624" s="291"/>
      <c r="S624" s="291"/>
      <c r="T624" s="291"/>
      <c r="U624" s="291"/>
      <c r="V624" s="291"/>
      <c r="W624" s="291"/>
      <c r="X624" s="291"/>
      <c r="Y624" s="291"/>
      <c r="Z624" s="291"/>
      <c r="AA624" s="440"/>
      <c r="AB624" s="460">
        <v>0.3</v>
      </c>
      <c r="AC624" s="440"/>
    </row>
    <row r="625" spans="1:49" ht="56.25" customHeight="1" x14ac:dyDescent="0.25">
      <c r="A625" s="1126" t="s">
        <v>1582</v>
      </c>
      <c r="B625" s="439" t="s">
        <v>567</v>
      </c>
      <c r="C625" s="487"/>
      <c r="D625" s="489"/>
      <c r="E625" s="488" t="s">
        <v>488</v>
      </c>
      <c r="F625" s="442" t="s">
        <v>837</v>
      </c>
      <c r="G625" s="439" t="s">
        <v>489</v>
      </c>
      <c r="H625" s="441" t="s">
        <v>1170</v>
      </c>
      <c r="I625" s="442" t="s">
        <v>838</v>
      </c>
      <c r="J625" s="280" t="s">
        <v>1171</v>
      </c>
      <c r="K625" s="280" t="s">
        <v>490</v>
      </c>
      <c r="L625" s="281" t="s">
        <v>489</v>
      </c>
      <c r="M625" s="280" t="s">
        <v>1172</v>
      </c>
      <c r="N625" s="442" t="s">
        <v>838</v>
      </c>
      <c r="O625" s="280" t="s">
        <v>1171</v>
      </c>
      <c r="P625" s="280" t="s">
        <v>826</v>
      </c>
      <c r="Q625" s="280" t="s">
        <v>1173</v>
      </c>
      <c r="R625" s="280" t="s">
        <v>1174</v>
      </c>
      <c r="S625" s="280" t="s">
        <v>839</v>
      </c>
      <c r="T625" s="280" t="s">
        <v>1171</v>
      </c>
      <c r="U625" s="280" t="s">
        <v>1392</v>
      </c>
      <c r="V625" s="280" t="s">
        <v>841</v>
      </c>
      <c r="W625" s="282" t="s">
        <v>1173</v>
      </c>
      <c r="X625" s="280" t="s">
        <v>1394</v>
      </c>
      <c r="Y625" s="280" t="s">
        <v>839</v>
      </c>
      <c r="Z625" s="283"/>
      <c r="AA625" s="440"/>
      <c r="AB625" s="460">
        <v>0.3</v>
      </c>
      <c r="AC625" s="440"/>
      <c r="AD625" s="444"/>
      <c r="AQ625" s="449"/>
      <c r="AR625" s="449"/>
      <c r="AS625" s="449"/>
    </row>
    <row r="626" spans="1:49" ht="12" customHeight="1" x14ac:dyDescent="0.25">
      <c r="A626" s="1126"/>
      <c r="B626" s="450" t="s">
        <v>1175</v>
      </c>
      <c r="C626" s="487">
        <f>C633</f>
        <v>95.076861522546423</v>
      </c>
      <c r="D626" s="489">
        <f>C626*$D$7</f>
        <v>19.205526027554377</v>
      </c>
      <c r="E626" s="490" t="s">
        <v>1176</v>
      </c>
      <c r="F626" s="453"/>
      <c r="G626" s="454"/>
      <c r="H626" s="454"/>
      <c r="I626" s="455">
        <f>SUM(I627:I634)</f>
        <v>36.137699999999995</v>
      </c>
      <c r="J626" s="290" t="s">
        <v>1176</v>
      </c>
      <c r="K626" s="357"/>
      <c r="L626" s="291"/>
      <c r="M626" s="291"/>
      <c r="N626" s="292">
        <f>SUM(N627:N634)</f>
        <v>4.4213899999999997</v>
      </c>
      <c r="O626" s="291" t="s">
        <v>1176</v>
      </c>
      <c r="P626" s="291"/>
      <c r="Q626" s="293"/>
      <c r="R626" s="294"/>
      <c r="S626" s="292">
        <f>SUM(S627:S634)</f>
        <v>8.1902000000000008</v>
      </c>
      <c r="T626" s="292"/>
      <c r="U626" s="292"/>
      <c r="V626" s="292"/>
      <c r="W626" s="292"/>
      <c r="X626" s="292"/>
      <c r="Y626" s="292">
        <f>SUM(Y627:Y634)</f>
        <v>9.1999999999999998E-3</v>
      </c>
      <c r="Z626" s="296">
        <f>(C626+D626+I626+N626+S626+Y626)*$Z$7</f>
        <v>211.98374241310185</v>
      </c>
      <c r="AA626" s="459">
        <f>C626+D626+I626+N626+S626+Y626+Z626</f>
        <v>375.02461996320267</v>
      </c>
      <c r="AB626" s="460">
        <v>0.3</v>
      </c>
      <c r="AC626" s="461">
        <f>AA626*(1+AB626)</f>
        <v>487.5320059521635</v>
      </c>
      <c r="AD626" s="448"/>
      <c r="AI626" s="449"/>
      <c r="AJ626" s="462"/>
      <c r="AK626" s="463"/>
      <c r="AM626" s="464"/>
      <c r="AN626" s="143"/>
      <c r="AO626" s="464"/>
      <c r="AP626" s="449"/>
      <c r="AQ626" s="449"/>
      <c r="AR626" s="449"/>
      <c r="AS626" s="449"/>
      <c r="AT626" s="449"/>
      <c r="AU626" s="464"/>
      <c r="AV626" s="464"/>
      <c r="AW626" s="465"/>
    </row>
    <row r="627" spans="1:49" ht="13.95" customHeight="1" x14ac:dyDescent="0.25">
      <c r="A627" s="1126"/>
      <c r="B627" s="466" t="s">
        <v>1177</v>
      </c>
      <c r="C627" s="487"/>
      <c r="D627" s="451"/>
      <c r="E627" s="300" t="s">
        <v>1437</v>
      </c>
      <c r="F627" s="301" t="s">
        <v>1438</v>
      </c>
      <c r="G627" s="302">
        <v>0.74</v>
      </c>
      <c r="H627" s="301">
        <v>0.1</v>
      </c>
      <c r="I627" s="303">
        <f t="shared" ref="I627:I632" si="57">G627*H627</f>
        <v>7.3999999999999996E-2</v>
      </c>
      <c r="J627" s="290" t="s">
        <v>1291</v>
      </c>
      <c r="K627" s="304">
        <v>2</v>
      </c>
      <c r="L627" s="305">
        <v>750</v>
      </c>
      <c r="M627" s="304">
        <v>2</v>
      </c>
      <c r="N627" s="292">
        <v>1.1745000000000001</v>
      </c>
      <c r="O627" s="467" t="s">
        <v>1578</v>
      </c>
      <c r="P627" s="291">
        <v>188900</v>
      </c>
      <c r="Q627" s="372">
        <v>0.19670000000000001</v>
      </c>
      <c r="R627" s="291">
        <f>P627*Q627</f>
        <v>37156.630000000005</v>
      </c>
      <c r="S627" s="291">
        <v>8.1902000000000008</v>
      </c>
      <c r="T627" s="458" t="s">
        <v>1435</v>
      </c>
      <c r="U627" s="456">
        <v>6785401.3499999996</v>
      </c>
      <c r="V627" s="457">
        <v>1.32E-2</v>
      </c>
      <c r="W627" s="458">
        <v>1508.3</v>
      </c>
      <c r="X627" s="292">
        <v>59.38</v>
      </c>
      <c r="Y627" s="291">
        <v>9.1999999999999998E-3</v>
      </c>
      <c r="Z627" s="291"/>
      <c r="AA627" s="440"/>
      <c r="AB627" s="460">
        <v>0.3</v>
      </c>
      <c r="AC627" s="440"/>
      <c r="AD627" s="444"/>
      <c r="AE627" s="444"/>
    </row>
    <row r="628" spans="1:49" x14ac:dyDescent="0.25">
      <c r="A628" s="1126"/>
      <c r="B628" s="469" t="s">
        <v>1178</v>
      </c>
      <c r="C628" s="491">
        <f>C618</f>
        <v>43.888814515309463</v>
      </c>
      <c r="D628" s="451"/>
      <c r="E628" s="300" t="s">
        <v>1439</v>
      </c>
      <c r="F628" s="301" t="s">
        <v>1438</v>
      </c>
      <c r="G628" s="302">
        <v>0.27</v>
      </c>
      <c r="H628" s="301">
        <v>0.01</v>
      </c>
      <c r="I628" s="303">
        <f t="shared" si="57"/>
        <v>2.7000000000000001E-3</v>
      </c>
      <c r="J628" s="290" t="s">
        <v>1445</v>
      </c>
      <c r="K628" s="292">
        <v>2</v>
      </c>
      <c r="L628" s="311">
        <v>95</v>
      </c>
      <c r="M628" s="304">
        <v>2</v>
      </c>
      <c r="N628" s="292">
        <v>3.1146400000000001</v>
      </c>
      <c r="O628" s="291"/>
      <c r="P628" s="291"/>
      <c r="Q628" s="372"/>
      <c r="R628" s="291"/>
      <c r="S628" s="291"/>
      <c r="T628" s="291"/>
      <c r="U628" s="291"/>
      <c r="V628" s="291"/>
      <c r="W628" s="372"/>
      <c r="X628" s="291"/>
      <c r="Y628" s="291"/>
      <c r="Z628" s="291"/>
      <c r="AA628" s="440"/>
      <c r="AB628" s="460">
        <v>0.3</v>
      </c>
      <c r="AC628" s="440"/>
      <c r="AD628" s="444"/>
      <c r="AE628" s="444"/>
    </row>
    <row r="629" spans="1:49" x14ac:dyDescent="0.25">
      <c r="A629" s="1126"/>
      <c r="B629" s="452" t="s">
        <v>1179</v>
      </c>
      <c r="C629" s="487">
        <f>C619</f>
        <v>19.495759833054819</v>
      </c>
      <c r="D629" s="451"/>
      <c r="E629" s="300" t="s">
        <v>1440</v>
      </c>
      <c r="F629" s="301" t="s">
        <v>1441</v>
      </c>
      <c r="G629" s="302">
        <v>5.92</v>
      </c>
      <c r="H629" s="471">
        <v>1</v>
      </c>
      <c r="I629" s="303">
        <f t="shared" si="57"/>
        <v>5.92</v>
      </c>
      <c r="J629" s="290" t="s">
        <v>1513</v>
      </c>
      <c r="K629" s="292">
        <v>2</v>
      </c>
      <c r="L629" s="292">
        <v>25</v>
      </c>
      <c r="M629" s="304">
        <v>0.5</v>
      </c>
      <c r="N629" s="292">
        <v>0.13225000000000001</v>
      </c>
      <c r="O629" s="291"/>
      <c r="P629" s="291"/>
      <c r="Q629" s="372"/>
      <c r="R629" s="291"/>
      <c r="S629" s="291"/>
      <c r="T629" s="291"/>
      <c r="U629" s="291"/>
      <c r="V629" s="291"/>
      <c r="W629" s="372"/>
      <c r="X629" s="291"/>
      <c r="Y629" s="291"/>
      <c r="Z629" s="291"/>
      <c r="AA629" s="440"/>
      <c r="AB629" s="460">
        <v>0.3</v>
      </c>
      <c r="AC629" s="440"/>
      <c r="AD629" s="444"/>
      <c r="AE629" s="444"/>
    </row>
    <row r="630" spans="1:49" x14ac:dyDescent="0.25">
      <c r="A630" s="1126"/>
      <c r="B630" s="452" t="s">
        <v>1180</v>
      </c>
      <c r="C630" s="492"/>
      <c r="D630" s="451"/>
      <c r="E630" s="300" t="s">
        <v>1442</v>
      </c>
      <c r="F630" s="301" t="s">
        <v>1443</v>
      </c>
      <c r="G630" s="302">
        <v>419.5</v>
      </c>
      <c r="H630" s="301">
        <v>0.01</v>
      </c>
      <c r="I630" s="303">
        <f t="shared" si="57"/>
        <v>4.1950000000000003</v>
      </c>
      <c r="J630" s="290"/>
      <c r="K630" s="374"/>
      <c r="L630" s="292"/>
      <c r="M630" s="292"/>
      <c r="N630" s="292"/>
      <c r="O630" s="291"/>
      <c r="P630" s="291"/>
      <c r="Q630" s="291"/>
      <c r="R630" s="291"/>
      <c r="S630" s="291"/>
      <c r="T630" s="291"/>
      <c r="U630" s="291"/>
      <c r="V630" s="291"/>
      <c r="W630" s="291"/>
      <c r="X630" s="291"/>
      <c r="Y630" s="291"/>
      <c r="Z630" s="291"/>
      <c r="AA630" s="440"/>
      <c r="AB630" s="460">
        <v>0.3</v>
      </c>
      <c r="AC630" s="440"/>
    </row>
    <row r="631" spans="1:49" x14ac:dyDescent="0.25">
      <c r="A631" s="1126"/>
      <c r="B631" s="469" t="s">
        <v>1178</v>
      </c>
      <c r="C631" s="493">
        <v>1.5</v>
      </c>
      <c r="D631" s="451"/>
      <c r="E631" s="300" t="s">
        <v>1444</v>
      </c>
      <c r="F631" s="301" t="s">
        <v>1443</v>
      </c>
      <c r="G631" s="302">
        <v>872</v>
      </c>
      <c r="H631" s="301">
        <v>3.0000000000000001E-3</v>
      </c>
      <c r="I631" s="303">
        <f t="shared" si="57"/>
        <v>2.6160000000000001</v>
      </c>
      <c r="J631" s="290"/>
      <c r="K631" s="374"/>
      <c r="L631" s="292"/>
      <c r="M631" s="292"/>
      <c r="N631" s="292"/>
      <c r="O631" s="291"/>
      <c r="P631" s="291"/>
      <c r="Q631" s="291"/>
      <c r="R631" s="291"/>
      <c r="S631" s="291"/>
      <c r="T631" s="291"/>
      <c r="U631" s="291"/>
      <c r="V631" s="291"/>
      <c r="W631" s="291"/>
      <c r="X631" s="291"/>
      <c r="Y631" s="291"/>
      <c r="Z631" s="291"/>
      <c r="AA631" s="440"/>
      <c r="AB631" s="460">
        <v>0.3</v>
      </c>
      <c r="AC631" s="440"/>
    </row>
    <row r="632" spans="1:49" x14ac:dyDescent="0.25">
      <c r="A632" s="1126"/>
      <c r="B632" s="452" t="s">
        <v>1179</v>
      </c>
      <c r="C632" s="493">
        <v>1.5</v>
      </c>
      <c r="D632" s="451"/>
      <c r="E632" s="494" t="s">
        <v>1700</v>
      </c>
      <c r="F632" s="376" t="s">
        <v>1441</v>
      </c>
      <c r="G632" s="302">
        <v>23.33</v>
      </c>
      <c r="H632" s="301">
        <v>1</v>
      </c>
      <c r="I632" s="303">
        <f t="shared" si="57"/>
        <v>23.33</v>
      </c>
      <c r="J632" s="290"/>
      <c r="K632" s="374"/>
      <c r="L632" s="305"/>
      <c r="M632" s="304"/>
      <c r="N632" s="292"/>
      <c r="O632" s="291"/>
      <c r="P632" s="291"/>
      <c r="Q632" s="291"/>
      <c r="R632" s="291"/>
      <c r="S632" s="291"/>
      <c r="T632" s="291"/>
      <c r="U632" s="291"/>
      <c r="V632" s="291"/>
      <c r="W632" s="291"/>
      <c r="X632" s="291"/>
      <c r="Y632" s="291"/>
      <c r="Z632" s="291"/>
      <c r="AA632" s="440"/>
      <c r="AB632" s="460">
        <v>0.3</v>
      </c>
      <c r="AC632" s="440"/>
    </row>
    <row r="633" spans="1:49" x14ac:dyDescent="0.25">
      <c r="A633" s="1126"/>
      <c r="B633" s="474" t="s">
        <v>1181</v>
      </c>
      <c r="C633" s="487">
        <f>C628*C631+C629*C632</f>
        <v>95.076861522546423</v>
      </c>
      <c r="D633" s="451"/>
      <c r="E633" s="490"/>
      <c r="F633" s="578"/>
      <c r="G633" s="302"/>
      <c r="H633" s="454"/>
      <c r="I633" s="303"/>
      <c r="J633" s="290"/>
      <c r="K633" s="374"/>
      <c r="L633" s="292"/>
      <c r="M633" s="292"/>
      <c r="N633" s="292"/>
      <c r="O633" s="291"/>
      <c r="P633" s="291"/>
      <c r="Q633" s="291"/>
      <c r="R633" s="291"/>
      <c r="S633" s="291"/>
      <c r="T633" s="291"/>
      <c r="U633" s="291"/>
      <c r="V633" s="291"/>
      <c r="W633" s="291"/>
      <c r="X633" s="291"/>
      <c r="Y633" s="291"/>
      <c r="Z633" s="291"/>
      <c r="AA633" s="440"/>
      <c r="AB633" s="460">
        <v>0.3</v>
      </c>
      <c r="AC633" s="440"/>
    </row>
    <row r="634" spans="1:49" x14ac:dyDescent="0.25">
      <c r="A634" s="1126"/>
      <c r="B634" s="474"/>
      <c r="C634" s="493"/>
      <c r="D634" s="475"/>
      <c r="E634" s="490"/>
      <c r="F634" s="578"/>
      <c r="G634" s="302"/>
      <c r="H634" s="454"/>
      <c r="I634" s="303"/>
      <c r="J634" s="290"/>
      <c r="K634" s="374"/>
      <c r="L634" s="292"/>
      <c r="M634" s="292"/>
      <c r="N634" s="292"/>
      <c r="O634" s="291"/>
      <c r="P634" s="291"/>
      <c r="Q634" s="291"/>
      <c r="R634" s="291"/>
      <c r="S634" s="291"/>
      <c r="T634" s="291"/>
      <c r="U634" s="291"/>
      <c r="V634" s="291"/>
      <c r="W634" s="291"/>
      <c r="X634" s="291"/>
      <c r="Y634" s="291"/>
      <c r="Z634" s="291"/>
      <c r="AA634" s="440"/>
      <c r="AB634" s="460">
        <v>0.3</v>
      </c>
      <c r="AC634" s="440"/>
    </row>
    <row r="635" spans="1:49" ht="56.25" customHeight="1" x14ac:dyDescent="0.25">
      <c r="A635" s="1126" t="s">
        <v>1701</v>
      </c>
      <c r="B635" s="439" t="s">
        <v>568</v>
      </c>
      <c r="C635" s="487"/>
      <c r="D635" s="489"/>
      <c r="E635" s="488" t="s">
        <v>488</v>
      </c>
      <c r="F635" s="442" t="s">
        <v>837</v>
      </c>
      <c r="G635" s="439" t="s">
        <v>489</v>
      </c>
      <c r="H635" s="441" t="s">
        <v>1170</v>
      </c>
      <c r="I635" s="442" t="s">
        <v>838</v>
      </c>
      <c r="J635" s="280" t="s">
        <v>1171</v>
      </c>
      <c r="K635" s="280" t="s">
        <v>490</v>
      </c>
      <c r="L635" s="281" t="s">
        <v>489</v>
      </c>
      <c r="M635" s="280" t="s">
        <v>1172</v>
      </c>
      <c r="N635" s="442" t="s">
        <v>838</v>
      </c>
      <c r="O635" s="280" t="s">
        <v>1171</v>
      </c>
      <c r="P635" s="280" t="s">
        <v>826</v>
      </c>
      <c r="Q635" s="280" t="s">
        <v>1173</v>
      </c>
      <c r="R635" s="280" t="s">
        <v>1174</v>
      </c>
      <c r="S635" s="280" t="s">
        <v>839</v>
      </c>
      <c r="T635" s="280" t="s">
        <v>1171</v>
      </c>
      <c r="U635" s="280" t="s">
        <v>1392</v>
      </c>
      <c r="V635" s="280" t="s">
        <v>841</v>
      </c>
      <c r="W635" s="282" t="s">
        <v>1173</v>
      </c>
      <c r="X635" s="280" t="s">
        <v>1394</v>
      </c>
      <c r="Y635" s="280" t="s">
        <v>839</v>
      </c>
      <c r="Z635" s="283"/>
      <c r="AA635" s="440"/>
      <c r="AB635" s="460">
        <v>0.3</v>
      </c>
      <c r="AC635" s="440"/>
      <c r="AD635" s="444"/>
      <c r="AQ635" s="449"/>
      <c r="AR635" s="449"/>
      <c r="AS635" s="449"/>
    </row>
    <row r="636" spans="1:49" ht="12" customHeight="1" x14ac:dyDescent="0.25">
      <c r="A636" s="1126"/>
      <c r="B636" s="450" t="s">
        <v>1175</v>
      </c>
      <c r="C636" s="487">
        <f>C643</f>
        <v>241.34177005232979</v>
      </c>
      <c r="D636" s="489">
        <f>C636*$D$7</f>
        <v>48.751037550570622</v>
      </c>
      <c r="E636" s="490" t="s">
        <v>1176</v>
      </c>
      <c r="F636" s="453"/>
      <c r="G636" s="454"/>
      <c r="H636" s="454"/>
      <c r="I636" s="455">
        <f>SUM(I637:I644)</f>
        <v>39.381699999999995</v>
      </c>
      <c r="J636" s="290" t="s">
        <v>1176</v>
      </c>
      <c r="K636" s="357"/>
      <c r="L636" s="291"/>
      <c r="M636" s="291"/>
      <c r="N636" s="292">
        <f>SUM(N637:N644)</f>
        <v>4.4213899999999997</v>
      </c>
      <c r="O636" s="291" t="s">
        <v>1176</v>
      </c>
      <c r="P636" s="291"/>
      <c r="Q636" s="293"/>
      <c r="R636" s="294"/>
      <c r="S636" s="292">
        <f>SUM(S637:S644)</f>
        <v>8.1902000000000008</v>
      </c>
      <c r="T636" s="292"/>
      <c r="U636" s="292"/>
      <c r="V636" s="292"/>
      <c r="W636" s="292"/>
      <c r="X636" s="292"/>
      <c r="Y636" s="292">
        <f>SUM(Y637:Y644)</f>
        <v>9.1999999999999998E-3</v>
      </c>
      <c r="Z636" s="296">
        <f>(C636+D636+I636+N636+S636+Y636)*$Z$7</f>
        <v>444.78809570625884</v>
      </c>
      <c r="AA636" s="459">
        <f>C636+D636+I636+N636+S636+Y636+Z636</f>
        <v>786.88339330915926</v>
      </c>
      <c r="AB636" s="460">
        <v>0.3</v>
      </c>
      <c r="AC636" s="461">
        <f>AA636*(1+AB636)</f>
        <v>1022.9484113019071</v>
      </c>
      <c r="AD636" s="448"/>
      <c r="AI636" s="449"/>
      <c r="AJ636" s="462"/>
      <c r="AK636" s="463"/>
      <c r="AM636" s="464"/>
      <c r="AN636" s="143"/>
      <c r="AO636" s="464"/>
      <c r="AP636" s="449"/>
      <c r="AQ636" s="449"/>
      <c r="AR636" s="449"/>
      <c r="AS636" s="449"/>
      <c r="AT636" s="449"/>
      <c r="AU636" s="464"/>
      <c r="AV636" s="464"/>
      <c r="AW636" s="465"/>
    </row>
    <row r="637" spans="1:49" ht="63.6" customHeight="1" x14ac:dyDescent="0.25">
      <c r="A637" s="1126"/>
      <c r="B637" s="466" t="s">
        <v>1177</v>
      </c>
      <c r="C637" s="487"/>
      <c r="D637" s="451"/>
      <c r="E637" s="300" t="s">
        <v>1437</v>
      </c>
      <c r="F637" s="301" t="s">
        <v>1438</v>
      </c>
      <c r="G637" s="302">
        <v>0.74</v>
      </c>
      <c r="H637" s="301">
        <v>0.1</v>
      </c>
      <c r="I637" s="303">
        <f t="shared" ref="I637:I643" si="58">G637*H637</f>
        <v>7.3999999999999996E-2</v>
      </c>
      <c r="J637" s="290" t="s">
        <v>1291</v>
      </c>
      <c r="K637" s="304">
        <v>2</v>
      </c>
      <c r="L637" s="305">
        <v>750</v>
      </c>
      <c r="M637" s="304">
        <v>2</v>
      </c>
      <c r="N637" s="292">
        <v>1.1745000000000001</v>
      </c>
      <c r="O637" s="467" t="s">
        <v>1578</v>
      </c>
      <c r="P637" s="291">
        <v>188900</v>
      </c>
      <c r="Q637" s="372">
        <v>0.19670000000000001</v>
      </c>
      <c r="R637" s="291">
        <f>P637*Q637</f>
        <v>37156.630000000005</v>
      </c>
      <c r="S637" s="291">
        <v>8.1902000000000008</v>
      </c>
      <c r="T637" s="458" t="s">
        <v>1435</v>
      </c>
      <c r="U637" s="456">
        <v>6785401.3499999996</v>
      </c>
      <c r="V637" s="457">
        <v>1.32E-2</v>
      </c>
      <c r="W637" s="458">
        <v>1508.3</v>
      </c>
      <c r="X637" s="292">
        <v>59.38</v>
      </c>
      <c r="Y637" s="291">
        <v>9.1999999999999998E-3</v>
      </c>
      <c r="Z637" s="291"/>
      <c r="AA637" s="440"/>
      <c r="AB637" s="460">
        <v>0.3</v>
      </c>
      <c r="AC637" s="440"/>
      <c r="AD637" s="444"/>
      <c r="AE637" s="444"/>
    </row>
    <row r="638" spans="1:49" x14ac:dyDescent="0.25">
      <c r="A638" s="1126"/>
      <c r="B638" s="469" t="s">
        <v>1178</v>
      </c>
      <c r="C638" s="491">
        <f>C628</f>
        <v>43.888814515309463</v>
      </c>
      <c r="D638" s="451"/>
      <c r="E638" s="300" t="s">
        <v>1439</v>
      </c>
      <c r="F638" s="301" t="s">
        <v>1438</v>
      </c>
      <c r="G638" s="302">
        <v>0.27</v>
      </c>
      <c r="H638" s="301">
        <v>0.01</v>
      </c>
      <c r="I638" s="303">
        <f t="shared" si="58"/>
        <v>2.7000000000000001E-3</v>
      </c>
      <c r="J638" s="290" t="s">
        <v>1445</v>
      </c>
      <c r="K638" s="292">
        <v>2</v>
      </c>
      <c r="L638" s="311">
        <v>95</v>
      </c>
      <c r="M638" s="304">
        <v>2</v>
      </c>
      <c r="N638" s="292">
        <v>3.1146400000000001</v>
      </c>
      <c r="O638" s="291"/>
      <c r="P638" s="291"/>
      <c r="Q638" s="372"/>
      <c r="R638" s="291"/>
      <c r="S638" s="291"/>
      <c r="T638" s="291"/>
      <c r="U638" s="291"/>
      <c r="V638" s="291"/>
      <c r="W638" s="372"/>
      <c r="X638" s="291"/>
      <c r="Y638" s="291"/>
      <c r="Z638" s="291"/>
      <c r="AA638" s="440"/>
      <c r="AB638" s="460">
        <v>0.3</v>
      </c>
      <c r="AC638" s="440"/>
      <c r="AD638" s="444"/>
      <c r="AE638" s="444"/>
    </row>
    <row r="639" spans="1:49" x14ac:dyDescent="0.25">
      <c r="A639" s="1126"/>
      <c r="B639" s="452" t="s">
        <v>1179</v>
      </c>
      <c r="C639" s="487">
        <f>C629</f>
        <v>19.495759833054819</v>
      </c>
      <c r="D639" s="451"/>
      <c r="E639" s="300" t="s">
        <v>1440</v>
      </c>
      <c r="F639" s="301" t="s">
        <v>1441</v>
      </c>
      <c r="G639" s="302">
        <v>5.92</v>
      </c>
      <c r="H639" s="471">
        <v>1</v>
      </c>
      <c r="I639" s="303">
        <f t="shared" si="58"/>
        <v>5.92</v>
      </c>
      <c r="J639" s="290" t="s">
        <v>1513</v>
      </c>
      <c r="K639" s="292">
        <v>2</v>
      </c>
      <c r="L639" s="292">
        <v>25</v>
      </c>
      <c r="M639" s="304">
        <v>0.5</v>
      </c>
      <c r="N639" s="292">
        <v>0.13225000000000001</v>
      </c>
      <c r="O639" s="291"/>
      <c r="P639" s="291"/>
      <c r="Q639" s="372"/>
      <c r="R639" s="291"/>
      <c r="S639" s="291"/>
      <c r="T639" s="291"/>
      <c r="U639" s="291"/>
      <c r="V639" s="291"/>
      <c r="W639" s="372"/>
      <c r="X639" s="291"/>
      <c r="Y639" s="291"/>
      <c r="Z639" s="291"/>
      <c r="AA639" s="440"/>
      <c r="AB639" s="460">
        <v>0.3</v>
      </c>
      <c r="AC639" s="440"/>
      <c r="AD639" s="444"/>
      <c r="AE639" s="444"/>
    </row>
    <row r="640" spans="1:49" x14ac:dyDescent="0.25">
      <c r="A640" s="1126"/>
      <c r="B640" s="452" t="s">
        <v>1180</v>
      </c>
      <c r="C640" s="492"/>
      <c r="D640" s="451"/>
      <c r="E640" s="300" t="s">
        <v>1442</v>
      </c>
      <c r="F640" s="301" t="s">
        <v>1443</v>
      </c>
      <c r="G640" s="302">
        <v>419.5</v>
      </c>
      <c r="H640" s="301">
        <v>0.01</v>
      </c>
      <c r="I640" s="303">
        <f t="shared" si="58"/>
        <v>4.1950000000000003</v>
      </c>
      <c r="J640" s="290"/>
      <c r="K640" s="374"/>
      <c r="L640" s="292"/>
      <c r="M640" s="292"/>
      <c r="N640" s="292"/>
      <c r="O640" s="291"/>
      <c r="P640" s="291"/>
      <c r="Q640" s="291"/>
      <c r="R640" s="291"/>
      <c r="S640" s="291"/>
      <c r="T640" s="291"/>
      <c r="U640" s="291"/>
      <c r="V640" s="291"/>
      <c r="W640" s="291"/>
      <c r="X640" s="291"/>
      <c r="Y640" s="291"/>
      <c r="Z640" s="291"/>
      <c r="AA640" s="440"/>
      <c r="AB640" s="460">
        <v>0.3</v>
      </c>
      <c r="AC640" s="440"/>
    </row>
    <row r="641" spans="1:49" x14ac:dyDescent="0.25">
      <c r="A641" s="1126"/>
      <c r="B641" s="469" t="s">
        <v>1178</v>
      </c>
      <c r="C641" s="493">
        <v>3.5</v>
      </c>
      <c r="D641" s="451"/>
      <c r="E641" s="300" t="s">
        <v>1444</v>
      </c>
      <c r="F641" s="301" t="s">
        <v>1443</v>
      </c>
      <c r="G641" s="302">
        <v>872</v>
      </c>
      <c r="H641" s="301">
        <v>5.0000000000000001E-3</v>
      </c>
      <c r="I641" s="303">
        <f t="shared" si="58"/>
        <v>4.3600000000000003</v>
      </c>
      <c r="J641" s="290"/>
      <c r="K641" s="374"/>
      <c r="L641" s="292"/>
      <c r="M641" s="292"/>
      <c r="N641" s="292"/>
      <c r="O641" s="291"/>
      <c r="P641" s="291"/>
      <c r="Q641" s="291"/>
      <c r="R641" s="291"/>
      <c r="S641" s="291"/>
      <c r="T641" s="291"/>
      <c r="U641" s="291"/>
      <c r="V641" s="291"/>
      <c r="W641" s="291"/>
      <c r="X641" s="291"/>
      <c r="Y641" s="291"/>
      <c r="Z641" s="291"/>
      <c r="AA641" s="440"/>
      <c r="AB641" s="460">
        <v>0.3</v>
      </c>
      <c r="AC641" s="440"/>
    </row>
    <row r="642" spans="1:49" x14ac:dyDescent="0.25">
      <c r="A642" s="1126"/>
      <c r="B642" s="452" t="s">
        <v>1179</v>
      </c>
      <c r="C642" s="493">
        <v>4.5</v>
      </c>
      <c r="D642" s="451"/>
      <c r="E642" s="494" t="s">
        <v>1700</v>
      </c>
      <c r="F642" s="376" t="s">
        <v>1441</v>
      </c>
      <c r="G642" s="302">
        <v>23.33</v>
      </c>
      <c r="H642" s="301">
        <v>1</v>
      </c>
      <c r="I642" s="303">
        <f t="shared" si="58"/>
        <v>23.33</v>
      </c>
      <c r="J642" s="290"/>
      <c r="K642" s="374"/>
      <c r="L642" s="305"/>
      <c r="M642" s="304"/>
      <c r="N642" s="292"/>
      <c r="O642" s="291"/>
      <c r="P642" s="291"/>
      <c r="Q642" s="291"/>
      <c r="R642" s="291"/>
      <c r="S642" s="291"/>
      <c r="T642" s="291"/>
      <c r="U642" s="291"/>
      <c r="V642" s="291"/>
      <c r="W642" s="291"/>
      <c r="X642" s="291"/>
      <c r="Y642" s="291"/>
      <c r="Z642" s="291"/>
      <c r="AA642" s="440"/>
      <c r="AB642" s="460">
        <v>0.3</v>
      </c>
      <c r="AC642" s="440"/>
    </row>
    <row r="643" spans="1:49" x14ac:dyDescent="0.25">
      <c r="A643" s="1126"/>
      <c r="B643" s="474" t="s">
        <v>1181</v>
      </c>
      <c r="C643" s="487">
        <f>C638*C641+C639*C642</f>
        <v>241.34177005232979</v>
      </c>
      <c r="D643" s="451"/>
      <c r="E643" s="653" t="s">
        <v>13</v>
      </c>
      <c r="F643" s="654" t="s">
        <v>1441</v>
      </c>
      <c r="G643" s="302">
        <v>1.5</v>
      </c>
      <c r="H643" s="454">
        <v>1</v>
      </c>
      <c r="I643" s="303">
        <f t="shared" si="58"/>
        <v>1.5</v>
      </c>
      <c r="J643" s="290"/>
      <c r="K643" s="374"/>
      <c r="L643" s="292"/>
      <c r="M643" s="292"/>
      <c r="N643" s="292"/>
      <c r="O643" s="291"/>
      <c r="P643" s="291"/>
      <c r="Q643" s="291"/>
      <c r="R643" s="291"/>
      <c r="S643" s="291"/>
      <c r="T643" s="291"/>
      <c r="U643" s="291"/>
      <c r="V643" s="291"/>
      <c r="W643" s="291"/>
      <c r="X643" s="291"/>
      <c r="Y643" s="291"/>
      <c r="Z643" s="291"/>
      <c r="AA643" s="440"/>
      <c r="AB643" s="460">
        <v>0.3</v>
      </c>
      <c r="AC643" s="440"/>
    </row>
    <row r="644" spans="1:49" x14ac:dyDescent="0.25">
      <c r="A644" s="1126"/>
      <c r="B644" s="474"/>
      <c r="C644" s="493"/>
      <c r="D644" s="475"/>
      <c r="E644" s="490"/>
      <c r="F644" s="578"/>
      <c r="G644" s="302"/>
      <c r="H644" s="454"/>
      <c r="I644" s="303"/>
      <c r="J644" s="290"/>
      <c r="K644" s="374"/>
      <c r="L644" s="292"/>
      <c r="M644" s="292"/>
      <c r="N644" s="292"/>
      <c r="O644" s="291"/>
      <c r="P644" s="291"/>
      <c r="Q644" s="291"/>
      <c r="R644" s="291"/>
      <c r="S644" s="291"/>
      <c r="T644" s="291"/>
      <c r="U644" s="291"/>
      <c r="V644" s="291"/>
      <c r="W644" s="291"/>
      <c r="X644" s="291"/>
      <c r="Y644" s="291"/>
      <c r="Z644" s="291"/>
      <c r="AA644" s="440"/>
      <c r="AB644" s="460">
        <v>0.3</v>
      </c>
      <c r="AC644" s="440"/>
    </row>
    <row r="645" spans="1:49" ht="56.25" customHeight="1" x14ac:dyDescent="0.25">
      <c r="A645" s="1126" t="s">
        <v>1547</v>
      </c>
      <c r="B645" s="439" t="s">
        <v>569</v>
      </c>
      <c r="C645" s="487"/>
      <c r="D645" s="489"/>
      <c r="E645" s="488" t="s">
        <v>488</v>
      </c>
      <c r="F645" s="442" t="s">
        <v>837</v>
      </c>
      <c r="G645" s="439" t="s">
        <v>489</v>
      </c>
      <c r="H645" s="441" t="s">
        <v>1170</v>
      </c>
      <c r="I645" s="442" t="s">
        <v>838</v>
      </c>
      <c r="J645" s="280" t="s">
        <v>1171</v>
      </c>
      <c r="K645" s="280" t="s">
        <v>490</v>
      </c>
      <c r="L645" s="281" t="s">
        <v>489</v>
      </c>
      <c r="M645" s="280" t="s">
        <v>1172</v>
      </c>
      <c r="N645" s="442" t="s">
        <v>838</v>
      </c>
      <c r="O645" s="280" t="s">
        <v>1171</v>
      </c>
      <c r="P645" s="280" t="s">
        <v>826</v>
      </c>
      <c r="Q645" s="280" t="s">
        <v>1173</v>
      </c>
      <c r="R645" s="280" t="s">
        <v>1174</v>
      </c>
      <c r="S645" s="280" t="s">
        <v>839</v>
      </c>
      <c r="T645" s="280" t="s">
        <v>1171</v>
      </c>
      <c r="U645" s="280" t="s">
        <v>1392</v>
      </c>
      <c r="V645" s="280" t="s">
        <v>841</v>
      </c>
      <c r="W645" s="282" t="s">
        <v>1173</v>
      </c>
      <c r="X645" s="280" t="s">
        <v>1394</v>
      </c>
      <c r="Y645" s="280" t="s">
        <v>839</v>
      </c>
      <c r="Z645" s="283"/>
      <c r="AA645" s="440"/>
      <c r="AB645" s="460">
        <v>0.3</v>
      </c>
      <c r="AC645" s="440"/>
      <c r="AD645" s="444"/>
      <c r="AQ645" s="449"/>
      <c r="AR645" s="449"/>
      <c r="AS645" s="449"/>
    </row>
    <row r="646" spans="1:49" ht="12" customHeight="1" x14ac:dyDescent="0.25">
      <c r="A646" s="1126"/>
      <c r="B646" s="450" t="s">
        <v>1175</v>
      </c>
      <c r="C646" s="487">
        <f>C653</f>
        <v>294.97846448416669</v>
      </c>
      <c r="D646" s="489">
        <f>C646*$D$7</f>
        <v>59.585649825801674</v>
      </c>
      <c r="E646" s="490" t="s">
        <v>1176</v>
      </c>
      <c r="F646" s="453"/>
      <c r="G646" s="454"/>
      <c r="H646" s="454"/>
      <c r="I646" s="455">
        <f>SUM(I647:I654)</f>
        <v>77.432699999999997</v>
      </c>
      <c r="J646" s="290" t="s">
        <v>1176</v>
      </c>
      <c r="K646" s="357"/>
      <c r="L646" s="291"/>
      <c r="M646" s="291"/>
      <c r="N646" s="292">
        <f>SUM(N647:N654)</f>
        <v>4.4213899999999997</v>
      </c>
      <c r="O646" s="291" t="s">
        <v>1176</v>
      </c>
      <c r="P646" s="291"/>
      <c r="Q646" s="293"/>
      <c r="R646" s="294"/>
      <c r="S646" s="292">
        <f>SUM(S647:S654)</f>
        <v>8.1902000000000008</v>
      </c>
      <c r="T646" s="292"/>
      <c r="U646" s="292"/>
      <c r="V646" s="292"/>
      <c r="W646" s="292"/>
      <c r="X646" s="292"/>
      <c r="Y646" s="292">
        <f>SUM(Y647:Y654)</f>
        <v>9.1999999999999998E-3</v>
      </c>
      <c r="Z646" s="296">
        <f>(C646+D646+I646+N646+S646+Y646)*$Z$7</f>
        <v>578.08633712372045</v>
      </c>
      <c r="AA646" s="459">
        <f>C646+D646+I646+N646+S646+Y646+Z646</f>
        <v>1022.7039414336889</v>
      </c>
      <c r="AB646" s="460">
        <v>0.3</v>
      </c>
      <c r="AC646" s="461">
        <f>AA646*(1+AB646)</f>
        <v>1329.5151238637957</v>
      </c>
      <c r="AD646" s="448"/>
      <c r="AI646" s="449"/>
      <c r="AJ646" s="462"/>
      <c r="AK646" s="463"/>
      <c r="AM646" s="464"/>
      <c r="AN646" s="143"/>
      <c r="AO646" s="464"/>
      <c r="AP646" s="449"/>
      <c r="AQ646" s="449"/>
      <c r="AR646" s="449"/>
      <c r="AS646" s="449"/>
      <c r="AT646" s="449"/>
      <c r="AU646" s="464"/>
      <c r="AV646" s="464"/>
      <c r="AW646" s="465"/>
    </row>
    <row r="647" spans="1:49" ht="66" x14ac:dyDescent="0.25">
      <c r="A647" s="1126"/>
      <c r="B647" s="466" t="s">
        <v>1177</v>
      </c>
      <c r="C647" s="487"/>
      <c r="D647" s="451"/>
      <c r="E647" s="300" t="s">
        <v>1437</v>
      </c>
      <c r="F647" s="301" t="s">
        <v>1438</v>
      </c>
      <c r="G647" s="302">
        <v>0.74</v>
      </c>
      <c r="H647" s="301">
        <v>0.5</v>
      </c>
      <c r="I647" s="303">
        <f t="shared" ref="I647:I653" si="59">G647*H647</f>
        <v>0.37</v>
      </c>
      <c r="J647" s="290" t="s">
        <v>1291</v>
      </c>
      <c r="K647" s="304">
        <v>2</v>
      </c>
      <c r="L647" s="305">
        <v>750</v>
      </c>
      <c r="M647" s="304">
        <v>2</v>
      </c>
      <c r="N647" s="292">
        <v>1.1745000000000001</v>
      </c>
      <c r="O647" s="467" t="s">
        <v>1578</v>
      </c>
      <c r="P647" s="291">
        <v>188900</v>
      </c>
      <c r="Q647" s="372">
        <v>0.19670000000000001</v>
      </c>
      <c r="R647" s="291">
        <f>P647*Q647</f>
        <v>37156.630000000005</v>
      </c>
      <c r="S647" s="291">
        <v>8.1902000000000008</v>
      </c>
      <c r="T647" s="458" t="s">
        <v>1435</v>
      </c>
      <c r="U647" s="456">
        <v>6785401.3499999996</v>
      </c>
      <c r="V647" s="457">
        <v>1.32E-2</v>
      </c>
      <c r="W647" s="458">
        <v>1508.3</v>
      </c>
      <c r="X647" s="292">
        <v>59.38</v>
      </c>
      <c r="Y647" s="291">
        <v>9.1999999999999998E-3</v>
      </c>
      <c r="Z647" s="291"/>
      <c r="AA647" s="440"/>
      <c r="AB647" s="460">
        <v>0.3</v>
      </c>
      <c r="AC647" s="440"/>
      <c r="AD647" s="444"/>
      <c r="AE647" s="444"/>
    </row>
    <row r="648" spans="1:49" x14ac:dyDescent="0.25">
      <c r="A648" s="1126"/>
      <c r="B648" s="469" t="s">
        <v>1178</v>
      </c>
      <c r="C648" s="491">
        <f>C638</f>
        <v>43.888814515309463</v>
      </c>
      <c r="D648" s="451"/>
      <c r="E648" s="300" t="s">
        <v>1439</v>
      </c>
      <c r="F648" s="301" t="s">
        <v>1438</v>
      </c>
      <c r="G648" s="302">
        <v>0.27</v>
      </c>
      <c r="H648" s="301">
        <v>0.01</v>
      </c>
      <c r="I648" s="303">
        <f t="shared" si="59"/>
        <v>2.7000000000000001E-3</v>
      </c>
      <c r="J648" s="290" t="s">
        <v>1445</v>
      </c>
      <c r="K648" s="292">
        <v>2</v>
      </c>
      <c r="L648" s="311">
        <v>95</v>
      </c>
      <c r="M648" s="304">
        <v>2</v>
      </c>
      <c r="N648" s="292">
        <v>3.1146400000000001</v>
      </c>
      <c r="O648" s="291"/>
      <c r="P648" s="291"/>
      <c r="Q648" s="372"/>
      <c r="R648" s="291"/>
      <c r="S648" s="291"/>
      <c r="T648" s="291"/>
      <c r="U648" s="291"/>
      <c r="V648" s="291"/>
      <c r="W648" s="372"/>
      <c r="X648" s="291"/>
      <c r="Y648" s="291"/>
      <c r="Z648" s="291"/>
      <c r="AA648" s="440"/>
      <c r="AB648" s="460">
        <v>0.3</v>
      </c>
      <c r="AC648" s="440"/>
      <c r="AD648" s="444"/>
      <c r="AE648" s="444"/>
    </row>
    <row r="649" spans="1:49" x14ac:dyDescent="0.25">
      <c r="A649" s="1126"/>
      <c r="B649" s="452" t="s">
        <v>1179</v>
      </c>
      <c r="C649" s="487">
        <f>C639</f>
        <v>19.495759833054819</v>
      </c>
      <c r="D649" s="451"/>
      <c r="E649" s="300" t="s">
        <v>1440</v>
      </c>
      <c r="F649" s="301" t="s">
        <v>1441</v>
      </c>
      <c r="G649" s="302">
        <v>5.92</v>
      </c>
      <c r="H649" s="471">
        <v>1</v>
      </c>
      <c r="I649" s="303">
        <f t="shared" si="59"/>
        <v>5.92</v>
      </c>
      <c r="J649" s="290" t="s">
        <v>1513</v>
      </c>
      <c r="K649" s="292">
        <v>2</v>
      </c>
      <c r="L649" s="292">
        <v>25</v>
      </c>
      <c r="M649" s="304">
        <v>0.5</v>
      </c>
      <c r="N649" s="292">
        <v>0.13225000000000001</v>
      </c>
      <c r="O649" s="291"/>
      <c r="P649" s="291"/>
      <c r="Q649" s="372"/>
      <c r="R649" s="291"/>
      <c r="S649" s="291"/>
      <c r="T649" s="291"/>
      <c r="U649" s="291"/>
      <c r="V649" s="291"/>
      <c r="W649" s="372"/>
      <c r="X649" s="291"/>
      <c r="Y649" s="291"/>
      <c r="Z649" s="291"/>
      <c r="AA649" s="440"/>
      <c r="AB649" s="460">
        <v>0.3</v>
      </c>
      <c r="AC649" s="440"/>
      <c r="AD649" s="444"/>
      <c r="AE649" s="444"/>
    </row>
    <row r="650" spans="1:49" x14ac:dyDescent="0.25">
      <c r="A650" s="1126"/>
      <c r="B650" s="452" t="s">
        <v>1180</v>
      </c>
      <c r="C650" s="492"/>
      <c r="D650" s="451"/>
      <c r="E650" s="300" t="s">
        <v>1442</v>
      </c>
      <c r="F650" s="301" t="s">
        <v>1443</v>
      </c>
      <c r="G650" s="302">
        <v>419.5</v>
      </c>
      <c r="H650" s="301">
        <v>0.1</v>
      </c>
      <c r="I650" s="303">
        <f t="shared" si="59"/>
        <v>41.95</v>
      </c>
      <c r="J650" s="290"/>
      <c r="K650" s="374"/>
      <c r="L650" s="292"/>
      <c r="M650" s="292"/>
      <c r="N650" s="292"/>
      <c r="O650" s="291"/>
      <c r="P650" s="291"/>
      <c r="Q650" s="291"/>
      <c r="R650" s="291"/>
      <c r="S650" s="291"/>
      <c r="T650" s="291"/>
      <c r="U650" s="291"/>
      <c r="V650" s="291"/>
      <c r="W650" s="291"/>
      <c r="X650" s="291"/>
      <c r="Y650" s="291"/>
      <c r="Z650" s="291"/>
      <c r="AA650" s="440"/>
      <c r="AB650" s="460">
        <v>0.3</v>
      </c>
      <c r="AC650" s="440"/>
    </row>
    <row r="651" spans="1:49" x14ac:dyDescent="0.25">
      <c r="A651" s="1126"/>
      <c r="B651" s="469" t="s">
        <v>1178</v>
      </c>
      <c r="C651" s="493">
        <v>4.5</v>
      </c>
      <c r="D651" s="451"/>
      <c r="E651" s="300" t="s">
        <v>1444</v>
      </c>
      <c r="F651" s="301" t="s">
        <v>1443</v>
      </c>
      <c r="G651" s="302">
        <v>872</v>
      </c>
      <c r="H651" s="301">
        <v>5.0000000000000001E-3</v>
      </c>
      <c r="I651" s="303">
        <f t="shared" si="59"/>
        <v>4.3600000000000003</v>
      </c>
      <c r="J651" s="290"/>
      <c r="K651" s="374"/>
      <c r="L651" s="292"/>
      <c r="M651" s="292"/>
      <c r="N651" s="292"/>
      <c r="O651" s="291"/>
      <c r="P651" s="291"/>
      <c r="Q651" s="291"/>
      <c r="R651" s="291"/>
      <c r="S651" s="291"/>
      <c r="T651" s="291"/>
      <c r="U651" s="291"/>
      <c r="V651" s="291"/>
      <c r="W651" s="291"/>
      <c r="X651" s="291"/>
      <c r="Y651" s="291"/>
      <c r="Z651" s="291"/>
      <c r="AA651" s="440"/>
      <c r="AB651" s="460">
        <v>0.3</v>
      </c>
      <c r="AC651" s="440"/>
    </row>
    <row r="652" spans="1:49" x14ac:dyDescent="0.25">
      <c r="A652" s="1126"/>
      <c r="B652" s="452" t="s">
        <v>1179</v>
      </c>
      <c r="C652" s="493">
        <v>5</v>
      </c>
      <c r="D652" s="451"/>
      <c r="E652" s="494" t="s">
        <v>13</v>
      </c>
      <c r="F652" s="376" t="s">
        <v>1441</v>
      </c>
      <c r="G652" s="302">
        <v>1.5</v>
      </c>
      <c r="H652" s="301">
        <v>1</v>
      </c>
      <c r="I652" s="303">
        <f t="shared" si="59"/>
        <v>1.5</v>
      </c>
      <c r="J652" s="290"/>
      <c r="K652" s="374"/>
      <c r="L652" s="305"/>
      <c r="M652" s="304"/>
      <c r="N652" s="292"/>
      <c r="O652" s="291"/>
      <c r="P652" s="291"/>
      <c r="Q652" s="291"/>
      <c r="R652" s="291"/>
      <c r="S652" s="291"/>
      <c r="T652" s="291"/>
      <c r="U652" s="291"/>
      <c r="V652" s="291"/>
      <c r="W652" s="291"/>
      <c r="X652" s="291"/>
      <c r="Y652" s="291"/>
      <c r="Z652" s="291"/>
      <c r="AA652" s="440"/>
      <c r="AB652" s="460">
        <v>0.3</v>
      </c>
      <c r="AC652" s="440"/>
    </row>
    <row r="653" spans="1:49" x14ac:dyDescent="0.25">
      <c r="A653" s="1126"/>
      <c r="B653" s="474" t="s">
        <v>1181</v>
      </c>
      <c r="C653" s="487">
        <f>C648*C651+C649*C652</f>
        <v>294.97846448416669</v>
      </c>
      <c r="D653" s="451"/>
      <c r="E653" s="653" t="s">
        <v>1700</v>
      </c>
      <c r="F653" s="654" t="s">
        <v>1441</v>
      </c>
      <c r="G653" s="302">
        <v>23.33</v>
      </c>
      <c r="H653" s="454">
        <v>1</v>
      </c>
      <c r="I653" s="303">
        <f t="shared" si="59"/>
        <v>23.33</v>
      </c>
      <c r="J653" s="290"/>
      <c r="K653" s="374"/>
      <c r="L653" s="292"/>
      <c r="M653" s="292"/>
      <c r="N653" s="292"/>
      <c r="O653" s="291"/>
      <c r="P653" s="291"/>
      <c r="Q653" s="291"/>
      <c r="R653" s="291"/>
      <c r="S653" s="291"/>
      <c r="T653" s="291"/>
      <c r="U653" s="291"/>
      <c r="V653" s="291"/>
      <c r="W653" s="291"/>
      <c r="X653" s="291"/>
      <c r="Y653" s="291"/>
      <c r="Z653" s="291"/>
      <c r="AA653" s="440"/>
      <c r="AB653" s="460">
        <v>0.3</v>
      </c>
      <c r="AC653" s="440"/>
    </row>
    <row r="654" spans="1:49" x14ac:dyDescent="0.25">
      <c r="A654" s="1126"/>
      <c r="B654" s="474"/>
      <c r="C654" s="493"/>
      <c r="D654" s="475"/>
      <c r="E654" s="490"/>
      <c r="F654" s="578"/>
      <c r="G654" s="302"/>
      <c r="H654" s="454"/>
      <c r="I654" s="303"/>
      <c r="J654" s="290"/>
      <c r="K654" s="374"/>
      <c r="L654" s="292"/>
      <c r="M654" s="292"/>
      <c r="N654" s="292"/>
      <c r="O654" s="291"/>
      <c r="P654" s="291"/>
      <c r="Q654" s="291"/>
      <c r="R654" s="291"/>
      <c r="S654" s="291"/>
      <c r="T654" s="291"/>
      <c r="U654" s="291"/>
      <c r="V654" s="291"/>
      <c r="W654" s="291"/>
      <c r="X654" s="291"/>
      <c r="Y654" s="291"/>
      <c r="Z654" s="291"/>
      <c r="AA654" s="440"/>
      <c r="AB654" s="460">
        <v>0.3</v>
      </c>
      <c r="AC654" s="440"/>
    </row>
    <row r="655" spans="1:49" ht="56.25" customHeight="1" x14ac:dyDescent="0.25">
      <c r="A655" s="1126" t="s">
        <v>1548</v>
      </c>
      <c r="B655" s="439" t="s">
        <v>570</v>
      </c>
      <c r="C655" s="487"/>
      <c r="D655" s="489"/>
      <c r="E655" s="488" t="s">
        <v>488</v>
      </c>
      <c r="F655" s="442" t="s">
        <v>837</v>
      </c>
      <c r="G655" s="439" t="s">
        <v>489</v>
      </c>
      <c r="H655" s="441" t="s">
        <v>1170</v>
      </c>
      <c r="I655" s="442" t="s">
        <v>838</v>
      </c>
      <c r="J655" s="280" t="s">
        <v>1171</v>
      </c>
      <c r="K655" s="280" t="s">
        <v>490</v>
      </c>
      <c r="L655" s="281" t="s">
        <v>489</v>
      </c>
      <c r="M655" s="280" t="s">
        <v>1172</v>
      </c>
      <c r="N655" s="442" t="s">
        <v>838</v>
      </c>
      <c r="O655" s="280" t="s">
        <v>1171</v>
      </c>
      <c r="P655" s="280" t="s">
        <v>826</v>
      </c>
      <c r="Q655" s="280" t="s">
        <v>1173</v>
      </c>
      <c r="R655" s="280" t="s">
        <v>1174</v>
      </c>
      <c r="S655" s="280" t="s">
        <v>839</v>
      </c>
      <c r="T655" s="280" t="s">
        <v>1171</v>
      </c>
      <c r="U655" s="280" t="s">
        <v>1392</v>
      </c>
      <c r="V655" s="280" t="s">
        <v>841</v>
      </c>
      <c r="W655" s="282" t="s">
        <v>1173</v>
      </c>
      <c r="X655" s="280" t="s">
        <v>1394</v>
      </c>
      <c r="Y655" s="280" t="s">
        <v>839</v>
      </c>
      <c r="Z655" s="283"/>
      <c r="AA655" s="440"/>
      <c r="AB655" s="460">
        <v>0.3</v>
      </c>
      <c r="AC655" s="440"/>
      <c r="AD655" s="444"/>
      <c r="AQ655" s="449"/>
      <c r="AR655" s="449"/>
      <c r="AS655" s="449"/>
    </row>
    <row r="656" spans="1:49" ht="12" customHeight="1" x14ac:dyDescent="0.25">
      <c r="A656" s="1126"/>
      <c r="B656" s="450" t="s">
        <v>1175</v>
      </c>
      <c r="C656" s="487">
        <f>C663</f>
        <v>63.384574348364282</v>
      </c>
      <c r="D656" s="489">
        <f>C656*$D$7</f>
        <v>12.803684018369585</v>
      </c>
      <c r="E656" s="490" t="s">
        <v>1176</v>
      </c>
      <c r="F656" s="453"/>
      <c r="G656" s="454"/>
      <c r="H656" s="454"/>
      <c r="I656" s="455">
        <f>SUM(I657:I664)</f>
        <v>37.637699999999995</v>
      </c>
      <c r="J656" s="290" t="s">
        <v>1176</v>
      </c>
      <c r="K656" s="357"/>
      <c r="L656" s="291"/>
      <c r="M656" s="291"/>
      <c r="N656" s="292">
        <f>SUM(N657:N664)</f>
        <v>4.4213899999999997</v>
      </c>
      <c r="O656" s="291" t="s">
        <v>1176</v>
      </c>
      <c r="P656" s="291"/>
      <c r="Q656" s="293"/>
      <c r="R656" s="294"/>
      <c r="S656" s="292">
        <f>SUM(S657:S664)</f>
        <v>8.1902000000000008</v>
      </c>
      <c r="T656" s="292"/>
      <c r="U656" s="292"/>
      <c r="V656" s="292"/>
      <c r="W656" s="292"/>
      <c r="X656" s="292"/>
      <c r="Y656" s="292">
        <f>SUM(Y657:Y664)</f>
        <v>9.1999999999999998E-3</v>
      </c>
      <c r="Z656" s="296">
        <f>(C656+D656+I656+N656+S656+Y656)*$Z$7</f>
        <v>164.40450602034588</v>
      </c>
      <c r="AA656" s="459">
        <f>C656+D656+I656+N656+S656+Y656+Z656</f>
        <v>290.85125438707973</v>
      </c>
      <c r="AB656" s="460">
        <v>0.3</v>
      </c>
      <c r="AC656" s="461">
        <f>AA656*(1+AB656)</f>
        <v>378.10663070320368</v>
      </c>
      <c r="AD656" s="448"/>
      <c r="AI656" s="449"/>
      <c r="AJ656" s="462"/>
      <c r="AK656" s="463"/>
      <c r="AM656" s="464"/>
      <c r="AN656" s="143"/>
      <c r="AO656" s="464"/>
      <c r="AP656" s="449"/>
      <c r="AQ656" s="449"/>
      <c r="AR656" s="449"/>
      <c r="AS656" s="449"/>
      <c r="AT656" s="449"/>
      <c r="AU656" s="464"/>
      <c r="AV656" s="464"/>
      <c r="AW656" s="465"/>
    </row>
    <row r="657" spans="1:49" ht="66" x14ac:dyDescent="0.25">
      <c r="A657" s="1126"/>
      <c r="B657" s="466" t="s">
        <v>1177</v>
      </c>
      <c r="C657" s="487"/>
      <c r="D657" s="451"/>
      <c r="E657" s="300" t="s">
        <v>1437</v>
      </c>
      <c r="F657" s="301" t="s">
        <v>1438</v>
      </c>
      <c r="G657" s="302">
        <v>0.74</v>
      </c>
      <c r="H657" s="301">
        <v>0.1</v>
      </c>
      <c r="I657" s="303">
        <f t="shared" ref="I657:I663" si="60">G657*H657</f>
        <v>7.3999999999999996E-2</v>
      </c>
      <c r="J657" s="290" t="s">
        <v>1291</v>
      </c>
      <c r="K657" s="304">
        <v>2</v>
      </c>
      <c r="L657" s="305">
        <v>750</v>
      </c>
      <c r="M657" s="304">
        <v>2</v>
      </c>
      <c r="N657" s="292">
        <v>1.1745000000000001</v>
      </c>
      <c r="O657" s="467" t="s">
        <v>1578</v>
      </c>
      <c r="P657" s="291">
        <v>188900</v>
      </c>
      <c r="Q657" s="372">
        <v>0.19670000000000001</v>
      </c>
      <c r="R657" s="291">
        <f>P657*Q657</f>
        <v>37156.630000000005</v>
      </c>
      <c r="S657" s="291">
        <v>8.1902000000000008</v>
      </c>
      <c r="T657" s="458" t="s">
        <v>1435</v>
      </c>
      <c r="U657" s="456">
        <v>6785401.3499999996</v>
      </c>
      <c r="V657" s="457">
        <v>1.32E-2</v>
      </c>
      <c r="W657" s="458">
        <v>1508.3</v>
      </c>
      <c r="X657" s="292">
        <v>59.38</v>
      </c>
      <c r="Y657" s="291">
        <v>9.1999999999999998E-3</v>
      </c>
      <c r="Z657" s="291"/>
      <c r="AA657" s="440"/>
      <c r="AB657" s="460">
        <v>0.3</v>
      </c>
      <c r="AC657" s="440"/>
      <c r="AD657" s="444"/>
      <c r="AE657" s="444"/>
    </row>
    <row r="658" spans="1:49" x14ac:dyDescent="0.25">
      <c r="A658" s="1126"/>
      <c r="B658" s="469" t="s">
        <v>1178</v>
      </c>
      <c r="C658" s="491">
        <f>C648</f>
        <v>43.888814515309463</v>
      </c>
      <c r="D658" s="451"/>
      <c r="E658" s="300" t="s">
        <v>1439</v>
      </c>
      <c r="F658" s="301" t="s">
        <v>1438</v>
      </c>
      <c r="G658" s="302">
        <v>0.27</v>
      </c>
      <c r="H658" s="301">
        <v>0.01</v>
      </c>
      <c r="I658" s="303">
        <f t="shared" si="60"/>
        <v>2.7000000000000001E-3</v>
      </c>
      <c r="J658" s="290" t="s">
        <v>1445</v>
      </c>
      <c r="K658" s="292">
        <v>2</v>
      </c>
      <c r="L658" s="311">
        <v>95</v>
      </c>
      <c r="M658" s="304">
        <v>2</v>
      </c>
      <c r="N658" s="292">
        <v>3.1146400000000001</v>
      </c>
      <c r="O658" s="291"/>
      <c r="P658" s="291"/>
      <c r="Q658" s="372"/>
      <c r="R658" s="291"/>
      <c r="S658" s="291"/>
      <c r="T658" s="291"/>
      <c r="U658" s="291"/>
      <c r="V658" s="291"/>
      <c r="W658" s="372"/>
      <c r="X658" s="291"/>
      <c r="Y658" s="291"/>
      <c r="Z658" s="291"/>
      <c r="AA658" s="440"/>
      <c r="AB658" s="460">
        <v>0.3</v>
      </c>
      <c r="AC658" s="440"/>
      <c r="AD658" s="444"/>
      <c r="AE658" s="444"/>
    </row>
    <row r="659" spans="1:49" x14ac:dyDescent="0.25">
      <c r="A659" s="1126"/>
      <c r="B659" s="452" t="s">
        <v>1179</v>
      </c>
      <c r="C659" s="487">
        <f>C649</f>
        <v>19.495759833054819</v>
      </c>
      <c r="D659" s="451"/>
      <c r="E659" s="300" t="s">
        <v>1440</v>
      </c>
      <c r="F659" s="301" t="s">
        <v>1441</v>
      </c>
      <c r="G659" s="302">
        <v>5.92</v>
      </c>
      <c r="H659" s="471">
        <v>1</v>
      </c>
      <c r="I659" s="303">
        <f t="shared" si="60"/>
        <v>5.92</v>
      </c>
      <c r="J659" s="290" t="s">
        <v>1513</v>
      </c>
      <c r="K659" s="292">
        <v>2</v>
      </c>
      <c r="L659" s="292">
        <v>25</v>
      </c>
      <c r="M659" s="304">
        <v>0.5</v>
      </c>
      <c r="N659" s="292">
        <v>0.13225000000000001</v>
      </c>
      <c r="O659" s="291"/>
      <c r="P659" s="291"/>
      <c r="Q659" s="372"/>
      <c r="R659" s="291"/>
      <c r="S659" s="291"/>
      <c r="T659" s="291"/>
      <c r="U659" s="291"/>
      <c r="V659" s="291"/>
      <c r="W659" s="372"/>
      <c r="X659" s="291"/>
      <c r="Y659" s="291"/>
      <c r="Z659" s="291"/>
      <c r="AA659" s="440"/>
      <c r="AB659" s="460">
        <v>0.3</v>
      </c>
      <c r="AC659" s="440"/>
      <c r="AD659" s="444"/>
      <c r="AE659" s="444"/>
    </row>
    <row r="660" spans="1:49" x14ac:dyDescent="0.25">
      <c r="A660" s="1126"/>
      <c r="B660" s="452" t="s">
        <v>1180</v>
      </c>
      <c r="C660" s="492"/>
      <c r="D660" s="451"/>
      <c r="E660" s="300" t="s">
        <v>1442</v>
      </c>
      <c r="F660" s="301" t="s">
        <v>1443</v>
      </c>
      <c r="G660" s="302">
        <v>419.5</v>
      </c>
      <c r="H660" s="301">
        <v>0.01</v>
      </c>
      <c r="I660" s="303">
        <f t="shared" si="60"/>
        <v>4.1950000000000003</v>
      </c>
      <c r="J660" s="290"/>
      <c r="K660" s="374"/>
      <c r="L660" s="292"/>
      <c r="M660" s="292"/>
      <c r="N660" s="292"/>
      <c r="O660" s="291"/>
      <c r="P660" s="291"/>
      <c r="Q660" s="291"/>
      <c r="R660" s="291"/>
      <c r="S660" s="291"/>
      <c r="T660" s="291"/>
      <c r="U660" s="291"/>
      <c r="V660" s="291"/>
      <c r="W660" s="291"/>
      <c r="X660" s="291"/>
      <c r="Y660" s="291"/>
      <c r="Z660" s="291"/>
      <c r="AA660" s="440"/>
      <c r="AB660" s="460">
        <v>0.3</v>
      </c>
      <c r="AC660" s="440"/>
    </row>
    <row r="661" spans="1:49" x14ac:dyDescent="0.25">
      <c r="A661" s="1126"/>
      <c r="B661" s="469" t="s">
        <v>1178</v>
      </c>
      <c r="C661" s="493">
        <v>1</v>
      </c>
      <c r="D661" s="451"/>
      <c r="E661" s="300" t="s">
        <v>1444</v>
      </c>
      <c r="F661" s="301" t="s">
        <v>1443</v>
      </c>
      <c r="G661" s="302">
        <v>872</v>
      </c>
      <c r="H661" s="301">
        <v>3.0000000000000001E-3</v>
      </c>
      <c r="I661" s="303">
        <f t="shared" si="60"/>
        <v>2.6160000000000001</v>
      </c>
      <c r="J661" s="290"/>
      <c r="K661" s="374"/>
      <c r="L661" s="292"/>
      <c r="M661" s="292"/>
      <c r="N661" s="292"/>
      <c r="O661" s="291"/>
      <c r="P661" s="291"/>
      <c r="Q661" s="291"/>
      <c r="R661" s="291"/>
      <c r="S661" s="291"/>
      <c r="T661" s="291"/>
      <c r="U661" s="291"/>
      <c r="V661" s="291"/>
      <c r="W661" s="291"/>
      <c r="X661" s="291"/>
      <c r="Y661" s="291"/>
      <c r="Z661" s="291"/>
      <c r="AA661" s="440"/>
      <c r="AB661" s="460">
        <v>0.3</v>
      </c>
      <c r="AC661" s="440"/>
    </row>
    <row r="662" spans="1:49" x14ac:dyDescent="0.25">
      <c r="A662" s="1126"/>
      <c r="B662" s="452" t="s">
        <v>1179</v>
      </c>
      <c r="C662" s="493">
        <v>1</v>
      </c>
      <c r="D662" s="451"/>
      <c r="E662" s="494" t="s">
        <v>1700</v>
      </c>
      <c r="F662" s="376" t="s">
        <v>1441</v>
      </c>
      <c r="G662" s="302">
        <v>23.33</v>
      </c>
      <c r="H662" s="301">
        <v>1</v>
      </c>
      <c r="I662" s="303">
        <f t="shared" si="60"/>
        <v>23.33</v>
      </c>
      <c r="J662" s="290"/>
      <c r="K662" s="374"/>
      <c r="L662" s="305"/>
      <c r="M662" s="304"/>
      <c r="N662" s="292"/>
      <c r="O662" s="291"/>
      <c r="P662" s="291"/>
      <c r="Q662" s="291"/>
      <c r="R662" s="291"/>
      <c r="S662" s="291"/>
      <c r="T662" s="291"/>
      <c r="U662" s="291"/>
      <c r="V662" s="291"/>
      <c r="W662" s="291"/>
      <c r="X662" s="291"/>
      <c r="Y662" s="291"/>
      <c r="Z662" s="291"/>
      <c r="AA662" s="440"/>
      <c r="AB662" s="460">
        <v>0.3</v>
      </c>
      <c r="AC662" s="440"/>
    </row>
    <row r="663" spans="1:49" x14ac:dyDescent="0.25">
      <c r="A663" s="1126"/>
      <c r="B663" s="474" t="s">
        <v>1181</v>
      </c>
      <c r="C663" s="487">
        <f>C658*C661+C659*C662</f>
        <v>63.384574348364282</v>
      </c>
      <c r="D663" s="451"/>
      <c r="E663" s="653" t="s">
        <v>13</v>
      </c>
      <c r="F663" s="654" t="s">
        <v>1441</v>
      </c>
      <c r="G663" s="302">
        <v>1.5</v>
      </c>
      <c r="H663" s="454">
        <v>1</v>
      </c>
      <c r="I663" s="303">
        <f t="shared" si="60"/>
        <v>1.5</v>
      </c>
      <c r="J663" s="290"/>
      <c r="K663" s="374"/>
      <c r="L663" s="292"/>
      <c r="M663" s="292"/>
      <c r="N663" s="292"/>
      <c r="O663" s="291"/>
      <c r="P663" s="291"/>
      <c r="Q663" s="291"/>
      <c r="R663" s="291"/>
      <c r="S663" s="291"/>
      <c r="T663" s="291"/>
      <c r="U663" s="291"/>
      <c r="V663" s="291"/>
      <c r="W663" s="291"/>
      <c r="X663" s="291"/>
      <c r="Y663" s="291"/>
      <c r="Z663" s="291"/>
      <c r="AA663" s="440"/>
      <c r="AB663" s="460">
        <v>0.3</v>
      </c>
      <c r="AC663" s="440"/>
    </row>
    <row r="664" spans="1:49" x14ac:dyDescent="0.25">
      <c r="A664" s="1126"/>
      <c r="B664" s="474"/>
      <c r="C664" s="493"/>
      <c r="D664" s="475"/>
      <c r="E664" s="490"/>
      <c r="F664" s="578"/>
      <c r="G664" s="302"/>
      <c r="H664" s="454"/>
      <c r="I664" s="303"/>
      <c r="J664" s="290"/>
      <c r="K664" s="374"/>
      <c r="L664" s="292"/>
      <c r="M664" s="292"/>
      <c r="N664" s="292"/>
      <c r="O664" s="291"/>
      <c r="P664" s="291"/>
      <c r="Q664" s="291"/>
      <c r="R664" s="291"/>
      <c r="S664" s="291"/>
      <c r="T664" s="291"/>
      <c r="U664" s="291"/>
      <c r="V664" s="291"/>
      <c r="W664" s="291"/>
      <c r="X664" s="291"/>
      <c r="Y664" s="291"/>
      <c r="Z664" s="291"/>
      <c r="AA664" s="440"/>
      <c r="AB664" s="460">
        <v>0.3</v>
      </c>
      <c r="AC664" s="440"/>
    </row>
    <row r="665" spans="1:49" ht="56.25" customHeight="1" x14ac:dyDescent="0.25">
      <c r="A665" s="1126" t="s">
        <v>1549</v>
      </c>
      <c r="B665" s="439" t="s">
        <v>571</v>
      </c>
      <c r="C665" s="487"/>
      <c r="D665" s="489"/>
      <c r="E665" s="488" t="s">
        <v>488</v>
      </c>
      <c r="F665" s="442" t="s">
        <v>837</v>
      </c>
      <c r="G665" s="439" t="s">
        <v>489</v>
      </c>
      <c r="H665" s="441" t="s">
        <v>1170</v>
      </c>
      <c r="I665" s="442" t="s">
        <v>838</v>
      </c>
      <c r="J665" s="280" t="s">
        <v>1171</v>
      </c>
      <c r="K665" s="280" t="s">
        <v>490</v>
      </c>
      <c r="L665" s="281" t="s">
        <v>489</v>
      </c>
      <c r="M665" s="280" t="s">
        <v>1172</v>
      </c>
      <c r="N665" s="442" t="s">
        <v>838</v>
      </c>
      <c r="O665" s="280" t="s">
        <v>1171</v>
      </c>
      <c r="P665" s="280" t="s">
        <v>826</v>
      </c>
      <c r="Q665" s="280" t="s">
        <v>1173</v>
      </c>
      <c r="R665" s="280" t="s">
        <v>1174</v>
      </c>
      <c r="S665" s="280" t="s">
        <v>839</v>
      </c>
      <c r="T665" s="280" t="s">
        <v>1171</v>
      </c>
      <c r="U665" s="280" t="s">
        <v>1392</v>
      </c>
      <c r="V665" s="280" t="s">
        <v>841</v>
      </c>
      <c r="W665" s="282" t="s">
        <v>1173</v>
      </c>
      <c r="X665" s="280" t="s">
        <v>1394</v>
      </c>
      <c r="Y665" s="280" t="s">
        <v>839</v>
      </c>
      <c r="Z665" s="283"/>
      <c r="AA665" s="440"/>
      <c r="AB665" s="460">
        <v>0.3</v>
      </c>
      <c r="AC665" s="440"/>
      <c r="AD665" s="444"/>
      <c r="AQ665" s="449"/>
      <c r="AR665" s="449"/>
      <c r="AS665" s="449"/>
    </row>
    <row r="666" spans="1:49" ht="12" customHeight="1" x14ac:dyDescent="0.25">
      <c r="A666" s="1126"/>
      <c r="B666" s="450" t="s">
        <v>1175</v>
      </c>
      <c r="C666" s="487">
        <f>C673</f>
        <v>63.384574348364282</v>
      </c>
      <c r="D666" s="489">
        <f>C666*$D$7</f>
        <v>12.803684018369585</v>
      </c>
      <c r="E666" s="490" t="s">
        <v>1176</v>
      </c>
      <c r="F666" s="453"/>
      <c r="G666" s="454"/>
      <c r="H666" s="454"/>
      <c r="I666" s="455">
        <f>SUM(I667:I674)</f>
        <v>16.3477</v>
      </c>
      <c r="J666" s="290" t="s">
        <v>1176</v>
      </c>
      <c r="K666" s="357"/>
      <c r="L666" s="291"/>
      <c r="M666" s="291"/>
      <c r="N666" s="292">
        <f>SUM(N667:N674)</f>
        <v>4.4213899999999997</v>
      </c>
      <c r="O666" s="291" t="s">
        <v>1176</v>
      </c>
      <c r="P666" s="291"/>
      <c r="Q666" s="293"/>
      <c r="R666" s="294"/>
      <c r="S666" s="292">
        <f>SUM(S667:S674)</f>
        <v>8.1902000000000008</v>
      </c>
      <c r="T666" s="292"/>
      <c r="U666" s="292"/>
      <c r="V666" s="292"/>
      <c r="W666" s="292"/>
      <c r="X666" s="292"/>
      <c r="Y666" s="292">
        <f>SUM(Y667:Y674)</f>
        <v>9.1999999999999998E-3</v>
      </c>
      <c r="Z666" s="296">
        <f>(C666+D666+I666+N666+S666+Y666)*$Z$7</f>
        <v>136.72351004074503</v>
      </c>
      <c r="AA666" s="459">
        <f>C666+D666+I666+N666+S666+Y666+Z666</f>
        <v>241.88025840747889</v>
      </c>
      <c r="AB666" s="460">
        <v>0.3</v>
      </c>
      <c r="AC666" s="461">
        <f>AA666*(1+AB666)</f>
        <v>314.44433592972257</v>
      </c>
      <c r="AD666" s="448"/>
      <c r="AI666" s="449"/>
      <c r="AJ666" s="462"/>
      <c r="AK666" s="463"/>
      <c r="AM666" s="464"/>
      <c r="AN666" s="143"/>
      <c r="AO666" s="464"/>
      <c r="AP666" s="449"/>
      <c r="AQ666" s="449"/>
      <c r="AR666" s="449"/>
      <c r="AS666" s="449"/>
      <c r="AT666" s="449"/>
      <c r="AU666" s="464"/>
      <c r="AV666" s="464"/>
      <c r="AW666" s="465"/>
    </row>
    <row r="667" spans="1:49" ht="66" x14ac:dyDescent="0.25">
      <c r="A667" s="1126"/>
      <c r="B667" s="466" t="s">
        <v>1177</v>
      </c>
      <c r="C667" s="487"/>
      <c r="D667" s="451"/>
      <c r="E667" s="300" t="s">
        <v>1437</v>
      </c>
      <c r="F667" s="301" t="s">
        <v>1438</v>
      </c>
      <c r="G667" s="302">
        <v>0.74</v>
      </c>
      <c r="H667" s="301">
        <v>0.5</v>
      </c>
      <c r="I667" s="303">
        <f t="shared" ref="I667:I672" si="61">G667*H667</f>
        <v>0.37</v>
      </c>
      <c r="J667" s="290" t="s">
        <v>1291</v>
      </c>
      <c r="K667" s="304">
        <v>2</v>
      </c>
      <c r="L667" s="305">
        <v>750</v>
      </c>
      <c r="M667" s="304">
        <v>2</v>
      </c>
      <c r="N667" s="292">
        <v>1.1745000000000001</v>
      </c>
      <c r="O667" s="467" t="s">
        <v>1578</v>
      </c>
      <c r="P667" s="291">
        <v>188900</v>
      </c>
      <c r="Q667" s="372">
        <v>0.19670000000000001</v>
      </c>
      <c r="R667" s="291">
        <f>P667*Q667</f>
        <v>37156.630000000005</v>
      </c>
      <c r="S667" s="291">
        <v>8.1902000000000008</v>
      </c>
      <c r="T667" s="458" t="s">
        <v>1435</v>
      </c>
      <c r="U667" s="456">
        <v>6785401.3499999996</v>
      </c>
      <c r="V667" s="457">
        <v>1.32E-2</v>
      </c>
      <c r="W667" s="458">
        <v>1508.3</v>
      </c>
      <c r="X667" s="292">
        <v>59.38</v>
      </c>
      <c r="Y667" s="291">
        <v>9.1999999999999998E-3</v>
      </c>
      <c r="Z667" s="291"/>
      <c r="AA667" s="440"/>
      <c r="AB667" s="460">
        <v>0.3</v>
      </c>
      <c r="AC667" s="440"/>
      <c r="AD667" s="444"/>
      <c r="AE667" s="444"/>
    </row>
    <row r="668" spans="1:49" x14ac:dyDescent="0.25">
      <c r="A668" s="1126"/>
      <c r="B668" s="469" t="s">
        <v>1178</v>
      </c>
      <c r="C668" s="491">
        <f>C658</f>
        <v>43.888814515309463</v>
      </c>
      <c r="D668" s="451"/>
      <c r="E668" s="300" t="s">
        <v>1439</v>
      </c>
      <c r="F668" s="301" t="s">
        <v>1438</v>
      </c>
      <c r="G668" s="302">
        <v>0.27</v>
      </c>
      <c r="H668" s="301">
        <v>0.01</v>
      </c>
      <c r="I668" s="303">
        <f t="shared" si="61"/>
        <v>2.7000000000000001E-3</v>
      </c>
      <c r="J668" s="290" t="s">
        <v>1445</v>
      </c>
      <c r="K668" s="292">
        <v>2</v>
      </c>
      <c r="L668" s="311">
        <v>95</v>
      </c>
      <c r="M668" s="304">
        <v>2</v>
      </c>
      <c r="N668" s="292">
        <v>3.1146400000000001</v>
      </c>
      <c r="O668" s="291"/>
      <c r="P668" s="291"/>
      <c r="Q668" s="372"/>
      <c r="R668" s="291"/>
      <c r="S668" s="291"/>
      <c r="T668" s="291"/>
      <c r="U668" s="291"/>
      <c r="V668" s="291"/>
      <c r="W668" s="372"/>
      <c r="X668" s="291"/>
      <c r="Y668" s="291"/>
      <c r="Z668" s="291"/>
      <c r="AA668" s="440"/>
      <c r="AB668" s="460">
        <v>0.3</v>
      </c>
      <c r="AC668" s="440"/>
      <c r="AD668" s="444"/>
      <c r="AE668" s="444"/>
    </row>
    <row r="669" spans="1:49" x14ac:dyDescent="0.25">
      <c r="A669" s="1126"/>
      <c r="B669" s="452" t="s">
        <v>1179</v>
      </c>
      <c r="C669" s="487">
        <f>C659</f>
        <v>19.495759833054819</v>
      </c>
      <c r="D669" s="451"/>
      <c r="E669" s="300" t="s">
        <v>1440</v>
      </c>
      <c r="F669" s="301" t="s">
        <v>1441</v>
      </c>
      <c r="G669" s="302">
        <v>5.92</v>
      </c>
      <c r="H669" s="471">
        <v>1</v>
      </c>
      <c r="I669" s="303">
        <f t="shared" si="61"/>
        <v>5.92</v>
      </c>
      <c r="J669" s="290" t="s">
        <v>1513</v>
      </c>
      <c r="K669" s="292">
        <v>2</v>
      </c>
      <c r="L669" s="292">
        <v>25</v>
      </c>
      <c r="M669" s="304">
        <v>0.5</v>
      </c>
      <c r="N669" s="292">
        <v>0.13225000000000001</v>
      </c>
      <c r="O669" s="291"/>
      <c r="P669" s="291"/>
      <c r="Q669" s="372"/>
      <c r="R669" s="291"/>
      <c r="S669" s="291"/>
      <c r="T669" s="291"/>
      <c r="U669" s="291"/>
      <c r="V669" s="291"/>
      <c r="W669" s="372"/>
      <c r="X669" s="291"/>
      <c r="Y669" s="291"/>
      <c r="Z669" s="291"/>
      <c r="AA669" s="440"/>
      <c r="AB669" s="460">
        <v>0.3</v>
      </c>
      <c r="AC669" s="440"/>
      <c r="AD669" s="444"/>
      <c r="AE669" s="444"/>
    </row>
    <row r="670" spans="1:49" x14ac:dyDescent="0.25">
      <c r="A670" s="1126"/>
      <c r="B670" s="452" t="s">
        <v>1180</v>
      </c>
      <c r="C670" s="492"/>
      <c r="D670" s="451"/>
      <c r="E670" s="300" t="s">
        <v>1442</v>
      </c>
      <c r="F670" s="301" t="s">
        <v>1443</v>
      </c>
      <c r="G670" s="302">
        <v>419.5</v>
      </c>
      <c r="H670" s="301">
        <v>0.01</v>
      </c>
      <c r="I670" s="303">
        <f t="shared" si="61"/>
        <v>4.1950000000000003</v>
      </c>
      <c r="J670" s="290"/>
      <c r="K670" s="374"/>
      <c r="L670" s="292"/>
      <c r="M670" s="292"/>
      <c r="N670" s="292"/>
      <c r="O670" s="291"/>
      <c r="P670" s="291"/>
      <c r="Q670" s="291"/>
      <c r="R670" s="291"/>
      <c r="S670" s="291"/>
      <c r="T670" s="291"/>
      <c r="U670" s="291"/>
      <c r="V670" s="291"/>
      <c r="W670" s="291"/>
      <c r="X670" s="291"/>
      <c r="Y670" s="291"/>
      <c r="Z670" s="291"/>
      <c r="AA670" s="440"/>
      <c r="AB670" s="460">
        <v>0.3</v>
      </c>
      <c r="AC670" s="440"/>
    </row>
    <row r="671" spans="1:49" x14ac:dyDescent="0.25">
      <c r="A671" s="1126"/>
      <c r="B671" s="469" t="s">
        <v>1178</v>
      </c>
      <c r="C671" s="491">
        <v>1</v>
      </c>
      <c r="D671" s="451"/>
      <c r="E671" s="300" t="s">
        <v>1444</v>
      </c>
      <c r="F671" s="301" t="s">
        <v>1443</v>
      </c>
      <c r="G671" s="302">
        <v>872</v>
      </c>
      <c r="H671" s="301">
        <v>5.0000000000000001E-3</v>
      </c>
      <c r="I671" s="303">
        <f t="shared" si="61"/>
        <v>4.3600000000000003</v>
      </c>
      <c r="J671" s="290"/>
      <c r="K671" s="374"/>
      <c r="L671" s="292"/>
      <c r="M671" s="292"/>
      <c r="N671" s="292"/>
      <c r="O671" s="291"/>
      <c r="P671" s="291"/>
      <c r="Q671" s="291"/>
      <c r="R671" s="291"/>
      <c r="S671" s="291"/>
      <c r="T671" s="291"/>
      <c r="U671" s="291"/>
      <c r="V671" s="291"/>
      <c r="W671" s="291"/>
      <c r="X671" s="291"/>
      <c r="Y671" s="291"/>
      <c r="Z671" s="291"/>
      <c r="AA671" s="440"/>
      <c r="AB671" s="460">
        <v>0.3</v>
      </c>
      <c r="AC671" s="440"/>
    </row>
    <row r="672" spans="1:49" x14ac:dyDescent="0.25">
      <c r="A672" s="1126"/>
      <c r="B672" s="452" t="s">
        <v>1179</v>
      </c>
      <c r="C672" s="493">
        <v>1</v>
      </c>
      <c r="D672" s="451"/>
      <c r="E672" s="494" t="s">
        <v>13</v>
      </c>
      <c r="F672" s="376" t="s">
        <v>1441</v>
      </c>
      <c r="G672" s="302">
        <v>1.5</v>
      </c>
      <c r="H672" s="301">
        <v>1</v>
      </c>
      <c r="I672" s="303">
        <f t="shared" si="61"/>
        <v>1.5</v>
      </c>
      <c r="J672" s="290"/>
      <c r="K672" s="374"/>
      <c r="L672" s="305"/>
      <c r="M672" s="304"/>
      <c r="N672" s="292"/>
      <c r="O672" s="291"/>
      <c r="P672" s="291"/>
      <c r="Q672" s="291"/>
      <c r="R672" s="291"/>
      <c r="S672" s="291"/>
      <c r="T672" s="291"/>
      <c r="U672" s="291"/>
      <c r="V672" s="291"/>
      <c r="W672" s="291"/>
      <c r="X672" s="291"/>
      <c r="Y672" s="291"/>
      <c r="Z672" s="291"/>
      <c r="AA672" s="440"/>
      <c r="AB672" s="460">
        <v>0.3</v>
      </c>
      <c r="AC672" s="440"/>
    </row>
    <row r="673" spans="1:49" x14ac:dyDescent="0.25">
      <c r="A673" s="1126"/>
      <c r="B673" s="474" t="s">
        <v>1181</v>
      </c>
      <c r="C673" s="487">
        <f>C668*C671+C669*C672</f>
        <v>63.384574348364282</v>
      </c>
      <c r="D673" s="451"/>
      <c r="E673" s="653"/>
      <c r="F673" s="654"/>
      <c r="G673" s="302"/>
      <c r="H673" s="454"/>
      <c r="I673" s="303"/>
      <c r="J673" s="290"/>
      <c r="K673" s="374"/>
      <c r="L673" s="292"/>
      <c r="M673" s="292"/>
      <c r="N673" s="292"/>
      <c r="O673" s="291"/>
      <c r="P673" s="291"/>
      <c r="Q673" s="291"/>
      <c r="R673" s="291"/>
      <c r="S673" s="291"/>
      <c r="T673" s="291"/>
      <c r="U673" s="291"/>
      <c r="V673" s="291"/>
      <c r="W673" s="291"/>
      <c r="X673" s="291"/>
      <c r="Y673" s="291"/>
      <c r="Z673" s="291"/>
      <c r="AA673" s="440"/>
      <c r="AB673" s="460">
        <v>0.3</v>
      </c>
      <c r="AC673" s="440"/>
    </row>
    <row r="674" spans="1:49" x14ac:dyDescent="0.25">
      <c r="A674" s="1126"/>
      <c r="B674" s="474"/>
      <c r="C674" s="493"/>
      <c r="D674" s="475"/>
      <c r="E674" s="490"/>
      <c r="F674" s="578"/>
      <c r="G674" s="302"/>
      <c r="H674" s="454"/>
      <c r="I674" s="303"/>
      <c r="J674" s="290"/>
      <c r="K674" s="374"/>
      <c r="L674" s="292"/>
      <c r="M674" s="292"/>
      <c r="N674" s="292"/>
      <c r="O674" s="291"/>
      <c r="P674" s="291"/>
      <c r="Q674" s="291"/>
      <c r="R674" s="291"/>
      <c r="S674" s="291"/>
      <c r="T674" s="291"/>
      <c r="U674" s="291"/>
      <c r="V674" s="291"/>
      <c r="W674" s="291"/>
      <c r="X674" s="291"/>
      <c r="Y674" s="291"/>
      <c r="Z674" s="291"/>
      <c r="AA674" s="440"/>
      <c r="AB674" s="460">
        <v>0.3</v>
      </c>
      <c r="AC674" s="440"/>
    </row>
    <row r="675" spans="1:49" ht="56.25" customHeight="1" x14ac:dyDescent="0.25">
      <c r="A675" s="1126" t="s">
        <v>1550</v>
      </c>
      <c r="B675" s="439" t="s">
        <v>572</v>
      </c>
      <c r="C675" s="487"/>
      <c r="D675" s="489"/>
      <c r="E675" s="488" t="s">
        <v>488</v>
      </c>
      <c r="F675" s="442" t="s">
        <v>837</v>
      </c>
      <c r="G675" s="439" t="s">
        <v>489</v>
      </c>
      <c r="H675" s="441" t="s">
        <v>1170</v>
      </c>
      <c r="I675" s="442" t="s">
        <v>838</v>
      </c>
      <c r="J675" s="280" t="s">
        <v>1171</v>
      </c>
      <c r="K675" s="280" t="s">
        <v>490</v>
      </c>
      <c r="L675" s="281" t="s">
        <v>489</v>
      </c>
      <c r="M675" s="280" t="s">
        <v>1172</v>
      </c>
      <c r="N675" s="442" t="s">
        <v>838</v>
      </c>
      <c r="O675" s="280" t="s">
        <v>1171</v>
      </c>
      <c r="P675" s="280" t="s">
        <v>826</v>
      </c>
      <c r="Q675" s="280" t="s">
        <v>1173</v>
      </c>
      <c r="R675" s="280" t="s">
        <v>1174</v>
      </c>
      <c r="S675" s="280" t="s">
        <v>839</v>
      </c>
      <c r="T675" s="280" t="s">
        <v>1171</v>
      </c>
      <c r="U675" s="280" t="s">
        <v>1392</v>
      </c>
      <c r="V675" s="280" t="s">
        <v>841</v>
      </c>
      <c r="W675" s="282" t="s">
        <v>1173</v>
      </c>
      <c r="X675" s="280" t="s">
        <v>1394</v>
      </c>
      <c r="Y675" s="280" t="s">
        <v>839</v>
      </c>
      <c r="Z675" s="283"/>
      <c r="AA675" s="440"/>
      <c r="AB675" s="460">
        <v>0.3</v>
      </c>
      <c r="AC675" s="440"/>
      <c r="AD675" s="444"/>
      <c r="AQ675" s="449"/>
      <c r="AR675" s="449"/>
      <c r="AS675" s="449"/>
    </row>
    <row r="676" spans="1:49" ht="12" customHeight="1" x14ac:dyDescent="0.25">
      <c r="A676" s="1126"/>
      <c r="B676" s="450" t="s">
        <v>1175</v>
      </c>
      <c r="C676" s="487">
        <f>C683</f>
        <v>53.636694431836872</v>
      </c>
      <c r="D676" s="489">
        <f>C676*$D$7</f>
        <v>10.834612275231049</v>
      </c>
      <c r="E676" s="490" t="s">
        <v>1176</v>
      </c>
      <c r="F676" s="453"/>
      <c r="G676" s="454"/>
      <c r="H676" s="454"/>
      <c r="I676" s="455">
        <f>SUM(I677:I684)</f>
        <v>31.4236</v>
      </c>
      <c r="J676" s="290" t="s">
        <v>1176</v>
      </c>
      <c r="K676" s="357"/>
      <c r="L676" s="291"/>
      <c r="M676" s="291"/>
      <c r="N676" s="292">
        <f>SUM(N677:N684)</f>
        <v>4.4213899999999997</v>
      </c>
      <c r="O676" s="291" t="s">
        <v>1176</v>
      </c>
      <c r="P676" s="291"/>
      <c r="Q676" s="293"/>
      <c r="R676" s="294"/>
      <c r="S676" s="292">
        <f>SUM(S677:S684)</f>
        <v>8.1902000000000008</v>
      </c>
      <c r="T676" s="292"/>
      <c r="U676" s="292"/>
      <c r="V676" s="292"/>
      <c r="W676" s="292"/>
      <c r="X676" s="292"/>
      <c r="Y676" s="292">
        <f>SUM(Y677:Y684)</f>
        <v>9.1999999999999998E-3</v>
      </c>
      <c r="Z676" s="296">
        <f>(C676+D676+I676+N676+S676+Y676)*$Z$7</f>
        <v>141.09077333358081</v>
      </c>
      <c r="AA676" s="459">
        <f>C676+D676+I676+N676+S676+Y676+Z676</f>
        <v>249.60647004064873</v>
      </c>
      <c r="AB676" s="460">
        <v>0.3</v>
      </c>
      <c r="AC676" s="461">
        <f>AA676*(1+AB676)</f>
        <v>324.48841105284333</v>
      </c>
      <c r="AD676" s="448"/>
      <c r="AI676" s="449"/>
      <c r="AJ676" s="462"/>
      <c r="AK676" s="463"/>
      <c r="AM676" s="464"/>
      <c r="AN676" s="143"/>
      <c r="AO676" s="464"/>
      <c r="AP676" s="449"/>
      <c r="AQ676" s="449"/>
      <c r="AR676" s="449"/>
      <c r="AS676" s="449"/>
      <c r="AT676" s="449"/>
      <c r="AU676" s="464"/>
      <c r="AV676" s="464"/>
      <c r="AW676" s="465"/>
    </row>
    <row r="677" spans="1:49" ht="66" x14ac:dyDescent="0.25">
      <c r="A677" s="1126"/>
      <c r="B677" s="466" t="s">
        <v>1177</v>
      </c>
      <c r="C677" s="487"/>
      <c r="D677" s="451"/>
      <c r="E677" s="300" t="s">
        <v>1437</v>
      </c>
      <c r="F677" s="301" t="s">
        <v>1438</v>
      </c>
      <c r="G677" s="302">
        <v>0.74</v>
      </c>
      <c r="H677" s="301">
        <v>0.01</v>
      </c>
      <c r="I677" s="303">
        <f t="shared" ref="I677:I682" si="62">G677*H677</f>
        <v>7.4000000000000003E-3</v>
      </c>
      <c r="J677" s="290" t="s">
        <v>1291</v>
      </c>
      <c r="K677" s="304">
        <v>2</v>
      </c>
      <c r="L677" s="305">
        <v>750</v>
      </c>
      <c r="M677" s="304">
        <v>2</v>
      </c>
      <c r="N677" s="292">
        <v>1.1745000000000001</v>
      </c>
      <c r="O677" s="467" t="s">
        <v>1578</v>
      </c>
      <c r="P677" s="291">
        <v>188900</v>
      </c>
      <c r="Q677" s="372">
        <v>0.19670000000000001</v>
      </c>
      <c r="R677" s="291">
        <f>P677*Q677</f>
        <v>37156.630000000005</v>
      </c>
      <c r="S677" s="291">
        <v>8.1902000000000008</v>
      </c>
      <c r="T677" s="458" t="s">
        <v>1435</v>
      </c>
      <c r="U677" s="456">
        <v>6785401.3499999996</v>
      </c>
      <c r="V677" s="457">
        <v>1.32E-2</v>
      </c>
      <c r="W677" s="458">
        <v>1508.3</v>
      </c>
      <c r="X677" s="292">
        <v>59.38</v>
      </c>
      <c r="Y677" s="291">
        <v>9.1999999999999998E-3</v>
      </c>
      <c r="Z677" s="291"/>
      <c r="AA677" s="440"/>
      <c r="AB677" s="460">
        <v>0.3</v>
      </c>
      <c r="AC677" s="440"/>
      <c r="AD677" s="444"/>
      <c r="AE677" s="444"/>
    </row>
    <row r="678" spans="1:49" x14ac:dyDescent="0.25">
      <c r="A678" s="1126"/>
      <c r="B678" s="469" t="s">
        <v>1178</v>
      </c>
      <c r="C678" s="491">
        <f>C668</f>
        <v>43.888814515309463</v>
      </c>
      <c r="D678" s="451"/>
      <c r="E678" s="300" t="s">
        <v>1439</v>
      </c>
      <c r="F678" s="301" t="s">
        <v>1438</v>
      </c>
      <c r="G678" s="302">
        <v>0.27</v>
      </c>
      <c r="H678" s="301">
        <v>0.01</v>
      </c>
      <c r="I678" s="303">
        <f t="shared" si="62"/>
        <v>2.7000000000000001E-3</v>
      </c>
      <c r="J678" s="290" t="s">
        <v>1445</v>
      </c>
      <c r="K678" s="292">
        <v>2</v>
      </c>
      <c r="L678" s="311">
        <v>95</v>
      </c>
      <c r="M678" s="304">
        <v>2</v>
      </c>
      <c r="N678" s="292">
        <v>3.1146400000000001</v>
      </c>
      <c r="O678" s="291"/>
      <c r="P678" s="291"/>
      <c r="Q678" s="372"/>
      <c r="R678" s="291"/>
      <c r="S678" s="291"/>
      <c r="T678" s="291"/>
      <c r="U678" s="291"/>
      <c r="V678" s="291"/>
      <c r="W678" s="372"/>
      <c r="X678" s="291"/>
      <c r="Y678" s="291"/>
      <c r="Z678" s="291"/>
      <c r="AA678" s="440"/>
      <c r="AB678" s="460">
        <v>0.3</v>
      </c>
      <c r="AC678" s="440"/>
      <c r="AD678" s="444"/>
      <c r="AE678" s="444"/>
    </row>
    <row r="679" spans="1:49" x14ac:dyDescent="0.25">
      <c r="A679" s="1126"/>
      <c r="B679" s="452" t="s">
        <v>1179</v>
      </c>
      <c r="C679" s="487">
        <f>C669</f>
        <v>19.495759833054819</v>
      </c>
      <c r="D679" s="451"/>
      <c r="E679" s="300" t="s">
        <v>1440</v>
      </c>
      <c r="F679" s="301" t="s">
        <v>1441</v>
      </c>
      <c r="G679" s="302">
        <v>5.92</v>
      </c>
      <c r="H679" s="471">
        <v>1</v>
      </c>
      <c r="I679" s="303">
        <f t="shared" si="62"/>
        <v>5.92</v>
      </c>
      <c r="J679" s="290" t="s">
        <v>1513</v>
      </c>
      <c r="K679" s="292">
        <v>2</v>
      </c>
      <c r="L679" s="292">
        <v>25</v>
      </c>
      <c r="M679" s="304">
        <v>0.5</v>
      </c>
      <c r="N679" s="292">
        <v>0.13225000000000001</v>
      </c>
      <c r="O679" s="291"/>
      <c r="P679" s="291"/>
      <c r="Q679" s="372"/>
      <c r="R679" s="291"/>
      <c r="S679" s="291"/>
      <c r="T679" s="291"/>
      <c r="U679" s="291"/>
      <c r="V679" s="291"/>
      <c r="W679" s="372"/>
      <c r="X679" s="291"/>
      <c r="Y679" s="291"/>
      <c r="Z679" s="291"/>
      <c r="AA679" s="440"/>
      <c r="AB679" s="460">
        <v>0.3</v>
      </c>
      <c r="AC679" s="440"/>
      <c r="AD679" s="444"/>
      <c r="AE679" s="444"/>
    </row>
    <row r="680" spans="1:49" x14ac:dyDescent="0.25">
      <c r="A680" s="1126"/>
      <c r="B680" s="452" t="s">
        <v>1180</v>
      </c>
      <c r="C680" s="492"/>
      <c r="D680" s="451"/>
      <c r="E680" s="300" t="s">
        <v>1442</v>
      </c>
      <c r="F680" s="301" t="s">
        <v>1443</v>
      </c>
      <c r="G680" s="302">
        <v>419.5</v>
      </c>
      <c r="H680" s="301">
        <v>1E-3</v>
      </c>
      <c r="I680" s="303">
        <f t="shared" si="62"/>
        <v>0.41949999999999998</v>
      </c>
      <c r="J680" s="290"/>
      <c r="K680" s="374"/>
      <c r="L680" s="292"/>
      <c r="M680" s="292"/>
      <c r="N680" s="292"/>
      <c r="O680" s="291"/>
      <c r="P680" s="291"/>
      <c r="Q680" s="291"/>
      <c r="R680" s="291"/>
      <c r="S680" s="291"/>
      <c r="T680" s="291"/>
      <c r="U680" s="291"/>
      <c r="V680" s="291"/>
      <c r="W680" s="291"/>
      <c r="X680" s="291"/>
      <c r="Y680" s="291"/>
      <c r="Z680" s="291"/>
      <c r="AA680" s="440"/>
      <c r="AB680" s="460">
        <v>0.3</v>
      </c>
      <c r="AC680" s="440"/>
    </row>
    <row r="681" spans="1:49" x14ac:dyDescent="0.25">
      <c r="A681" s="1126"/>
      <c r="B681" s="469" t="s">
        <v>1178</v>
      </c>
      <c r="C681" s="493">
        <v>1</v>
      </c>
      <c r="D681" s="451"/>
      <c r="E681" s="300" t="s">
        <v>1444</v>
      </c>
      <c r="F681" s="301" t="s">
        <v>1443</v>
      </c>
      <c r="G681" s="302">
        <v>872</v>
      </c>
      <c r="H681" s="301">
        <v>2E-3</v>
      </c>
      <c r="I681" s="303">
        <f t="shared" si="62"/>
        <v>1.744</v>
      </c>
      <c r="J681" s="290"/>
      <c r="K681" s="374"/>
      <c r="L681" s="292"/>
      <c r="M681" s="292"/>
      <c r="N681" s="292"/>
      <c r="O681" s="291"/>
      <c r="P681" s="291"/>
      <c r="Q681" s="291"/>
      <c r="R681" s="291"/>
      <c r="S681" s="291"/>
      <c r="T681" s="291"/>
      <c r="U681" s="291"/>
      <c r="V681" s="291"/>
      <c r="W681" s="291"/>
      <c r="X681" s="291"/>
      <c r="Y681" s="291"/>
      <c r="Z681" s="291"/>
      <c r="AA681" s="440"/>
      <c r="AB681" s="460">
        <v>0.3</v>
      </c>
      <c r="AC681" s="440"/>
    </row>
    <row r="682" spans="1:49" x14ac:dyDescent="0.25">
      <c r="A682" s="1126"/>
      <c r="B682" s="452" t="s">
        <v>1179</v>
      </c>
      <c r="C682" s="493">
        <v>0.5</v>
      </c>
      <c r="D682" s="451"/>
      <c r="E682" s="494" t="s">
        <v>1700</v>
      </c>
      <c r="F682" s="376" t="s">
        <v>1441</v>
      </c>
      <c r="G682" s="302">
        <v>23.33</v>
      </c>
      <c r="H682" s="301">
        <v>1</v>
      </c>
      <c r="I682" s="303">
        <f t="shared" si="62"/>
        <v>23.33</v>
      </c>
      <c r="J682" s="290"/>
      <c r="K682" s="374"/>
      <c r="L682" s="305"/>
      <c r="M682" s="304"/>
      <c r="N682" s="292"/>
      <c r="O682" s="291"/>
      <c r="P682" s="291"/>
      <c r="Q682" s="291"/>
      <c r="R682" s="291"/>
      <c r="S682" s="291"/>
      <c r="T682" s="291"/>
      <c r="U682" s="291"/>
      <c r="V682" s="291"/>
      <c r="W682" s="291"/>
      <c r="X682" s="291"/>
      <c r="Y682" s="291"/>
      <c r="Z682" s="291"/>
      <c r="AA682" s="440"/>
      <c r="AB682" s="460">
        <v>0.3</v>
      </c>
      <c r="AC682" s="440"/>
    </row>
    <row r="683" spans="1:49" x14ac:dyDescent="0.25">
      <c r="A683" s="1126"/>
      <c r="B683" s="474" t="s">
        <v>1181</v>
      </c>
      <c r="C683" s="487">
        <f>C678*C681+C679*C682</f>
        <v>53.636694431836872</v>
      </c>
      <c r="D683" s="451"/>
      <c r="E683" s="490"/>
      <c r="F683" s="578"/>
      <c r="G683" s="302"/>
      <c r="H683" s="454"/>
      <c r="I683" s="303"/>
      <c r="J683" s="290"/>
      <c r="K683" s="374"/>
      <c r="L683" s="292"/>
      <c r="M683" s="292"/>
      <c r="N683" s="292"/>
      <c r="O683" s="291"/>
      <c r="P683" s="291"/>
      <c r="Q683" s="291"/>
      <c r="R683" s="291"/>
      <c r="S683" s="291"/>
      <c r="T683" s="291"/>
      <c r="U683" s="291"/>
      <c r="V683" s="291"/>
      <c r="W683" s="291"/>
      <c r="X683" s="291"/>
      <c r="Y683" s="291"/>
      <c r="Z683" s="291"/>
      <c r="AA683" s="440"/>
      <c r="AB683" s="460">
        <v>0.3</v>
      </c>
      <c r="AC683" s="440"/>
    </row>
    <row r="684" spans="1:49" x14ac:dyDescent="0.25">
      <c r="A684" s="1126"/>
      <c r="B684" s="474"/>
      <c r="C684" s="493"/>
      <c r="D684" s="475"/>
      <c r="E684" s="490"/>
      <c r="F684" s="578"/>
      <c r="G684" s="302"/>
      <c r="H684" s="454"/>
      <c r="I684" s="303"/>
      <c r="J684" s="290"/>
      <c r="K684" s="374"/>
      <c r="L684" s="292"/>
      <c r="M684" s="292"/>
      <c r="N684" s="292"/>
      <c r="O684" s="291"/>
      <c r="P684" s="291"/>
      <c r="Q684" s="291"/>
      <c r="R684" s="291"/>
      <c r="S684" s="291"/>
      <c r="T684" s="291"/>
      <c r="U684" s="291"/>
      <c r="V684" s="291"/>
      <c r="W684" s="291"/>
      <c r="X684" s="291"/>
      <c r="Y684" s="291"/>
      <c r="Z684" s="291"/>
      <c r="AA684" s="440"/>
      <c r="AB684" s="460">
        <v>0.3</v>
      </c>
      <c r="AC684" s="440"/>
    </row>
    <row r="685" spans="1:49" ht="56.25" customHeight="1" x14ac:dyDescent="0.25">
      <c r="A685" s="1126" t="s">
        <v>1551</v>
      </c>
      <c r="B685" s="439" t="s">
        <v>573</v>
      </c>
      <c r="C685" s="487"/>
      <c r="D685" s="489"/>
      <c r="E685" s="488" t="s">
        <v>488</v>
      </c>
      <c r="F685" s="442" t="s">
        <v>837</v>
      </c>
      <c r="G685" s="439" t="s">
        <v>489</v>
      </c>
      <c r="H685" s="441" t="s">
        <v>1170</v>
      </c>
      <c r="I685" s="442" t="s">
        <v>838</v>
      </c>
      <c r="J685" s="280" t="s">
        <v>1171</v>
      </c>
      <c r="K685" s="280" t="s">
        <v>490</v>
      </c>
      <c r="L685" s="281" t="s">
        <v>489</v>
      </c>
      <c r="M685" s="280" t="s">
        <v>1172</v>
      </c>
      <c r="N685" s="442" t="s">
        <v>838</v>
      </c>
      <c r="O685" s="280" t="s">
        <v>1171</v>
      </c>
      <c r="P685" s="280" t="s">
        <v>826</v>
      </c>
      <c r="Q685" s="280" t="s">
        <v>1173</v>
      </c>
      <c r="R685" s="280" t="s">
        <v>1174</v>
      </c>
      <c r="S685" s="280" t="s">
        <v>839</v>
      </c>
      <c r="T685" s="280" t="s">
        <v>1171</v>
      </c>
      <c r="U685" s="280" t="s">
        <v>1392</v>
      </c>
      <c r="V685" s="280" t="s">
        <v>841</v>
      </c>
      <c r="W685" s="282" t="s">
        <v>1173</v>
      </c>
      <c r="X685" s="280" t="s">
        <v>1394</v>
      </c>
      <c r="Y685" s="280" t="s">
        <v>839</v>
      </c>
      <c r="Z685" s="283"/>
      <c r="AA685" s="440"/>
      <c r="AB685" s="460">
        <v>0.3</v>
      </c>
      <c r="AC685" s="440"/>
      <c r="AD685" s="444"/>
      <c r="AQ685" s="449"/>
      <c r="AR685" s="449"/>
      <c r="AS685" s="449"/>
    </row>
    <row r="686" spans="1:49" ht="12" customHeight="1" x14ac:dyDescent="0.25">
      <c r="A686" s="1126"/>
      <c r="B686" s="450" t="s">
        <v>1175</v>
      </c>
      <c r="C686" s="487">
        <f>C693</f>
        <v>126.76914869672856</v>
      </c>
      <c r="D686" s="489">
        <f>C686*$D$7</f>
        <v>25.607368036739171</v>
      </c>
      <c r="E686" s="490" t="s">
        <v>1176</v>
      </c>
      <c r="F686" s="453"/>
      <c r="G686" s="454"/>
      <c r="H686" s="454"/>
      <c r="I686" s="455">
        <f>SUM(I687:I694)</f>
        <v>16.3477</v>
      </c>
      <c r="J686" s="290" t="s">
        <v>1176</v>
      </c>
      <c r="K686" s="357"/>
      <c r="L686" s="291"/>
      <c r="M686" s="291"/>
      <c r="N686" s="292">
        <f>SUM(N687:N694)</f>
        <v>4.4213899999999997</v>
      </c>
      <c r="O686" s="291" t="s">
        <v>1176</v>
      </c>
      <c r="P686" s="291"/>
      <c r="Q686" s="293"/>
      <c r="R686" s="294"/>
      <c r="S686" s="292">
        <f>SUM(S687:S694)</f>
        <v>8.1902000000000008</v>
      </c>
      <c r="T686" s="292"/>
      <c r="U686" s="292"/>
      <c r="V686" s="292"/>
      <c r="W686" s="292"/>
      <c r="X686" s="292"/>
      <c r="Y686" s="292">
        <f>SUM(Y687:Y694)</f>
        <v>9.1999999999999998E-3</v>
      </c>
      <c r="Z686" s="296">
        <f>(C686+D686+I686+N686+S686+Y686)*$Z$7</f>
        <v>235.78254590464132</v>
      </c>
      <c r="AA686" s="459">
        <f>C686+D686+I686+N686+S686+Y686+Z686</f>
        <v>417.12755263810902</v>
      </c>
      <c r="AB686" s="460">
        <v>0.3</v>
      </c>
      <c r="AC686" s="461">
        <f>AA686*(1+AB686)</f>
        <v>542.2658184295417</v>
      </c>
      <c r="AD686" s="448"/>
      <c r="AI686" s="449"/>
      <c r="AJ686" s="462"/>
      <c r="AK686" s="463"/>
      <c r="AM686" s="464"/>
      <c r="AN686" s="143"/>
      <c r="AO686" s="464"/>
      <c r="AP686" s="449"/>
      <c r="AQ686" s="449"/>
      <c r="AR686" s="449"/>
      <c r="AS686" s="449"/>
      <c r="AT686" s="449"/>
      <c r="AU686" s="464"/>
      <c r="AV686" s="464"/>
      <c r="AW686" s="465"/>
    </row>
    <row r="687" spans="1:49" ht="66" x14ac:dyDescent="0.25">
      <c r="A687" s="1126"/>
      <c r="B687" s="466" t="s">
        <v>1177</v>
      </c>
      <c r="C687" s="487"/>
      <c r="D687" s="451"/>
      <c r="E687" s="300" t="s">
        <v>1437</v>
      </c>
      <c r="F687" s="301" t="s">
        <v>1438</v>
      </c>
      <c r="G687" s="302">
        <v>0.74</v>
      </c>
      <c r="H687" s="301">
        <v>0.5</v>
      </c>
      <c r="I687" s="303">
        <f t="shared" ref="I687:I692" si="63">G687*H687</f>
        <v>0.37</v>
      </c>
      <c r="J687" s="290" t="s">
        <v>1291</v>
      </c>
      <c r="K687" s="304">
        <v>2</v>
      </c>
      <c r="L687" s="305">
        <v>750</v>
      </c>
      <c r="M687" s="304">
        <v>2</v>
      </c>
      <c r="N687" s="292">
        <v>1.1745000000000001</v>
      </c>
      <c r="O687" s="467" t="s">
        <v>1578</v>
      </c>
      <c r="P687" s="291">
        <v>188900</v>
      </c>
      <c r="Q687" s="372">
        <v>0.19670000000000001</v>
      </c>
      <c r="R687" s="291">
        <f>P687*Q687</f>
        <v>37156.630000000005</v>
      </c>
      <c r="S687" s="291">
        <v>8.1902000000000008</v>
      </c>
      <c r="T687" s="458" t="s">
        <v>1435</v>
      </c>
      <c r="U687" s="456">
        <v>6785401.3499999996</v>
      </c>
      <c r="V687" s="457">
        <v>1.32E-2</v>
      </c>
      <c r="W687" s="458">
        <v>1508.3</v>
      </c>
      <c r="X687" s="292">
        <v>59.38</v>
      </c>
      <c r="Y687" s="291">
        <v>9.1999999999999998E-3</v>
      </c>
      <c r="Z687" s="291"/>
      <c r="AA687" s="440"/>
      <c r="AB687" s="460">
        <v>0.3</v>
      </c>
      <c r="AC687" s="440"/>
      <c r="AD687" s="444"/>
      <c r="AE687" s="444"/>
    </row>
    <row r="688" spans="1:49" x14ac:dyDescent="0.25">
      <c r="A688" s="1126"/>
      <c r="B688" s="469" t="s">
        <v>1178</v>
      </c>
      <c r="C688" s="491">
        <f>C678</f>
        <v>43.888814515309463</v>
      </c>
      <c r="D688" s="451"/>
      <c r="E688" s="300" t="s">
        <v>1439</v>
      </c>
      <c r="F688" s="301" t="s">
        <v>1438</v>
      </c>
      <c r="G688" s="302">
        <v>0.27</v>
      </c>
      <c r="H688" s="301">
        <v>0.01</v>
      </c>
      <c r="I688" s="303">
        <f t="shared" si="63"/>
        <v>2.7000000000000001E-3</v>
      </c>
      <c r="J688" s="290" t="s">
        <v>1445</v>
      </c>
      <c r="K688" s="292">
        <v>2</v>
      </c>
      <c r="L688" s="311">
        <v>95</v>
      </c>
      <c r="M688" s="304">
        <v>2</v>
      </c>
      <c r="N688" s="292">
        <v>3.1146400000000001</v>
      </c>
      <c r="O688" s="291"/>
      <c r="P688" s="291"/>
      <c r="Q688" s="372"/>
      <c r="R688" s="291"/>
      <c r="S688" s="291"/>
      <c r="T688" s="291"/>
      <c r="U688" s="291"/>
      <c r="V688" s="291"/>
      <c r="W688" s="372"/>
      <c r="X688" s="291"/>
      <c r="Y688" s="291"/>
      <c r="Z688" s="291"/>
      <c r="AA688" s="440"/>
      <c r="AB688" s="460">
        <v>0.3</v>
      </c>
      <c r="AC688" s="440"/>
      <c r="AD688" s="444"/>
      <c r="AE688" s="444"/>
    </row>
    <row r="689" spans="1:49" x14ac:dyDescent="0.25">
      <c r="A689" s="1126"/>
      <c r="B689" s="452" t="s">
        <v>1179</v>
      </c>
      <c r="C689" s="487">
        <f>C679</f>
        <v>19.495759833054819</v>
      </c>
      <c r="D689" s="451"/>
      <c r="E689" s="300" t="s">
        <v>1440</v>
      </c>
      <c r="F689" s="301" t="s">
        <v>1441</v>
      </c>
      <c r="G689" s="302">
        <v>5.92</v>
      </c>
      <c r="H689" s="471">
        <v>1</v>
      </c>
      <c r="I689" s="303">
        <f t="shared" si="63"/>
        <v>5.92</v>
      </c>
      <c r="J689" s="290" t="s">
        <v>1513</v>
      </c>
      <c r="K689" s="292">
        <v>2</v>
      </c>
      <c r="L689" s="292">
        <v>25</v>
      </c>
      <c r="M689" s="304">
        <v>0.5</v>
      </c>
      <c r="N689" s="292">
        <v>0.13225000000000001</v>
      </c>
      <c r="O689" s="291"/>
      <c r="P689" s="291"/>
      <c r="Q689" s="372"/>
      <c r="R689" s="291"/>
      <c r="S689" s="291"/>
      <c r="T689" s="291"/>
      <c r="U689" s="291"/>
      <c r="V689" s="291"/>
      <c r="W689" s="372"/>
      <c r="X689" s="291"/>
      <c r="Y689" s="291"/>
      <c r="Z689" s="291"/>
      <c r="AA689" s="440"/>
      <c r="AB689" s="460">
        <v>0.3</v>
      </c>
      <c r="AC689" s="440"/>
      <c r="AD689" s="444"/>
      <c r="AE689" s="444"/>
    </row>
    <row r="690" spans="1:49" x14ac:dyDescent="0.25">
      <c r="A690" s="1126"/>
      <c r="B690" s="452" t="s">
        <v>1180</v>
      </c>
      <c r="C690" s="492"/>
      <c r="D690" s="451"/>
      <c r="E690" s="300" t="s">
        <v>1442</v>
      </c>
      <c r="F690" s="301" t="s">
        <v>1443</v>
      </c>
      <c r="G690" s="302">
        <v>419.5</v>
      </c>
      <c r="H690" s="301">
        <v>0.01</v>
      </c>
      <c r="I690" s="303">
        <f t="shared" si="63"/>
        <v>4.1950000000000003</v>
      </c>
      <c r="J690" s="290"/>
      <c r="K690" s="374"/>
      <c r="L690" s="292"/>
      <c r="M690" s="292"/>
      <c r="N690" s="292"/>
      <c r="O690" s="291"/>
      <c r="P690" s="291"/>
      <c r="Q690" s="291"/>
      <c r="R690" s="291"/>
      <c r="S690" s="291"/>
      <c r="T690" s="291"/>
      <c r="U690" s="291"/>
      <c r="V690" s="291"/>
      <c r="W690" s="291"/>
      <c r="X690" s="291"/>
      <c r="Y690" s="291"/>
      <c r="Z690" s="291"/>
      <c r="AA690" s="440"/>
      <c r="AB690" s="460">
        <v>0.3</v>
      </c>
      <c r="AC690" s="440"/>
    </row>
    <row r="691" spans="1:49" x14ac:dyDescent="0.25">
      <c r="A691" s="1126"/>
      <c r="B691" s="469" t="s">
        <v>1178</v>
      </c>
      <c r="C691" s="493">
        <v>2</v>
      </c>
      <c r="D691" s="451"/>
      <c r="E691" s="300" t="s">
        <v>1444</v>
      </c>
      <c r="F691" s="301" t="s">
        <v>1443</v>
      </c>
      <c r="G691" s="302">
        <v>872</v>
      </c>
      <c r="H691" s="301">
        <v>5.0000000000000001E-3</v>
      </c>
      <c r="I691" s="303">
        <f t="shared" si="63"/>
        <v>4.3600000000000003</v>
      </c>
      <c r="J691" s="290"/>
      <c r="K691" s="374"/>
      <c r="L691" s="292"/>
      <c r="M691" s="292"/>
      <c r="N691" s="292"/>
      <c r="O691" s="291"/>
      <c r="P691" s="291"/>
      <c r="Q691" s="291"/>
      <c r="R691" s="291"/>
      <c r="S691" s="291"/>
      <c r="T691" s="291"/>
      <c r="U691" s="291"/>
      <c r="V691" s="291"/>
      <c r="W691" s="291"/>
      <c r="X691" s="291"/>
      <c r="Y691" s="291"/>
      <c r="Z691" s="291"/>
      <c r="AA691" s="440"/>
      <c r="AB691" s="460">
        <v>0.3</v>
      </c>
      <c r="AC691" s="440"/>
    </row>
    <row r="692" spans="1:49" x14ac:dyDescent="0.25">
      <c r="A692" s="1126"/>
      <c r="B692" s="452" t="s">
        <v>1179</v>
      </c>
      <c r="C692" s="493">
        <v>2</v>
      </c>
      <c r="D692" s="451"/>
      <c r="E692" s="494" t="s">
        <v>13</v>
      </c>
      <c r="F692" s="376" t="s">
        <v>1441</v>
      </c>
      <c r="G692" s="302">
        <v>1.5</v>
      </c>
      <c r="H692" s="301">
        <v>1</v>
      </c>
      <c r="I692" s="303">
        <f t="shared" si="63"/>
        <v>1.5</v>
      </c>
      <c r="J692" s="290"/>
      <c r="K692" s="374"/>
      <c r="L692" s="305"/>
      <c r="M692" s="304"/>
      <c r="N692" s="292"/>
      <c r="O692" s="291"/>
      <c r="P692" s="291"/>
      <c r="Q692" s="291"/>
      <c r="R692" s="291"/>
      <c r="S692" s="291"/>
      <c r="T692" s="291"/>
      <c r="U692" s="291"/>
      <c r="V692" s="291"/>
      <c r="W692" s="291"/>
      <c r="X692" s="291"/>
      <c r="Y692" s="291"/>
      <c r="Z692" s="291"/>
      <c r="AA692" s="440"/>
      <c r="AB692" s="460">
        <v>0.3</v>
      </c>
      <c r="AC692" s="440"/>
    </row>
    <row r="693" spans="1:49" x14ac:dyDescent="0.25">
      <c r="A693" s="1126"/>
      <c r="B693" s="474" t="s">
        <v>1181</v>
      </c>
      <c r="C693" s="487">
        <f>C688*C691+C689*C692</f>
        <v>126.76914869672856</v>
      </c>
      <c r="D693" s="451"/>
      <c r="E693" s="490"/>
      <c r="F693" s="578"/>
      <c r="G693" s="302"/>
      <c r="H693" s="454"/>
      <c r="I693" s="303"/>
      <c r="J693" s="290"/>
      <c r="K693" s="374"/>
      <c r="L693" s="292"/>
      <c r="M693" s="292"/>
      <c r="N693" s="292"/>
      <c r="O693" s="291"/>
      <c r="P693" s="291"/>
      <c r="Q693" s="291"/>
      <c r="R693" s="291"/>
      <c r="S693" s="291"/>
      <c r="T693" s="291"/>
      <c r="U693" s="291"/>
      <c r="V693" s="291"/>
      <c r="W693" s="291"/>
      <c r="X693" s="291"/>
      <c r="Y693" s="291"/>
      <c r="Z693" s="291"/>
      <c r="AA693" s="440"/>
      <c r="AB693" s="460">
        <v>0.3</v>
      </c>
      <c r="AC693" s="440"/>
    </row>
    <row r="694" spans="1:49" x14ac:dyDescent="0.25">
      <c r="A694" s="1126"/>
      <c r="B694" s="474"/>
      <c r="C694" s="493"/>
      <c r="D694" s="475"/>
      <c r="E694" s="490"/>
      <c r="F694" s="578"/>
      <c r="G694" s="302"/>
      <c r="H694" s="454"/>
      <c r="I694" s="303"/>
      <c r="J694" s="290"/>
      <c r="K694" s="374"/>
      <c r="L694" s="292"/>
      <c r="M694" s="292"/>
      <c r="N694" s="292"/>
      <c r="O694" s="291"/>
      <c r="P694" s="291"/>
      <c r="Q694" s="291"/>
      <c r="R694" s="291"/>
      <c r="S694" s="291"/>
      <c r="T694" s="291"/>
      <c r="U694" s="291"/>
      <c r="V694" s="291"/>
      <c r="W694" s="291"/>
      <c r="X694" s="291"/>
      <c r="Y694" s="291"/>
      <c r="Z694" s="291"/>
      <c r="AA694" s="440"/>
      <c r="AB694" s="460">
        <v>0.3</v>
      </c>
      <c r="AC694" s="440"/>
    </row>
    <row r="695" spans="1:49" ht="56.25" customHeight="1" x14ac:dyDescent="0.25">
      <c r="A695" s="1126" t="s">
        <v>1552</v>
      </c>
      <c r="B695" s="439" t="s">
        <v>574</v>
      </c>
      <c r="C695" s="487"/>
      <c r="D695" s="489"/>
      <c r="E695" s="488" t="s">
        <v>488</v>
      </c>
      <c r="F695" s="442" t="s">
        <v>837</v>
      </c>
      <c r="G695" s="439" t="s">
        <v>489</v>
      </c>
      <c r="H695" s="441" t="s">
        <v>1170</v>
      </c>
      <c r="I695" s="442" t="s">
        <v>838</v>
      </c>
      <c r="J695" s="280" t="s">
        <v>1171</v>
      </c>
      <c r="K695" s="280" t="s">
        <v>490</v>
      </c>
      <c r="L695" s="281" t="s">
        <v>489</v>
      </c>
      <c r="M695" s="280" t="s">
        <v>1172</v>
      </c>
      <c r="N695" s="442" t="s">
        <v>838</v>
      </c>
      <c r="O695" s="280" t="s">
        <v>1171</v>
      </c>
      <c r="P695" s="280" t="s">
        <v>826</v>
      </c>
      <c r="Q695" s="280" t="s">
        <v>1173</v>
      </c>
      <c r="R695" s="280" t="s">
        <v>1174</v>
      </c>
      <c r="S695" s="280" t="s">
        <v>839</v>
      </c>
      <c r="T695" s="280" t="s">
        <v>1171</v>
      </c>
      <c r="U695" s="280" t="s">
        <v>1392</v>
      </c>
      <c r="V695" s="280" t="s">
        <v>841</v>
      </c>
      <c r="W695" s="282" t="s">
        <v>1173</v>
      </c>
      <c r="X695" s="280" t="s">
        <v>1394</v>
      </c>
      <c r="Y695" s="280" t="s">
        <v>839</v>
      </c>
      <c r="Z695" s="283"/>
      <c r="AA695" s="440"/>
      <c r="AB695" s="460">
        <v>0.3</v>
      </c>
      <c r="AC695" s="440"/>
      <c r="AD695" s="444"/>
      <c r="AQ695" s="449"/>
      <c r="AR695" s="449"/>
      <c r="AS695" s="449"/>
    </row>
    <row r="696" spans="1:49" ht="12" customHeight="1" x14ac:dyDescent="0.25">
      <c r="A696" s="1126"/>
      <c r="B696" s="450" t="s">
        <v>1175</v>
      </c>
      <c r="C696" s="487">
        <f>C703</f>
        <v>190.15372304509285</v>
      </c>
      <c r="D696" s="489">
        <f>C696*$D$7</f>
        <v>38.411052055108755</v>
      </c>
      <c r="E696" s="490" t="s">
        <v>1176</v>
      </c>
      <c r="F696" s="453"/>
      <c r="G696" s="454"/>
      <c r="H696" s="454"/>
      <c r="I696" s="455">
        <f>SUM(I697:I704)</f>
        <v>23.645</v>
      </c>
      <c r="J696" s="290" t="s">
        <v>1176</v>
      </c>
      <c r="K696" s="357"/>
      <c r="L696" s="291"/>
      <c r="M696" s="291"/>
      <c r="N696" s="292">
        <f>SUM(N697:N704)</f>
        <v>9.7177053508634495E-2</v>
      </c>
      <c r="O696" s="291" t="s">
        <v>1176</v>
      </c>
      <c r="P696" s="291"/>
      <c r="Q696" s="293"/>
      <c r="R696" s="294"/>
      <c r="S696" s="292">
        <f>SUM(S697:S704)</f>
        <v>4.1503124387477399</v>
      </c>
      <c r="T696" s="292"/>
      <c r="U696" s="292"/>
      <c r="V696" s="292"/>
      <c r="W696" s="292"/>
      <c r="X696" s="292"/>
      <c r="Y696" s="292">
        <f>SUM(Y697:Y704)</f>
        <v>10.307632433223615</v>
      </c>
      <c r="Z696" s="296">
        <f>(C696+D696+I696+N696+S696+Y696)*$Z$7</f>
        <v>346.84443598245815</v>
      </c>
      <c r="AA696" s="459">
        <f>C696+D696+I696+N696+S696+Y696+Z696</f>
        <v>613.60933300813974</v>
      </c>
      <c r="AB696" s="460">
        <v>0.3</v>
      </c>
      <c r="AC696" s="461">
        <f>AA696*(1+AB696)</f>
        <v>797.69213291058168</v>
      </c>
      <c r="AD696" s="448"/>
      <c r="AI696" s="449"/>
      <c r="AJ696" s="462"/>
      <c r="AK696" s="463"/>
      <c r="AM696" s="464"/>
      <c r="AN696" s="143"/>
      <c r="AO696" s="464"/>
      <c r="AP696" s="449"/>
      <c r="AQ696" s="449"/>
      <c r="AR696" s="449"/>
      <c r="AS696" s="449"/>
      <c r="AT696" s="449"/>
      <c r="AU696" s="464"/>
      <c r="AV696" s="464"/>
      <c r="AW696" s="465"/>
    </row>
    <row r="697" spans="1:49" ht="66" x14ac:dyDescent="0.25">
      <c r="A697" s="1126"/>
      <c r="B697" s="466" t="s">
        <v>1177</v>
      </c>
      <c r="C697" s="487"/>
      <c r="D697" s="451"/>
      <c r="E697" s="300" t="s">
        <v>1437</v>
      </c>
      <c r="F697" s="301" t="s">
        <v>1438</v>
      </c>
      <c r="G697" s="302">
        <v>0.74</v>
      </c>
      <c r="H697" s="301">
        <v>10</v>
      </c>
      <c r="I697" s="303">
        <f t="shared" ref="I697:I702" si="64">G697*H697</f>
        <v>7.4</v>
      </c>
      <c r="J697" s="888" t="s">
        <v>1291</v>
      </c>
      <c r="K697" s="908">
        <v>2</v>
      </c>
      <c r="L697" s="909">
        <v>750</v>
      </c>
      <c r="M697" s="908">
        <v>2</v>
      </c>
      <c r="N697" s="891">
        <f>L697/'Исп. коэффициенты'!E28</f>
        <v>8.377332199020214E-2</v>
      </c>
      <c r="O697" s="910" t="s">
        <v>1578</v>
      </c>
      <c r="P697" s="890">
        <v>188900</v>
      </c>
      <c r="Q697" s="892">
        <v>0.19670000000000001</v>
      </c>
      <c r="R697" s="890">
        <f>P697*Q697</f>
        <v>37156.630000000005</v>
      </c>
      <c r="S697" s="890">
        <f>R697/'Исп. коэффициенты'!E28</f>
        <v>4.1503124387477399</v>
      </c>
      <c r="T697" s="830" t="s">
        <v>1435</v>
      </c>
      <c r="U697" s="887">
        <v>6785401.3499999996</v>
      </c>
      <c r="V697" s="894">
        <v>1.3599999999999999E-2</v>
      </c>
      <c r="W697" s="830">
        <f>'Исп. коэффициенты'!E643</f>
        <v>0</v>
      </c>
      <c r="X697" s="891">
        <f>U697*V697</f>
        <v>92281.45835999999</v>
      </c>
      <c r="Y697" s="890">
        <f>X697/'Исп. коэффициенты'!E28</f>
        <v>10.307632433223615</v>
      </c>
      <c r="Z697" s="291"/>
      <c r="AA697" s="440"/>
      <c r="AB697" s="460">
        <v>0.3</v>
      </c>
      <c r="AC697" s="440"/>
      <c r="AD697" s="444"/>
      <c r="AE697" s="444"/>
    </row>
    <row r="698" spans="1:49" x14ac:dyDescent="0.25">
      <c r="A698" s="1126"/>
      <c r="B698" s="469" t="s">
        <v>1178</v>
      </c>
      <c r="C698" s="491">
        <f>C688</f>
        <v>43.888814515309463</v>
      </c>
      <c r="D698" s="451"/>
      <c r="E698" s="300" t="s">
        <v>1439</v>
      </c>
      <c r="F698" s="301" t="s">
        <v>1438</v>
      </c>
      <c r="G698" s="302">
        <v>0.27</v>
      </c>
      <c r="H698" s="301">
        <v>1</v>
      </c>
      <c r="I698" s="303">
        <f t="shared" si="64"/>
        <v>0.27</v>
      </c>
      <c r="J698" s="888" t="s">
        <v>1445</v>
      </c>
      <c r="K698" s="891">
        <v>2</v>
      </c>
      <c r="L698" s="915">
        <v>95</v>
      </c>
      <c r="M698" s="908">
        <v>2</v>
      </c>
      <c r="N698" s="891">
        <f>L698/'Исп. коэффициенты'!E28</f>
        <v>1.0611287452092272E-2</v>
      </c>
      <c r="O698" s="890"/>
      <c r="P698" s="890"/>
      <c r="Q698" s="892"/>
      <c r="R698" s="890"/>
      <c r="S698" s="890"/>
      <c r="T698" s="890"/>
      <c r="U698" s="890"/>
      <c r="V698" s="890"/>
      <c r="W698" s="892"/>
      <c r="X698" s="890"/>
      <c r="Y698" s="890"/>
      <c r="Z698" s="291"/>
      <c r="AA698" s="440"/>
      <c r="AB698" s="460">
        <v>0.3</v>
      </c>
      <c r="AC698" s="440"/>
      <c r="AD698" s="444"/>
      <c r="AE698" s="444"/>
    </row>
    <row r="699" spans="1:49" x14ac:dyDescent="0.25">
      <c r="A699" s="1126"/>
      <c r="B699" s="452" t="s">
        <v>1179</v>
      </c>
      <c r="C699" s="487">
        <f>C689</f>
        <v>19.495759833054819</v>
      </c>
      <c r="D699" s="451"/>
      <c r="E699" s="300" t="s">
        <v>1440</v>
      </c>
      <c r="F699" s="301" t="s">
        <v>1441</v>
      </c>
      <c r="G699" s="302">
        <v>5.92</v>
      </c>
      <c r="H699" s="471">
        <v>1</v>
      </c>
      <c r="I699" s="303">
        <f t="shared" si="64"/>
        <v>5.92</v>
      </c>
      <c r="J699" s="888" t="s">
        <v>1513</v>
      </c>
      <c r="K699" s="891">
        <v>2</v>
      </c>
      <c r="L699" s="891">
        <v>25</v>
      </c>
      <c r="M699" s="908">
        <v>0.5</v>
      </c>
      <c r="N699" s="891">
        <f>L699/'Исп. коэффициенты'!E28</f>
        <v>2.7924440663400717E-3</v>
      </c>
      <c r="O699" s="890"/>
      <c r="P699" s="890"/>
      <c r="Q699" s="892"/>
      <c r="R699" s="890"/>
      <c r="S699" s="890"/>
      <c r="T699" s="890"/>
      <c r="U699" s="890"/>
      <c r="V699" s="890"/>
      <c r="W699" s="892"/>
      <c r="X699" s="890"/>
      <c r="Y699" s="890"/>
      <c r="Z699" s="291"/>
      <c r="AA699" s="440"/>
      <c r="AB699" s="460">
        <v>0.3</v>
      </c>
      <c r="AC699" s="440"/>
      <c r="AD699" s="444"/>
      <c r="AE699" s="444"/>
    </row>
    <row r="700" spans="1:49" x14ac:dyDescent="0.25">
      <c r="A700" s="1126"/>
      <c r="B700" s="452" t="s">
        <v>1180</v>
      </c>
      <c r="C700" s="492"/>
      <c r="D700" s="451"/>
      <c r="E700" s="300" t="s">
        <v>1442</v>
      </c>
      <c r="F700" s="301" t="s">
        <v>1443</v>
      </c>
      <c r="G700" s="302">
        <v>419.5</v>
      </c>
      <c r="H700" s="301">
        <v>0.01</v>
      </c>
      <c r="I700" s="303">
        <f t="shared" si="64"/>
        <v>4.1950000000000003</v>
      </c>
      <c r="J700" s="888"/>
      <c r="K700" s="918"/>
      <c r="L700" s="891"/>
      <c r="M700" s="891"/>
      <c r="N700" s="891"/>
      <c r="O700" s="890"/>
      <c r="P700" s="890"/>
      <c r="Q700" s="892"/>
      <c r="R700" s="890"/>
      <c r="S700" s="890"/>
      <c r="T700" s="890"/>
      <c r="U700" s="890"/>
      <c r="V700" s="890"/>
      <c r="W700" s="892"/>
      <c r="X700" s="890"/>
      <c r="Y700" s="890"/>
      <c r="Z700" s="291"/>
      <c r="AA700" s="440"/>
      <c r="AB700" s="460">
        <v>0.3</v>
      </c>
      <c r="AC700" s="440"/>
    </row>
    <row r="701" spans="1:49" x14ac:dyDescent="0.25">
      <c r="A701" s="1126"/>
      <c r="B701" s="469" t="s">
        <v>1178</v>
      </c>
      <c r="C701" s="493">
        <v>3</v>
      </c>
      <c r="D701" s="451"/>
      <c r="E701" s="300" t="s">
        <v>1444</v>
      </c>
      <c r="F701" s="301" t="s">
        <v>1443</v>
      </c>
      <c r="G701" s="302">
        <v>872</v>
      </c>
      <c r="H701" s="301">
        <v>5.0000000000000001E-3</v>
      </c>
      <c r="I701" s="303">
        <f t="shared" si="64"/>
        <v>4.3600000000000003</v>
      </c>
      <c r="J701" s="888"/>
      <c r="K701" s="918"/>
      <c r="L701" s="891"/>
      <c r="M701" s="891"/>
      <c r="N701" s="891"/>
      <c r="O701" s="890"/>
      <c r="P701" s="890"/>
      <c r="Q701" s="890"/>
      <c r="R701" s="890"/>
      <c r="S701" s="890"/>
      <c r="T701" s="890"/>
      <c r="U701" s="890"/>
      <c r="V701" s="890"/>
      <c r="W701" s="890"/>
      <c r="X701" s="890"/>
      <c r="Y701" s="890"/>
      <c r="Z701" s="291"/>
      <c r="AA701" s="440"/>
      <c r="AB701" s="460">
        <v>0.3</v>
      </c>
      <c r="AC701" s="440"/>
    </row>
    <row r="702" spans="1:49" x14ac:dyDescent="0.25">
      <c r="A702" s="1126"/>
      <c r="B702" s="452" t="s">
        <v>1179</v>
      </c>
      <c r="C702" s="493">
        <v>3</v>
      </c>
      <c r="D702" s="451"/>
      <c r="E702" s="494" t="s">
        <v>13</v>
      </c>
      <c r="F702" s="376" t="s">
        <v>1441</v>
      </c>
      <c r="G702" s="302">
        <v>1.5</v>
      </c>
      <c r="H702" s="301">
        <v>1</v>
      </c>
      <c r="I702" s="303">
        <f t="shared" si="64"/>
        <v>1.5</v>
      </c>
      <c r="J702" s="290"/>
      <c r="K702" s="374"/>
      <c r="L702" s="305"/>
      <c r="M702" s="304"/>
      <c r="N702" s="292"/>
      <c r="O702" s="291"/>
      <c r="P702" s="291"/>
      <c r="Q702" s="291"/>
      <c r="R702" s="291"/>
      <c r="S702" s="291"/>
      <c r="T702" s="291"/>
      <c r="U702" s="291"/>
      <c r="V702" s="291"/>
      <c r="W702" s="291"/>
      <c r="X702" s="291"/>
      <c r="Y702" s="291"/>
      <c r="Z702" s="291"/>
      <c r="AA702" s="440"/>
      <c r="AB702" s="460">
        <v>0.3</v>
      </c>
      <c r="AC702" s="440"/>
    </row>
    <row r="703" spans="1:49" x14ac:dyDescent="0.25">
      <c r="A703" s="1126"/>
      <c r="B703" s="474" t="s">
        <v>1181</v>
      </c>
      <c r="C703" s="487">
        <f>C698*C701+C699*C702</f>
        <v>190.15372304509285</v>
      </c>
      <c r="D703" s="451"/>
      <c r="E703" s="490"/>
      <c r="F703" s="578"/>
      <c r="G703" s="302"/>
      <c r="H703" s="454"/>
      <c r="I703" s="303"/>
      <c r="J703" s="290"/>
      <c r="K703" s="374"/>
      <c r="L703" s="292"/>
      <c r="M703" s="292"/>
      <c r="N703" s="292"/>
      <c r="O703" s="291"/>
      <c r="P703" s="291"/>
      <c r="Q703" s="291"/>
      <c r="R703" s="291"/>
      <c r="S703" s="291"/>
      <c r="T703" s="291"/>
      <c r="U703" s="291"/>
      <c r="V703" s="291"/>
      <c r="W703" s="291"/>
      <c r="X703" s="291"/>
      <c r="Y703" s="291"/>
      <c r="Z703" s="291"/>
      <c r="AA703" s="440"/>
      <c r="AB703" s="460">
        <v>0.3</v>
      </c>
      <c r="AC703" s="440"/>
    </row>
    <row r="704" spans="1:49" x14ac:dyDescent="0.25">
      <c r="A704" s="1126"/>
      <c r="B704" s="474"/>
      <c r="C704" s="493"/>
      <c r="D704" s="475"/>
      <c r="E704" s="490"/>
      <c r="F704" s="578"/>
      <c r="G704" s="302"/>
      <c r="H704" s="454"/>
      <c r="I704" s="303"/>
      <c r="J704" s="290"/>
      <c r="K704" s="374"/>
      <c r="L704" s="292"/>
      <c r="M704" s="292"/>
      <c r="N704" s="292"/>
      <c r="O704" s="291"/>
      <c r="P704" s="291"/>
      <c r="Q704" s="291"/>
      <c r="R704" s="291"/>
      <c r="S704" s="291"/>
      <c r="T704" s="291"/>
      <c r="U704" s="291"/>
      <c r="V704" s="291"/>
      <c r="W704" s="291"/>
      <c r="X704" s="291"/>
      <c r="Y704" s="291"/>
      <c r="Z704" s="291"/>
      <c r="AA704" s="440"/>
      <c r="AB704" s="460">
        <v>0.3</v>
      </c>
      <c r="AC704" s="440"/>
    </row>
    <row r="705" spans="1:49" ht="56.25" customHeight="1" x14ac:dyDescent="0.25">
      <c r="A705" s="1126" t="s">
        <v>1583</v>
      </c>
      <c r="B705" s="439" t="s">
        <v>576</v>
      </c>
      <c r="C705" s="487"/>
      <c r="D705" s="489"/>
      <c r="E705" s="488" t="s">
        <v>488</v>
      </c>
      <c r="F705" s="442" t="s">
        <v>837</v>
      </c>
      <c r="G705" s="439" t="s">
        <v>489</v>
      </c>
      <c r="H705" s="441" t="s">
        <v>1170</v>
      </c>
      <c r="I705" s="442" t="s">
        <v>838</v>
      </c>
      <c r="J705" s="280" t="s">
        <v>1171</v>
      </c>
      <c r="K705" s="280" t="s">
        <v>490</v>
      </c>
      <c r="L705" s="281" t="s">
        <v>489</v>
      </c>
      <c r="M705" s="280" t="s">
        <v>1172</v>
      </c>
      <c r="N705" s="442" t="s">
        <v>838</v>
      </c>
      <c r="O705" s="280" t="s">
        <v>1171</v>
      </c>
      <c r="P705" s="280" t="s">
        <v>826</v>
      </c>
      <c r="Q705" s="280" t="s">
        <v>1173</v>
      </c>
      <c r="R705" s="280" t="s">
        <v>1174</v>
      </c>
      <c r="S705" s="280" t="s">
        <v>839</v>
      </c>
      <c r="T705" s="280" t="s">
        <v>1171</v>
      </c>
      <c r="U705" s="280" t="s">
        <v>1392</v>
      </c>
      <c r="V705" s="280" t="s">
        <v>841</v>
      </c>
      <c r="W705" s="282" t="s">
        <v>1173</v>
      </c>
      <c r="X705" s="280" t="s">
        <v>1394</v>
      </c>
      <c r="Y705" s="280" t="s">
        <v>839</v>
      </c>
      <c r="Z705" s="283"/>
      <c r="AA705" s="440"/>
      <c r="AB705" s="460">
        <v>0.3</v>
      </c>
      <c r="AC705" s="440"/>
      <c r="AD705" s="444"/>
      <c r="AQ705" s="449"/>
      <c r="AR705" s="449"/>
      <c r="AS705" s="449"/>
    </row>
    <row r="706" spans="1:49" ht="12" customHeight="1" x14ac:dyDescent="0.25">
      <c r="A706" s="1126"/>
      <c r="B706" s="450" t="s">
        <v>1175</v>
      </c>
      <c r="C706" s="487">
        <f>C713</f>
        <v>151.16220337898321</v>
      </c>
      <c r="D706" s="489">
        <f>C706*$D$7</f>
        <v>30.53476508255461</v>
      </c>
      <c r="E706" s="490" t="s">
        <v>1176</v>
      </c>
      <c r="F706" s="453"/>
      <c r="G706" s="454"/>
      <c r="H706" s="454"/>
      <c r="I706" s="455">
        <f>SUM(I707:I714)</f>
        <v>35.323599999999999</v>
      </c>
      <c r="J706" s="290" t="s">
        <v>1176</v>
      </c>
      <c r="K706" s="357"/>
      <c r="L706" s="291"/>
      <c r="M706" s="291"/>
      <c r="N706" s="292">
        <f>SUM(N707:N714)</f>
        <v>4.4213899999999997</v>
      </c>
      <c r="O706" s="291" t="s">
        <v>1176</v>
      </c>
      <c r="P706" s="291"/>
      <c r="Q706" s="293"/>
      <c r="R706" s="294"/>
      <c r="S706" s="292">
        <f>SUM(S707:S714)</f>
        <v>8.1902000000000008</v>
      </c>
      <c r="T706" s="292"/>
      <c r="U706" s="292"/>
      <c r="V706" s="292"/>
      <c r="W706" s="292"/>
      <c r="X706" s="292"/>
      <c r="Y706" s="292">
        <f>SUM(Y707:Y714)</f>
        <v>9.1999999999999998E-3</v>
      </c>
      <c r="Z706" s="296">
        <f>(C706+D706+I706+N706+S706+Y706)*$Z$7</f>
        <v>298.57686802836594</v>
      </c>
      <c r="AA706" s="459">
        <f>C706+D706+I706+N706+S706+Y706+Z706</f>
        <v>528.21822648990371</v>
      </c>
      <c r="AB706" s="460">
        <v>0.3</v>
      </c>
      <c r="AC706" s="461">
        <f>AA706*(1+AB706)</f>
        <v>686.68369443687482</v>
      </c>
      <c r="AD706" s="448"/>
      <c r="AI706" s="449"/>
      <c r="AJ706" s="462"/>
      <c r="AK706" s="463"/>
      <c r="AM706" s="464"/>
      <c r="AN706" s="143"/>
      <c r="AO706" s="464"/>
      <c r="AP706" s="449"/>
      <c r="AQ706" s="449"/>
      <c r="AR706" s="449"/>
      <c r="AS706" s="449"/>
      <c r="AT706" s="449"/>
      <c r="AU706" s="464"/>
      <c r="AV706" s="464"/>
      <c r="AW706" s="465"/>
    </row>
    <row r="707" spans="1:49" ht="66" x14ac:dyDescent="0.25">
      <c r="A707" s="1126"/>
      <c r="B707" s="466" t="s">
        <v>1177</v>
      </c>
      <c r="C707" s="487"/>
      <c r="D707" s="451"/>
      <c r="E707" s="300" t="s">
        <v>1437</v>
      </c>
      <c r="F707" s="301" t="s">
        <v>1438</v>
      </c>
      <c r="G707" s="302">
        <v>0.74</v>
      </c>
      <c r="H707" s="301">
        <v>0.01</v>
      </c>
      <c r="I707" s="303">
        <f t="shared" ref="I707:I714" si="65">G707*H707</f>
        <v>7.4000000000000003E-3</v>
      </c>
      <c r="J707" s="290" t="s">
        <v>1291</v>
      </c>
      <c r="K707" s="304">
        <v>2</v>
      </c>
      <c r="L707" s="305">
        <v>750</v>
      </c>
      <c r="M707" s="304">
        <v>2</v>
      </c>
      <c r="N707" s="292">
        <v>1.1745000000000001</v>
      </c>
      <c r="O707" s="467" t="s">
        <v>1578</v>
      </c>
      <c r="P707" s="291">
        <v>188900</v>
      </c>
      <c r="Q707" s="372">
        <v>0.19670000000000001</v>
      </c>
      <c r="R707" s="291">
        <f>P707*Q707</f>
        <v>37156.630000000005</v>
      </c>
      <c r="S707" s="291">
        <v>8.1902000000000008</v>
      </c>
      <c r="T707" s="458" t="s">
        <v>1435</v>
      </c>
      <c r="U707" s="456">
        <v>6785401.3499999996</v>
      </c>
      <c r="V707" s="457">
        <v>1.32E-2</v>
      </c>
      <c r="W707" s="458">
        <v>1508.3</v>
      </c>
      <c r="X707" s="292">
        <v>59.38</v>
      </c>
      <c r="Y707" s="291">
        <v>9.1999999999999998E-3</v>
      </c>
      <c r="Z707" s="291"/>
      <c r="AA707" s="440"/>
      <c r="AB707" s="460">
        <v>0.3</v>
      </c>
      <c r="AC707" s="440"/>
      <c r="AD707" s="444"/>
      <c r="AE707" s="444"/>
    </row>
    <row r="708" spans="1:49" x14ac:dyDescent="0.25">
      <c r="A708" s="1126"/>
      <c r="B708" s="469" t="s">
        <v>1178</v>
      </c>
      <c r="C708" s="491">
        <f>C698</f>
        <v>43.888814515309463</v>
      </c>
      <c r="D708" s="451"/>
      <c r="E708" s="300" t="s">
        <v>1439</v>
      </c>
      <c r="F708" s="301" t="s">
        <v>1438</v>
      </c>
      <c r="G708" s="302">
        <v>0.27</v>
      </c>
      <c r="H708" s="301">
        <v>0.01</v>
      </c>
      <c r="I708" s="303">
        <f t="shared" si="65"/>
        <v>2.7000000000000001E-3</v>
      </c>
      <c r="J708" s="290" t="s">
        <v>1445</v>
      </c>
      <c r="K708" s="292">
        <v>2</v>
      </c>
      <c r="L708" s="311">
        <v>95</v>
      </c>
      <c r="M708" s="304">
        <v>2</v>
      </c>
      <c r="N708" s="292">
        <v>3.1146400000000001</v>
      </c>
      <c r="O708" s="291"/>
      <c r="P708" s="291"/>
      <c r="Q708" s="372"/>
      <c r="R708" s="291"/>
      <c r="S708" s="291"/>
      <c r="T708" s="291"/>
      <c r="U708" s="291"/>
      <c r="V708" s="291"/>
      <c r="W708" s="372"/>
      <c r="X708" s="291"/>
      <c r="Y708" s="291"/>
      <c r="Z708" s="291"/>
      <c r="AA708" s="440"/>
      <c r="AB708" s="460">
        <v>0.3</v>
      </c>
      <c r="AC708" s="440"/>
      <c r="AD708" s="444"/>
      <c r="AE708" s="444"/>
    </row>
    <row r="709" spans="1:49" x14ac:dyDescent="0.25">
      <c r="A709" s="1126"/>
      <c r="B709" s="452" t="s">
        <v>1179</v>
      </c>
      <c r="C709" s="487">
        <f>C699</f>
        <v>19.495759833054819</v>
      </c>
      <c r="D709" s="451"/>
      <c r="E709" s="300" t="s">
        <v>1440</v>
      </c>
      <c r="F709" s="301" t="s">
        <v>1441</v>
      </c>
      <c r="G709" s="302">
        <v>5.92</v>
      </c>
      <c r="H709" s="471">
        <v>1</v>
      </c>
      <c r="I709" s="303">
        <f t="shared" si="65"/>
        <v>5.92</v>
      </c>
      <c r="J709" s="290" t="s">
        <v>1513</v>
      </c>
      <c r="K709" s="292">
        <v>2</v>
      </c>
      <c r="L709" s="292">
        <v>25</v>
      </c>
      <c r="M709" s="304">
        <v>0.5</v>
      </c>
      <c r="N709" s="292">
        <v>0.13225000000000001</v>
      </c>
      <c r="O709" s="291"/>
      <c r="P709" s="291"/>
      <c r="Q709" s="372"/>
      <c r="R709" s="291"/>
      <c r="S709" s="291"/>
      <c r="T709" s="291"/>
      <c r="U709" s="291"/>
      <c r="V709" s="291"/>
      <c r="W709" s="372"/>
      <c r="X709" s="291"/>
      <c r="Y709" s="291"/>
      <c r="Z709" s="291"/>
      <c r="AA709" s="440"/>
      <c r="AB709" s="460">
        <v>0.3</v>
      </c>
      <c r="AC709" s="440"/>
      <c r="AD709" s="444"/>
      <c r="AE709" s="444"/>
    </row>
    <row r="710" spans="1:49" x14ac:dyDescent="0.25">
      <c r="A710" s="1126"/>
      <c r="B710" s="452" t="s">
        <v>1180</v>
      </c>
      <c r="C710" s="492"/>
      <c r="D710" s="451"/>
      <c r="E710" s="300" t="s">
        <v>1442</v>
      </c>
      <c r="F710" s="301" t="s">
        <v>1443</v>
      </c>
      <c r="G710" s="302">
        <v>419.5</v>
      </c>
      <c r="H710" s="301">
        <v>1E-3</v>
      </c>
      <c r="I710" s="303">
        <f t="shared" si="65"/>
        <v>0.41949999999999998</v>
      </c>
      <c r="J710" s="290"/>
      <c r="K710" s="374"/>
      <c r="L710" s="292"/>
      <c r="M710" s="292"/>
      <c r="N710" s="292"/>
      <c r="O710" s="291"/>
      <c r="P710" s="291"/>
      <c r="Q710" s="291"/>
      <c r="R710" s="291"/>
      <c r="S710" s="291"/>
      <c r="T710" s="291"/>
      <c r="U710" s="291"/>
      <c r="V710" s="291"/>
      <c r="W710" s="291"/>
      <c r="X710" s="291"/>
      <c r="Y710" s="291"/>
      <c r="Z710" s="291"/>
      <c r="AA710" s="440"/>
      <c r="AB710" s="460">
        <v>0.3</v>
      </c>
      <c r="AC710" s="440"/>
    </row>
    <row r="711" spans="1:49" x14ac:dyDescent="0.25">
      <c r="A711" s="1126"/>
      <c r="B711" s="469" t="s">
        <v>1178</v>
      </c>
      <c r="C711" s="493">
        <v>3</v>
      </c>
      <c r="D711" s="451"/>
      <c r="E711" s="300" t="s">
        <v>1444</v>
      </c>
      <c r="F711" s="301" t="s">
        <v>1443</v>
      </c>
      <c r="G711" s="302">
        <v>872</v>
      </c>
      <c r="H711" s="301">
        <v>2E-3</v>
      </c>
      <c r="I711" s="303">
        <f t="shared" si="65"/>
        <v>1.744</v>
      </c>
      <c r="J711" s="290"/>
      <c r="K711" s="374"/>
      <c r="L711" s="292"/>
      <c r="M711" s="292"/>
      <c r="N711" s="292"/>
      <c r="O711" s="291"/>
      <c r="P711" s="291"/>
      <c r="Q711" s="291"/>
      <c r="R711" s="291"/>
      <c r="S711" s="291"/>
      <c r="T711" s="291"/>
      <c r="U711" s="291"/>
      <c r="V711" s="291"/>
      <c r="W711" s="291"/>
      <c r="X711" s="291"/>
      <c r="Y711" s="291"/>
      <c r="Z711" s="291"/>
      <c r="AA711" s="440"/>
      <c r="AB711" s="460">
        <v>0.3</v>
      </c>
      <c r="AC711" s="440"/>
    </row>
    <row r="712" spans="1:49" x14ac:dyDescent="0.25">
      <c r="A712" s="1126"/>
      <c r="B712" s="452" t="s">
        <v>1179</v>
      </c>
      <c r="C712" s="493">
        <v>1</v>
      </c>
      <c r="D712" s="451"/>
      <c r="E712" s="494" t="s">
        <v>1702</v>
      </c>
      <c r="F712" s="376" t="s">
        <v>1441</v>
      </c>
      <c r="G712" s="302">
        <v>1.2</v>
      </c>
      <c r="H712" s="301">
        <v>2</v>
      </c>
      <c r="I712" s="303">
        <f t="shared" si="65"/>
        <v>2.4</v>
      </c>
      <c r="J712" s="290"/>
      <c r="K712" s="374"/>
      <c r="L712" s="305"/>
      <c r="M712" s="304"/>
      <c r="N712" s="292"/>
      <c r="O712" s="291"/>
      <c r="P712" s="291"/>
      <c r="Q712" s="291"/>
      <c r="R712" s="291"/>
      <c r="S712" s="291"/>
      <c r="T712" s="291"/>
      <c r="U712" s="291"/>
      <c r="V712" s="291"/>
      <c r="W712" s="291"/>
      <c r="X712" s="291"/>
      <c r="Y712" s="291"/>
      <c r="Z712" s="291"/>
      <c r="AA712" s="440"/>
      <c r="AB712" s="460">
        <v>0.3</v>
      </c>
      <c r="AC712" s="440"/>
    </row>
    <row r="713" spans="1:49" x14ac:dyDescent="0.25">
      <c r="A713" s="1126"/>
      <c r="B713" s="474" t="s">
        <v>1181</v>
      </c>
      <c r="C713" s="487">
        <f>C708*C711+C709*C712</f>
        <v>151.16220337898321</v>
      </c>
      <c r="D713" s="451"/>
      <c r="E713" s="653" t="s">
        <v>13</v>
      </c>
      <c r="F713" s="654" t="s">
        <v>1441</v>
      </c>
      <c r="G713" s="302">
        <v>1.5</v>
      </c>
      <c r="H713" s="454">
        <v>1</v>
      </c>
      <c r="I713" s="303">
        <f t="shared" si="65"/>
        <v>1.5</v>
      </c>
      <c r="J713" s="290"/>
      <c r="K713" s="374"/>
      <c r="L713" s="292"/>
      <c r="M713" s="292"/>
      <c r="N713" s="292"/>
      <c r="O713" s="291"/>
      <c r="P713" s="291"/>
      <c r="Q713" s="291"/>
      <c r="R713" s="291"/>
      <c r="S713" s="291"/>
      <c r="T713" s="291"/>
      <c r="U713" s="291"/>
      <c r="V713" s="291"/>
      <c r="W713" s="291"/>
      <c r="X713" s="291"/>
      <c r="Y713" s="291"/>
      <c r="Z713" s="291"/>
      <c r="AA713" s="440"/>
      <c r="AB713" s="460">
        <v>0.3</v>
      </c>
      <c r="AC713" s="440"/>
    </row>
    <row r="714" spans="1:49" x14ac:dyDescent="0.25">
      <c r="A714" s="1126"/>
      <c r="B714" s="474"/>
      <c r="C714" s="487"/>
      <c r="D714" s="451"/>
      <c r="E714" s="494" t="s">
        <v>1700</v>
      </c>
      <c r="F714" s="376" t="s">
        <v>1441</v>
      </c>
      <c r="G714" s="302">
        <v>23.33</v>
      </c>
      <c r="H714" s="301">
        <v>1</v>
      </c>
      <c r="I714" s="303">
        <f t="shared" si="65"/>
        <v>23.33</v>
      </c>
      <c r="J714" s="290"/>
      <c r="K714" s="374"/>
      <c r="L714" s="292"/>
      <c r="M714" s="292"/>
      <c r="N714" s="292"/>
      <c r="O714" s="291"/>
      <c r="P714" s="291"/>
      <c r="Q714" s="291"/>
      <c r="R714" s="291"/>
      <c r="S714" s="291"/>
      <c r="T714" s="291"/>
      <c r="U714" s="291"/>
      <c r="V714" s="291"/>
      <c r="W714" s="291"/>
      <c r="X714" s="291"/>
      <c r="Y714" s="291"/>
      <c r="Z714" s="291"/>
      <c r="AA714" s="440"/>
      <c r="AB714" s="460"/>
      <c r="AC714" s="440"/>
    </row>
    <row r="715" spans="1:49" ht="56.25" customHeight="1" x14ac:dyDescent="0.25">
      <c r="A715" s="1126" t="s">
        <v>1553</v>
      </c>
      <c r="B715" s="439" t="s">
        <v>575</v>
      </c>
      <c r="C715" s="487"/>
      <c r="D715" s="489"/>
      <c r="E715" s="488" t="s">
        <v>488</v>
      </c>
      <c r="F715" s="442" t="s">
        <v>837</v>
      </c>
      <c r="G715" s="439" t="s">
        <v>489</v>
      </c>
      <c r="H715" s="441" t="s">
        <v>1170</v>
      </c>
      <c r="I715" s="442" t="s">
        <v>838</v>
      </c>
      <c r="J715" s="280" t="s">
        <v>1171</v>
      </c>
      <c r="K715" s="280" t="s">
        <v>490</v>
      </c>
      <c r="L715" s="281" t="s">
        <v>489</v>
      </c>
      <c r="M715" s="280" t="s">
        <v>1172</v>
      </c>
      <c r="N715" s="442" t="s">
        <v>838</v>
      </c>
      <c r="O715" s="280" t="s">
        <v>1171</v>
      </c>
      <c r="P715" s="280" t="s">
        <v>826</v>
      </c>
      <c r="Q715" s="280" t="s">
        <v>1173</v>
      </c>
      <c r="R715" s="280" t="s">
        <v>1174</v>
      </c>
      <c r="S715" s="280" t="s">
        <v>839</v>
      </c>
      <c r="T715" s="280" t="s">
        <v>1171</v>
      </c>
      <c r="U715" s="280" t="s">
        <v>1392</v>
      </c>
      <c r="V715" s="280" t="s">
        <v>841</v>
      </c>
      <c r="W715" s="282" t="s">
        <v>1173</v>
      </c>
      <c r="X715" s="280" t="s">
        <v>1394</v>
      </c>
      <c r="Y715" s="280" t="s">
        <v>839</v>
      </c>
      <c r="Z715" s="283"/>
      <c r="AA715" s="440"/>
      <c r="AB715" s="460">
        <v>0.3</v>
      </c>
      <c r="AC715" s="440"/>
      <c r="AD715" s="444"/>
      <c r="AQ715" s="449"/>
      <c r="AR715" s="449"/>
      <c r="AS715" s="449"/>
    </row>
    <row r="716" spans="1:49" ht="12" customHeight="1" x14ac:dyDescent="0.25">
      <c r="A716" s="1126"/>
      <c r="B716" s="450" t="s">
        <v>1175</v>
      </c>
      <c r="C716" s="487">
        <f>C723</f>
        <v>190.15372304509285</v>
      </c>
      <c r="D716" s="489">
        <f>C716*$D$7</f>
        <v>38.411052055108755</v>
      </c>
      <c r="E716" s="490" t="s">
        <v>1176</v>
      </c>
      <c r="F716" s="453"/>
      <c r="G716" s="454"/>
      <c r="H716" s="454"/>
      <c r="I716" s="455">
        <f>SUM(I717:I724)</f>
        <v>19.677700000000002</v>
      </c>
      <c r="J716" s="290" t="s">
        <v>1176</v>
      </c>
      <c r="K716" s="357"/>
      <c r="L716" s="291"/>
      <c r="M716" s="291"/>
      <c r="N716" s="292">
        <f>SUM(N717:N724)</f>
        <v>4.4213899999999997</v>
      </c>
      <c r="O716" s="291" t="s">
        <v>1176</v>
      </c>
      <c r="P716" s="291"/>
      <c r="Q716" s="293"/>
      <c r="R716" s="294"/>
      <c r="S716" s="292">
        <f>SUM(S717:S724)</f>
        <v>8.1902000000000008</v>
      </c>
      <c r="T716" s="292"/>
      <c r="U716" s="292"/>
      <c r="V716" s="292"/>
      <c r="W716" s="292"/>
      <c r="X716" s="292"/>
      <c r="Y716" s="292">
        <f>SUM(Y717:Y724)</f>
        <v>9.1999999999999998E-3</v>
      </c>
      <c r="Z716" s="296">
        <f>(C716+D716+I716+N716+S716+Y716)*$Z$7</f>
        <v>339.17120678554426</v>
      </c>
      <c r="AA716" s="459">
        <f>C716+D716+I716+N716+S716+Y716+Z716</f>
        <v>600.03447188574592</v>
      </c>
      <c r="AB716" s="460">
        <v>0.3</v>
      </c>
      <c r="AC716" s="461">
        <f>AA716*(1+AB716)</f>
        <v>780.04481345146974</v>
      </c>
      <c r="AD716" s="448"/>
      <c r="AI716" s="449"/>
      <c r="AJ716" s="462"/>
      <c r="AK716" s="463"/>
      <c r="AM716" s="464"/>
      <c r="AN716" s="143"/>
      <c r="AO716" s="464"/>
      <c r="AP716" s="449"/>
      <c r="AQ716" s="449"/>
      <c r="AR716" s="449"/>
      <c r="AS716" s="449"/>
      <c r="AT716" s="449"/>
      <c r="AU716" s="464"/>
      <c r="AV716" s="464"/>
      <c r="AW716" s="465"/>
    </row>
    <row r="717" spans="1:49" ht="66" x14ac:dyDescent="0.25">
      <c r="A717" s="1126"/>
      <c r="B717" s="466" t="s">
        <v>1177</v>
      </c>
      <c r="C717" s="487"/>
      <c r="D717" s="451"/>
      <c r="E717" s="300" t="s">
        <v>1437</v>
      </c>
      <c r="F717" s="301" t="s">
        <v>1438</v>
      </c>
      <c r="G717" s="302">
        <v>0.74</v>
      </c>
      <c r="H717" s="301">
        <v>5</v>
      </c>
      <c r="I717" s="303">
        <f t="shared" ref="I717:I722" si="66">G717*H717</f>
        <v>3.7</v>
      </c>
      <c r="J717" s="290" t="s">
        <v>1291</v>
      </c>
      <c r="K717" s="304">
        <v>2</v>
      </c>
      <c r="L717" s="305">
        <v>750</v>
      </c>
      <c r="M717" s="304">
        <v>2</v>
      </c>
      <c r="N717" s="292">
        <v>1.1745000000000001</v>
      </c>
      <c r="O717" s="467" t="s">
        <v>1578</v>
      </c>
      <c r="P717" s="291">
        <v>188900</v>
      </c>
      <c r="Q717" s="372">
        <v>0.19670000000000001</v>
      </c>
      <c r="R717" s="291">
        <f>P717*Q717</f>
        <v>37156.630000000005</v>
      </c>
      <c r="S717" s="291">
        <v>8.1902000000000008</v>
      </c>
      <c r="T717" s="458" t="s">
        <v>1435</v>
      </c>
      <c r="U717" s="456">
        <v>6785401.3499999996</v>
      </c>
      <c r="V717" s="457">
        <v>1.32E-2</v>
      </c>
      <c r="W717" s="458">
        <v>1508.3</v>
      </c>
      <c r="X717" s="292">
        <v>59.38</v>
      </c>
      <c r="Y717" s="291">
        <v>9.1999999999999998E-3</v>
      </c>
      <c r="Z717" s="291"/>
      <c r="AA717" s="440"/>
      <c r="AB717" s="460">
        <v>0.3</v>
      </c>
      <c r="AC717" s="443"/>
      <c r="AD717" s="444"/>
      <c r="AE717" s="444"/>
    </row>
    <row r="718" spans="1:49" x14ac:dyDescent="0.25">
      <c r="A718" s="1126"/>
      <c r="B718" s="469" t="s">
        <v>1178</v>
      </c>
      <c r="C718" s="491">
        <f>C708</f>
        <v>43.888814515309463</v>
      </c>
      <c r="D718" s="451"/>
      <c r="E718" s="300" t="s">
        <v>1439</v>
      </c>
      <c r="F718" s="301" t="s">
        <v>1438</v>
      </c>
      <c r="G718" s="302">
        <v>0.27</v>
      </c>
      <c r="H718" s="301">
        <v>0.01</v>
      </c>
      <c r="I718" s="303">
        <f t="shared" si="66"/>
        <v>2.7000000000000001E-3</v>
      </c>
      <c r="J718" s="290" t="s">
        <v>1445</v>
      </c>
      <c r="K718" s="292">
        <v>2</v>
      </c>
      <c r="L718" s="311">
        <v>95</v>
      </c>
      <c r="M718" s="304">
        <v>2</v>
      </c>
      <c r="N718" s="292">
        <v>3.1146400000000001</v>
      </c>
      <c r="O718" s="291"/>
      <c r="P718" s="291"/>
      <c r="Q718" s="372"/>
      <c r="R718" s="291"/>
      <c r="S718" s="291"/>
      <c r="T718" s="291"/>
      <c r="U718" s="291"/>
      <c r="V718" s="291"/>
      <c r="W718" s="372"/>
      <c r="X718" s="291"/>
      <c r="Y718" s="291"/>
      <c r="Z718" s="291"/>
      <c r="AA718" s="440"/>
      <c r="AB718" s="460">
        <v>0.3</v>
      </c>
      <c r="AC718" s="443"/>
      <c r="AD718" s="444"/>
      <c r="AE718" s="444"/>
    </row>
    <row r="719" spans="1:49" x14ac:dyDescent="0.25">
      <c r="A719" s="1126"/>
      <c r="B719" s="452" t="s">
        <v>1179</v>
      </c>
      <c r="C719" s="487">
        <f>C709</f>
        <v>19.495759833054819</v>
      </c>
      <c r="D719" s="451"/>
      <c r="E719" s="300" t="s">
        <v>1440</v>
      </c>
      <c r="F719" s="301" t="s">
        <v>1441</v>
      </c>
      <c r="G719" s="302">
        <v>5.92</v>
      </c>
      <c r="H719" s="471">
        <v>1</v>
      </c>
      <c r="I719" s="303">
        <f t="shared" si="66"/>
        <v>5.92</v>
      </c>
      <c r="J719" s="290" t="s">
        <v>1513</v>
      </c>
      <c r="K719" s="292">
        <v>2</v>
      </c>
      <c r="L719" s="292">
        <v>25</v>
      </c>
      <c r="M719" s="304">
        <v>0.5</v>
      </c>
      <c r="N719" s="292">
        <v>0.13225000000000001</v>
      </c>
      <c r="O719" s="291"/>
      <c r="P719" s="291"/>
      <c r="Q719" s="372"/>
      <c r="R719" s="291"/>
      <c r="S719" s="291"/>
      <c r="T719" s="291"/>
      <c r="U719" s="291"/>
      <c r="V719" s="291"/>
      <c r="W719" s="372"/>
      <c r="X719" s="291"/>
      <c r="Y719" s="291"/>
      <c r="Z719" s="291"/>
      <c r="AA719" s="440"/>
      <c r="AB719" s="460">
        <v>0.3</v>
      </c>
      <c r="AC719" s="443"/>
      <c r="AD719" s="444"/>
      <c r="AE719" s="444"/>
    </row>
    <row r="720" spans="1:49" x14ac:dyDescent="0.25">
      <c r="A720" s="1126"/>
      <c r="B720" s="452" t="s">
        <v>1180</v>
      </c>
      <c r="C720" s="492"/>
      <c r="D720" s="451"/>
      <c r="E720" s="300" t="s">
        <v>1442</v>
      </c>
      <c r="F720" s="301" t="s">
        <v>1443</v>
      </c>
      <c r="G720" s="302">
        <v>419.5</v>
      </c>
      <c r="H720" s="301">
        <v>0.01</v>
      </c>
      <c r="I720" s="303">
        <f t="shared" si="66"/>
        <v>4.1950000000000003</v>
      </c>
      <c r="J720" s="290"/>
      <c r="K720" s="374"/>
      <c r="L720" s="292"/>
      <c r="M720" s="292"/>
      <c r="N720" s="292"/>
      <c r="O720" s="291"/>
      <c r="P720" s="291"/>
      <c r="Q720" s="291"/>
      <c r="R720" s="291"/>
      <c r="S720" s="291"/>
      <c r="T720" s="291"/>
      <c r="U720" s="291"/>
      <c r="V720" s="291"/>
      <c r="W720" s="291"/>
      <c r="X720" s="291"/>
      <c r="Y720" s="291"/>
      <c r="Z720" s="291"/>
      <c r="AA720" s="440"/>
      <c r="AB720" s="460">
        <v>0.3</v>
      </c>
      <c r="AC720" s="443"/>
    </row>
    <row r="721" spans="1:49" x14ac:dyDescent="0.25">
      <c r="A721" s="1126"/>
      <c r="B721" s="469" t="s">
        <v>1178</v>
      </c>
      <c r="C721" s="493">
        <v>3</v>
      </c>
      <c r="D721" s="451"/>
      <c r="E721" s="300" t="s">
        <v>1444</v>
      </c>
      <c r="F721" s="301" t="s">
        <v>1443</v>
      </c>
      <c r="G721" s="302">
        <v>872</v>
      </c>
      <c r="H721" s="301">
        <v>5.0000000000000001E-3</v>
      </c>
      <c r="I721" s="303">
        <f t="shared" si="66"/>
        <v>4.3600000000000003</v>
      </c>
      <c r="J721" s="290"/>
      <c r="K721" s="374"/>
      <c r="L721" s="292"/>
      <c r="M721" s="292"/>
      <c r="N721" s="292"/>
      <c r="O721" s="291"/>
      <c r="P721" s="291"/>
      <c r="Q721" s="291"/>
      <c r="R721" s="291"/>
      <c r="S721" s="291"/>
      <c r="T721" s="291"/>
      <c r="U721" s="291"/>
      <c r="V721" s="291"/>
      <c r="W721" s="291"/>
      <c r="X721" s="291"/>
      <c r="Y721" s="291"/>
      <c r="Z721" s="291"/>
      <c r="AA721" s="440"/>
      <c r="AB721" s="460">
        <v>0.3</v>
      </c>
      <c r="AC721" s="443"/>
    </row>
    <row r="722" spans="1:49" x14ac:dyDescent="0.25">
      <c r="A722" s="1126"/>
      <c r="B722" s="452" t="s">
        <v>1179</v>
      </c>
      <c r="C722" s="493">
        <v>3</v>
      </c>
      <c r="D722" s="451"/>
      <c r="E722" s="494" t="s">
        <v>13</v>
      </c>
      <c r="F722" s="376" t="s">
        <v>1441</v>
      </c>
      <c r="G722" s="302">
        <v>1.5</v>
      </c>
      <c r="H722" s="301">
        <v>1</v>
      </c>
      <c r="I722" s="303">
        <f t="shared" si="66"/>
        <v>1.5</v>
      </c>
      <c r="J722" s="290"/>
      <c r="K722" s="374"/>
      <c r="L722" s="305"/>
      <c r="M722" s="304"/>
      <c r="N722" s="292"/>
      <c r="O722" s="291"/>
      <c r="P722" s="291"/>
      <c r="Q722" s="291"/>
      <c r="R722" s="291"/>
      <c r="S722" s="291"/>
      <c r="T722" s="291"/>
      <c r="U722" s="291"/>
      <c r="V722" s="291"/>
      <c r="W722" s="291"/>
      <c r="X722" s="291"/>
      <c r="Y722" s="291"/>
      <c r="Z722" s="291"/>
      <c r="AA722" s="440"/>
      <c r="AB722" s="460">
        <v>0.3</v>
      </c>
      <c r="AC722" s="443"/>
    </row>
    <row r="723" spans="1:49" x14ac:dyDescent="0.25">
      <c r="A723" s="1126"/>
      <c r="B723" s="474" t="s">
        <v>1181</v>
      </c>
      <c r="C723" s="487">
        <f>C718*C721+C719*C722</f>
        <v>190.15372304509285</v>
      </c>
      <c r="D723" s="451"/>
      <c r="E723" s="490"/>
      <c r="F723" s="578"/>
      <c r="G723" s="302"/>
      <c r="H723" s="454"/>
      <c r="I723" s="303"/>
      <c r="J723" s="290"/>
      <c r="K723" s="374"/>
      <c r="L723" s="292"/>
      <c r="M723" s="292"/>
      <c r="N723" s="292"/>
      <c r="O723" s="291"/>
      <c r="P723" s="291"/>
      <c r="Q723" s="291"/>
      <c r="R723" s="291"/>
      <c r="S723" s="291"/>
      <c r="T723" s="291"/>
      <c r="U723" s="291"/>
      <c r="V723" s="291"/>
      <c r="W723" s="291"/>
      <c r="X723" s="291"/>
      <c r="Y723" s="291"/>
      <c r="Z723" s="291"/>
      <c r="AA723" s="440"/>
      <c r="AB723" s="460">
        <v>0.3</v>
      </c>
      <c r="AC723" s="443"/>
    </row>
    <row r="724" spans="1:49" x14ac:dyDescent="0.25">
      <c r="A724" s="1126"/>
      <c r="B724" s="474"/>
      <c r="C724" s="493"/>
      <c r="D724" s="475"/>
      <c r="E724" s="490"/>
      <c r="F724" s="578"/>
      <c r="G724" s="302"/>
      <c r="H724" s="454"/>
      <c r="I724" s="303"/>
      <c r="J724" s="290"/>
      <c r="K724" s="374"/>
      <c r="L724" s="292"/>
      <c r="M724" s="292"/>
      <c r="N724" s="292"/>
      <c r="O724" s="291"/>
      <c r="P724" s="291"/>
      <c r="Q724" s="291"/>
      <c r="R724" s="291"/>
      <c r="S724" s="291"/>
      <c r="T724" s="291"/>
      <c r="U724" s="291"/>
      <c r="V724" s="291"/>
      <c r="W724" s="291"/>
      <c r="X724" s="291"/>
      <c r="Y724" s="291"/>
      <c r="Z724" s="291"/>
      <c r="AA724" s="440"/>
      <c r="AB724" s="460">
        <v>0.3</v>
      </c>
      <c r="AC724" s="443"/>
    </row>
    <row r="725" spans="1:49" ht="56.25" customHeight="1" x14ac:dyDescent="0.25">
      <c r="A725" s="1126" t="s">
        <v>1554</v>
      </c>
      <c r="B725" s="439" t="s">
        <v>1650</v>
      </c>
      <c r="C725" s="487"/>
      <c r="D725" s="489"/>
      <c r="E725" s="488" t="s">
        <v>488</v>
      </c>
      <c r="F725" s="442" t="s">
        <v>837</v>
      </c>
      <c r="G725" s="439" t="s">
        <v>489</v>
      </c>
      <c r="H725" s="441" t="s">
        <v>1170</v>
      </c>
      <c r="I725" s="442" t="s">
        <v>838</v>
      </c>
      <c r="J725" s="280" t="s">
        <v>1171</v>
      </c>
      <c r="K725" s="280" t="s">
        <v>490</v>
      </c>
      <c r="L725" s="281" t="s">
        <v>489</v>
      </c>
      <c r="M725" s="280" t="s">
        <v>1172</v>
      </c>
      <c r="N725" s="442" t="s">
        <v>838</v>
      </c>
      <c r="O725" s="280" t="s">
        <v>1171</v>
      </c>
      <c r="P725" s="280" t="s">
        <v>826</v>
      </c>
      <c r="Q725" s="280" t="s">
        <v>1173</v>
      </c>
      <c r="R725" s="280" t="s">
        <v>1174</v>
      </c>
      <c r="S725" s="280" t="s">
        <v>839</v>
      </c>
      <c r="T725" s="280" t="s">
        <v>1171</v>
      </c>
      <c r="U725" s="280" t="s">
        <v>1392</v>
      </c>
      <c r="V725" s="280" t="s">
        <v>841</v>
      </c>
      <c r="W725" s="282" t="s">
        <v>1173</v>
      </c>
      <c r="X725" s="280" t="s">
        <v>1394</v>
      </c>
      <c r="Y725" s="280" t="s">
        <v>839</v>
      </c>
      <c r="Z725" s="283"/>
      <c r="AA725" s="440"/>
      <c r="AB725" s="460">
        <v>0.3</v>
      </c>
      <c r="AC725" s="443"/>
      <c r="AD725" s="444"/>
      <c r="AQ725" s="449"/>
      <c r="AR725" s="449"/>
      <c r="AS725" s="449"/>
    </row>
    <row r="726" spans="1:49" ht="12" customHeight="1" x14ac:dyDescent="0.25">
      <c r="A726" s="1126"/>
      <c r="B726" s="450" t="s">
        <v>1175</v>
      </c>
      <c r="C726" s="487">
        <f>C733</f>
        <v>110.92300510963749</v>
      </c>
      <c r="D726" s="489">
        <f>C726*$D$7</f>
        <v>22.406447032146772</v>
      </c>
      <c r="E726" s="490" t="s">
        <v>1176</v>
      </c>
      <c r="F726" s="453"/>
      <c r="G726" s="454"/>
      <c r="H726" s="454"/>
      <c r="I726" s="455">
        <f>SUM(I727:I734)</f>
        <v>16.372</v>
      </c>
      <c r="J726" s="290" t="s">
        <v>1176</v>
      </c>
      <c r="K726" s="357"/>
      <c r="L726" s="291"/>
      <c r="M726" s="291"/>
      <c r="N726" s="292">
        <f>SUM(N727:N734)</f>
        <v>4.4213899999999997</v>
      </c>
      <c r="O726" s="291" t="s">
        <v>1176</v>
      </c>
      <c r="P726" s="291"/>
      <c r="Q726" s="293"/>
      <c r="R726" s="294"/>
      <c r="S726" s="292">
        <f>SUM(S727:S734)</f>
        <v>8.1902000000000008</v>
      </c>
      <c r="T726" s="292"/>
      <c r="U726" s="292"/>
      <c r="V726" s="292"/>
      <c r="W726" s="292"/>
      <c r="X726" s="292"/>
      <c r="Y726" s="292">
        <f>SUM(Y727:Y734)</f>
        <v>9.1999999999999998E-3</v>
      </c>
      <c r="Z726" s="296">
        <f>(C726+D726+I726+N726+S726+Y726)*$Z$7</f>
        <v>211.04938149960216</v>
      </c>
      <c r="AA726" s="459">
        <f>C726+D726+I726+N726+S726+Y726+Z726</f>
        <v>373.37162364138646</v>
      </c>
      <c r="AB726" s="460">
        <v>0.3</v>
      </c>
      <c r="AC726" s="461">
        <f>AA726*(1+AB726)</f>
        <v>485.38311073380243</v>
      </c>
      <c r="AD726" s="448"/>
      <c r="AI726" s="449"/>
      <c r="AJ726" s="462"/>
      <c r="AK726" s="463"/>
      <c r="AM726" s="464"/>
      <c r="AN726" s="143"/>
      <c r="AO726" s="464"/>
      <c r="AP726" s="449"/>
      <c r="AQ726" s="449"/>
      <c r="AR726" s="449"/>
      <c r="AS726" s="449"/>
      <c r="AT726" s="449"/>
      <c r="AU726" s="464"/>
      <c r="AV726" s="464"/>
      <c r="AW726" s="465"/>
    </row>
    <row r="727" spans="1:49" ht="66" x14ac:dyDescent="0.25">
      <c r="A727" s="1126"/>
      <c r="B727" s="466" t="s">
        <v>1177</v>
      </c>
      <c r="C727" s="487"/>
      <c r="D727" s="451"/>
      <c r="E727" s="300" t="s">
        <v>1437</v>
      </c>
      <c r="F727" s="301" t="s">
        <v>1438</v>
      </c>
      <c r="G727" s="302">
        <v>0.74</v>
      </c>
      <c r="H727" s="301">
        <v>0.5</v>
      </c>
      <c r="I727" s="303">
        <f t="shared" ref="I727:I732" si="67">G727*H727</f>
        <v>0.37</v>
      </c>
      <c r="J727" s="290" t="s">
        <v>1291</v>
      </c>
      <c r="K727" s="304">
        <v>2</v>
      </c>
      <c r="L727" s="305">
        <v>750</v>
      </c>
      <c r="M727" s="304">
        <v>2</v>
      </c>
      <c r="N727" s="292">
        <v>1.1745000000000001</v>
      </c>
      <c r="O727" s="467" t="s">
        <v>1578</v>
      </c>
      <c r="P727" s="291">
        <v>188900</v>
      </c>
      <c r="Q727" s="372">
        <v>0.19670000000000001</v>
      </c>
      <c r="R727" s="291">
        <f>P727*Q727</f>
        <v>37156.630000000005</v>
      </c>
      <c r="S727" s="291">
        <v>8.1902000000000008</v>
      </c>
      <c r="T727" s="458" t="s">
        <v>1435</v>
      </c>
      <c r="U727" s="456">
        <v>6785401.3499999996</v>
      </c>
      <c r="V727" s="457">
        <v>1.32E-2</v>
      </c>
      <c r="W727" s="458">
        <v>1508.3</v>
      </c>
      <c r="X727" s="292">
        <v>59.38</v>
      </c>
      <c r="Y727" s="291">
        <v>9.1999999999999998E-3</v>
      </c>
      <c r="Z727" s="291"/>
      <c r="AA727" s="440"/>
      <c r="AB727" s="460">
        <v>0.3</v>
      </c>
      <c r="AC727" s="440"/>
      <c r="AD727" s="444"/>
      <c r="AE727" s="444"/>
    </row>
    <row r="728" spans="1:49" x14ac:dyDescent="0.25">
      <c r="A728" s="1126"/>
      <c r="B728" s="469" t="s">
        <v>1178</v>
      </c>
      <c r="C728" s="491">
        <f>C718</f>
        <v>43.888814515309463</v>
      </c>
      <c r="D728" s="451"/>
      <c r="E728" s="300" t="s">
        <v>1439</v>
      </c>
      <c r="F728" s="301" t="s">
        <v>1438</v>
      </c>
      <c r="G728" s="302">
        <v>0.27</v>
      </c>
      <c r="H728" s="301">
        <v>0.1</v>
      </c>
      <c r="I728" s="303">
        <f t="shared" si="67"/>
        <v>2.7000000000000003E-2</v>
      </c>
      <c r="J728" s="290" t="s">
        <v>1445</v>
      </c>
      <c r="K728" s="292">
        <v>2</v>
      </c>
      <c r="L728" s="311">
        <v>95</v>
      </c>
      <c r="M728" s="304">
        <v>2</v>
      </c>
      <c r="N728" s="292">
        <v>3.1146400000000001</v>
      </c>
      <c r="O728" s="291"/>
      <c r="P728" s="291"/>
      <c r="Q728" s="372"/>
      <c r="R728" s="291"/>
      <c r="S728" s="291"/>
      <c r="T728" s="291"/>
      <c r="U728" s="291"/>
      <c r="V728" s="291"/>
      <c r="W728" s="372"/>
      <c r="X728" s="291"/>
      <c r="Y728" s="291"/>
      <c r="Z728" s="291"/>
      <c r="AA728" s="440"/>
      <c r="AB728" s="460">
        <v>0.3</v>
      </c>
      <c r="AC728" s="440"/>
      <c r="AD728" s="444"/>
      <c r="AE728" s="444"/>
    </row>
    <row r="729" spans="1:49" x14ac:dyDescent="0.25">
      <c r="A729" s="1126"/>
      <c r="B729" s="452" t="s">
        <v>1179</v>
      </c>
      <c r="C729" s="487">
        <f>C719</f>
        <v>19.495759833054819</v>
      </c>
      <c r="D729" s="451"/>
      <c r="E729" s="300" t="s">
        <v>1440</v>
      </c>
      <c r="F729" s="301" t="s">
        <v>1441</v>
      </c>
      <c r="G729" s="302">
        <v>5.92</v>
      </c>
      <c r="H729" s="471">
        <v>1</v>
      </c>
      <c r="I729" s="303">
        <f t="shared" si="67"/>
        <v>5.92</v>
      </c>
      <c r="J729" s="290" t="s">
        <v>1513</v>
      </c>
      <c r="K729" s="292">
        <v>2</v>
      </c>
      <c r="L729" s="292">
        <v>25</v>
      </c>
      <c r="M729" s="304">
        <v>0.5</v>
      </c>
      <c r="N729" s="292">
        <v>0.13225000000000001</v>
      </c>
      <c r="O729" s="291"/>
      <c r="P729" s="291"/>
      <c r="Q729" s="372"/>
      <c r="R729" s="291"/>
      <c r="S729" s="291"/>
      <c r="T729" s="291"/>
      <c r="U729" s="291"/>
      <c r="V729" s="291"/>
      <c r="W729" s="372"/>
      <c r="X729" s="291"/>
      <c r="Y729" s="291"/>
      <c r="Z729" s="291"/>
      <c r="AA729" s="440"/>
      <c r="AB729" s="460">
        <v>0.3</v>
      </c>
      <c r="AC729" s="440"/>
      <c r="AD729" s="444"/>
      <c r="AE729" s="444"/>
    </row>
    <row r="730" spans="1:49" x14ac:dyDescent="0.25">
      <c r="A730" s="1126"/>
      <c r="B730" s="452" t="s">
        <v>1180</v>
      </c>
      <c r="C730" s="492"/>
      <c r="D730" s="451"/>
      <c r="E730" s="300" t="s">
        <v>1442</v>
      </c>
      <c r="F730" s="301" t="s">
        <v>1443</v>
      </c>
      <c r="G730" s="302">
        <v>419.5</v>
      </c>
      <c r="H730" s="301">
        <v>0.01</v>
      </c>
      <c r="I730" s="303">
        <f t="shared" si="67"/>
        <v>4.1950000000000003</v>
      </c>
      <c r="J730" s="290"/>
      <c r="K730" s="374"/>
      <c r="L730" s="292"/>
      <c r="M730" s="292"/>
      <c r="N730" s="292"/>
      <c r="O730" s="291"/>
      <c r="P730" s="291"/>
      <c r="Q730" s="291"/>
      <c r="R730" s="291"/>
      <c r="S730" s="291"/>
      <c r="T730" s="291"/>
      <c r="U730" s="291"/>
      <c r="V730" s="291"/>
      <c r="W730" s="291"/>
      <c r="X730" s="291"/>
      <c r="Y730" s="291"/>
      <c r="Z730" s="291"/>
      <c r="AA730" s="440"/>
      <c r="AB730" s="460">
        <v>0.3</v>
      </c>
      <c r="AC730" s="440"/>
    </row>
    <row r="731" spans="1:49" x14ac:dyDescent="0.25">
      <c r="A731" s="1126"/>
      <c r="B731" s="469" t="s">
        <v>1178</v>
      </c>
      <c r="C731" s="491">
        <v>1.75</v>
      </c>
      <c r="D731" s="451"/>
      <c r="E731" s="300" t="s">
        <v>1444</v>
      </c>
      <c r="F731" s="301" t="s">
        <v>1443</v>
      </c>
      <c r="G731" s="302">
        <v>872</v>
      </c>
      <c r="H731" s="301">
        <v>5.0000000000000001E-3</v>
      </c>
      <c r="I731" s="303">
        <f t="shared" si="67"/>
        <v>4.3600000000000003</v>
      </c>
      <c r="J731" s="290"/>
      <c r="K731" s="374"/>
      <c r="L731" s="292"/>
      <c r="M731" s="292"/>
      <c r="N731" s="292"/>
      <c r="O731" s="291"/>
      <c r="P731" s="291"/>
      <c r="Q731" s="291"/>
      <c r="R731" s="291"/>
      <c r="S731" s="291"/>
      <c r="T731" s="291"/>
      <c r="U731" s="291"/>
      <c r="V731" s="291"/>
      <c r="W731" s="291"/>
      <c r="X731" s="291"/>
      <c r="Y731" s="291"/>
      <c r="Z731" s="291"/>
      <c r="AA731" s="440"/>
      <c r="AB731" s="460">
        <v>0.3</v>
      </c>
      <c r="AC731" s="440"/>
    </row>
    <row r="732" spans="1:49" x14ac:dyDescent="0.25">
      <c r="A732" s="1126"/>
      <c r="B732" s="452" t="s">
        <v>1179</v>
      </c>
      <c r="C732" s="491">
        <v>1.75</v>
      </c>
      <c r="D732" s="451"/>
      <c r="E732" s="494" t="s">
        <v>13</v>
      </c>
      <c r="F732" s="376" t="s">
        <v>1441</v>
      </c>
      <c r="G732" s="302">
        <v>1.5</v>
      </c>
      <c r="H732" s="301">
        <v>1</v>
      </c>
      <c r="I732" s="303">
        <f t="shared" si="67"/>
        <v>1.5</v>
      </c>
      <c r="J732" s="290"/>
      <c r="K732" s="374"/>
      <c r="L732" s="305"/>
      <c r="M732" s="304"/>
      <c r="N732" s="292"/>
      <c r="O732" s="291"/>
      <c r="P732" s="291"/>
      <c r="Q732" s="291"/>
      <c r="R732" s="291"/>
      <c r="S732" s="291"/>
      <c r="T732" s="291"/>
      <c r="U732" s="291"/>
      <c r="V732" s="291"/>
      <c r="W732" s="291"/>
      <c r="X732" s="291"/>
      <c r="Y732" s="291"/>
      <c r="Z732" s="291"/>
      <c r="AA732" s="440"/>
      <c r="AB732" s="460">
        <v>0.3</v>
      </c>
      <c r="AC732" s="440"/>
    </row>
    <row r="733" spans="1:49" x14ac:dyDescent="0.25">
      <c r="A733" s="1126"/>
      <c r="B733" s="474" t="s">
        <v>1181</v>
      </c>
      <c r="C733" s="487">
        <f>C728*C731+C729*C732</f>
        <v>110.92300510963749</v>
      </c>
      <c r="D733" s="451"/>
      <c r="E733" s="490"/>
      <c r="F733" s="578"/>
      <c r="G733" s="302"/>
      <c r="H733" s="454"/>
      <c r="I733" s="303"/>
      <c r="J733" s="290"/>
      <c r="K733" s="374"/>
      <c r="L733" s="292"/>
      <c r="M733" s="292"/>
      <c r="N733" s="292"/>
      <c r="O733" s="291"/>
      <c r="P733" s="291"/>
      <c r="Q733" s="291"/>
      <c r="R733" s="291"/>
      <c r="S733" s="291"/>
      <c r="T733" s="291"/>
      <c r="U733" s="291"/>
      <c r="V733" s="291"/>
      <c r="W733" s="291"/>
      <c r="X733" s="291"/>
      <c r="Y733" s="291"/>
      <c r="Z733" s="291"/>
      <c r="AA733" s="440"/>
      <c r="AB733" s="460">
        <v>0.3</v>
      </c>
      <c r="AC733" s="440"/>
    </row>
    <row r="734" spans="1:49" x14ac:dyDescent="0.25">
      <c r="A734" s="1126"/>
      <c r="B734" s="474"/>
      <c r="C734" s="493"/>
      <c r="D734" s="475"/>
      <c r="E734" s="490"/>
      <c r="F734" s="578"/>
      <c r="G734" s="302"/>
      <c r="H734" s="454"/>
      <c r="I734" s="303"/>
      <c r="J734" s="290"/>
      <c r="K734" s="374"/>
      <c r="L734" s="292"/>
      <c r="M734" s="292"/>
      <c r="N734" s="292"/>
      <c r="O734" s="291"/>
      <c r="P734" s="291"/>
      <c r="Q734" s="291"/>
      <c r="R734" s="291"/>
      <c r="S734" s="291"/>
      <c r="T734" s="291"/>
      <c r="U734" s="291"/>
      <c r="V734" s="291"/>
      <c r="W734" s="291"/>
      <c r="X734" s="291"/>
      <c r="Y734" s="291"/>
      <c r="Z734" s="291"/>
      <c r="AA734" s="440"/>
      <c r="AB734" s="460">
        <v>0.3</v>
      </c>
      <c r="AC734" s="440"/>
    </row>
    <row r="735" spans="1:49" ht="56.25" customHeight="1" x14ac:dyDescent="0.25">
      <c r="A735" s="1126" t="s">
        <v>1555</v>
      </c>
      <c r="B735" s="439" t="s">
        <v>1651</v>
      </c>
      <c r="C735" s="487"/>
      <c r="D735" s="489"/>
      <c r="E735" s="488" t="s">
        <v>488</v>
      </c>
      <c r="F735" s="442" t="s">
        <v>837</v>
      </c>
      <c r="G735" s="439" t="s">
        <v>489</v>
      </c>
      <c r="H735" s="441" t="s">
        <v>1170</v>
      </c>
      <c r="I735" s="442" t="s">
        <v>838</v>
      </c>
      <c r="J735" s="280" t="s">
        <v>1171</v>
      </c>
      <c r="K735" s="280" t="s">
        <v>490</v>
      </c>
      <c r="L735" s="281" t="s">
        <v>489</v>
      </c>
      <c r="M735" s="280" t="s">
        <v>1172</v>
      </c>
      <c r="N735" s="442" t="s">
        <v>838</v>
      </c>
      <c r="O735" s="280" t="s">
        <v>1171</v>
      </c>
      <c r="P735" s="280" t="s">
        <v>826</v>
      </c>
      <c r="Q735" s="280" t="s">
        <v>1173</v>
      </c>
      <c r="R735" s="280" t="s">
        <v>1174</v>
      </c>
      <c r="S735" s="280" t="s">
        <v>839</v>
      </c>
      <c r="T735" s="280" t="s">
        <v>1171</v>
      </c>
      <c r="U735" s="280" t="s">
        <v>1392</v>
      </c>
      <c r="V735" s="280" t="s">
        <v>841</v>
      </c>
      <c r="W735" s="282" t="s">
        <v>1173</v>
      </c>
      <c r="X735" s="280" t="s">
        <v>1394</v>
      </c>
      <c r="Y735" s="280" t="s">
        <v>839</v>
      </c>
      <c r="Z735" s="283"/>
      <c r="AA735" s="440"/>
      <c r="AB735" s="460">
        <v>0.3</v>
      </c>
      <c r="AC735" s="440"/>
      <c r="AD735" s="444"/>
      <c r="AQ735" s="449"/>
      <c r="AR735" s="449"/>
      <c r="AS735" s="449"/>
    </row>
    <row r="736" spans="1:49" ht="12" customHeight="1" x14ac:dyDescent="0.25">
      <c r="A736" s="1126"/>
      <c r="B736" s="450" t="s">
        <v>1175</v>
      </c>
      <c r="C736" s="487">
        <f>C743</f>
        <v>126.76914869672856</v>
      </c>
      <c r="D736" s="489">
        <f>C736*$D$7</f>
        <v>25.607368036739171</v>
      </c>
      <c r="E736" s="490" t="s">
        <v>1176</v>
      </c>
      <c r="F736" s="453"/>
      <c r="G736" s="454"/>
      <c r="H736" s="454"/>
      <c r="I736" s="455">
        <f>SUM(I737:I744)</f>
        <v>19.072000000000003</v>
      </c>
      <c r="J736" s="290" t="s">
        <v>1176</v>
      </c>
      <c r="K736" s="357"/>
      <c r="L736" s="291"/>
      <c r="M736" s="291"/>
      <c r="N736" s="292">
        <f>SUM(N737:N744)</f>
        <v>4.4213899999999997</v>
      </c>
      <c r="O736" s="291" t="s">
        <v>1176</v>
      </c>
      <c r="P736" s="291"/>
      <c r="Q736" s="293"/>
      <c r="R736" s="294"/>
      <c r="S736" s="292">
        <f>SUM(S737:S744)</f>
        <v>8.1902000000000008</v>
      </c>
      <c r="T736" s="292"/>
      <c r="U736" s="292"/>
      <c r="V736" s="292"/>
      <c r="W736" s="292"/>
      <c r="X736" s="292"/>
      <c r="Y736" s="292">
        <f>SUM(Y737:Y744)</f>
        <v>9.1999999999999998E-3</v>
      </c>
      <c r="Z736" s="296">
        <f>(C736+D736+I736+N736+S736+Y736)*$Z$7</f>
        <v>239.32464723612213</v>
      </c>
      <c r="AA736" s="459">
        <f>C736+D736+I736+N736+S736+Y736+Z736</f>
        <v>423.39395396958986</v>
      </c>
      <c r="AB736" s="460">
        <v>0.3</v>
      </c>
      <c r="AC736" s="461">
        <f>AA736*(1+AB736)</f>
        <v>550.41214016046683</v>
      </c>
      <c r="AD736" s="448"/>
      <c r="AI736" s="449"/>
      <c r="AJ736" s="462"/>
      <c r="AK736" s="463"/>
      <c r="AM736" s="464"/>
      <c r="AN736" s="143"/>
      <c r="AO736" s="464"/>
      <c r="AP736" s="449"/>
      <c r="AQ736" s="449"/>
      <c r="AR736" s="449"/>
      <c r="AS736" s="449"/>
      <c r="AT736" s="449"/>
      <c r="AU736" s="464"/>
      <c r="AV736" s="464"/>
      <c r="AW736" s="465"/>
    </row>
    <row r="737" spans="1:49" ht="66" x14ac:dyDescent="0.25">
      <c r="A737" s="1126"/>
      <c r="B737" s="466" t="s">
        <v>1177</v>
      </c>
      <c r="C737" s="487"/>
      <c r="D737" s="451"/>
      <c r="E737" s="300" t="s">
        <v>1437</v>
      </c>
      <c r="F737" s="301" t="s">
        <v>1438</v>
      </c>
      <c r="G737" s="302">
        <v>0.74</v>
      </c>
      <c r="H737" s="301">
        <v>0.1</v>
      </c>
      <c r="I737" s="303">
        <f t="shared" ref="I737:I743" si="68">G737*H737</f>
        <v>7.3999999999999996E-2</v>
      </c>
      <c r="J737" s="290" t="s">
        <v>1291</v>
      </c>
      <c r="K737" s="304">
        <v>2</v>
      </c>
      <c r="L737" s="305">
        <v>750</v>
      </c>
      <c r="M737" s="304">
        <v>2</v>
      </c>
      <c r="N737" s="292">
        <v>1.1745000000000001</v>
      </c>
      <c r="O737" s="467" t="s">
        <v>1578</v>
      </c>
      <c r="P737" s="291">
        <v>188900</v>
      </c>
      <c r="Q737" s="372">
        <v>0.19670000000000001</v>
      </c>
      <c r="R737" s="291">
        <f>P737*Q737</f>
        <v>37156.630000000005</v>
      </c>
      <c r="S737" s="291">
        <v>8.1902000000000008</v>
      </c>
      <c r="T737" s="458" t="s">
        <v>1435</v>
      </c>
      <c r="U737" s="456">
        <v>6785401.3499999996</v>
      </c>
      <c r="V737" s="457">
        <v>1.32E-2</v>
      </c>
      <c r="W737" s="458">
        <v>1508.3</v>
      </c>
      <c r="X737" s="292">
        <v>59.38</v>
      </c>
      <c r="Y737" s="291">
        <v>9.1999999999999998E-3</v>
      </c>
      <c r="Z737" s="291"/>
      <c r="AA737" s="440"/>
      <c r="AB737" s="460">
        <v>0.3</v>
      </c>
      <c r="AC737" s="443"/>
      <c r="AD737" s="444"/>
      <c r="AE737" s="444"/>
    </row>
    <row r="738" spans="1:49" x14ac:dyDescent="0.25">
      <c r="A738" s="1126"/>
      <c r="B738" s="469" t="s">
        <v>1178</v>
      </c>
      <c r="C738" s="491">
        <f>C728</f>
        <v>43.888814515309463</v>
      </c>
      <c r="D738" s="451"/>
      <c r="E738" s="300" t="s">
        <v>1439</v>
      </c>
      <c r="F738" s="301" t="s">
        <v>1438</v>
      </c>
      <c r="G738" s="302">
        <v>0.27</v>
      </c>
      <c r="H738" s="301">
        <v>5</v>
      </c>
      <c r="I738" s="303">
        <f t="shared" si="68"/>
        <v>1.35</v>
      </c>
      <c r="J738" s="290" t="s">
        <v>1445</v>
      </c>
      <c r="K738" s="292">
        <v>2</v>
      </c>
      <c r="L738" s="311">
        <v>95</v>
      </c>
      <c r="M738" s="304">
        <v>2</v>
      </c>
      <c r="N738" s="292">
        <v>3.1146400000000001</v>
      </c>
      <c r="O738" s="291"/>
      <c r="P738" s="291"/>
      <c r="Q738" s="372"/>
      <c r="R738" s="291"/>
      <c r="S738" s="291"/>
      <c r="T738" s="291"/>
      <c r="U738" s="291"/>
      <c r="V738" s="291"/>
      <c r="W738" s="372"/>
      <c r="X738" s="291"/>
      <c r="Y738" s="291"/>
      <c r="Z738" s="291"/>
      <c r="AA738" s="440"/>
      <c r="AB738" s="460">
        <v>0.3</v>
      </c>
      <c r="AC738" s="443"/>
      <c r="AD738" s="444"/>
      <c r="AE738" s="444"/>
    </row>
    <row r="739" spans="1:49" x14ac:dyDescent="0.25">
      <c r="A739" s="1126"/>
      <c r="B739" s="452" t="s">
        <v>1179</v>
      </c>
      <c r="C739" s="487">
        <f>C729</f>
        <v>19.495759833054819</v>
      </c>
      <c r="D739" s="451"/>
      <c r="E739" s="300" t="s">
        <v>1440</v>
      </c>
      <c r="F739" s="301" t="s">
        <v>1441</v>
      </c>
      <c r="G739" s="302">
        <v>5.92</v>
      </c>
      <c r="H739" s="471">
        <v>1</v>
      </c>
      <c r="I739" s="303">
        <f t="shared" si="68"/>
        <v>5.92</v>
      </c>
      <c r="J739" s="290" t="s">
        <v>1513</v>
      </c>
      <c r="K739" s="292">
        <v>2</v>
      </c>
      <c r="L739" s="292">
        <v>25</v>
      </c>
      <c r="M739" s="304">
        <v>0.5</v>
      </c>
      <c r="N739" s="292">
        <v>0.13225000000000001</v>
      </c>
      <c r="O739" s="291"/>
      <c r="P739" s="291"/>
      <c r="Q739" s="372"/>
      <c r="R739" s="291"/>
      <c r="S739" s="291"/>
      <c r="T739" s="291"/>
      <c r="U739" s="291"/>
      <c r="V739" s="291"/>
      <c r="W739" s="372"/>
      <c r="X739" s="291"/>
      <c r="Y739" s="291"/>
      <c r="Z739" s="291"/>
      <c r="AA739" s="440"/>
      <c r="AB739" s="460">
        <v>0.3</v>
      </c>
      <c r="AC739" s="443"/>
      <c r="AD739" s="444"/>
      <c r="AE739" s="444"/>
    </row>
    <row r="740" spans="1:49" x14ac:dyDescent="0.25">
      <c r="A740" s="1126"/>
      <c r="B740" s="452" t="s">
        <v>1180</v>
      </c>
      <c r="C740" s="492"/>
      <c r="D740" s="451"/>
      <c r="E740" s="300" t="s">
        <v>1442</v>
      </c>
      <c r="F740" s="301" t="s">
        <v>1443</v>
      </c>
      <c r="G740" s="302">
        <v>419.5</v>
      </c>
      <c r="H740" s="301">
        <v>0.01</v>
      </c>
      <c r="I740" s="303">
        <f t="shared" si="68"/>
        <v>4.1950000000000003</v>
      </c>
      <c r="J740" s="290"/>
      <c r="K740" s="374"/>
      <c r="L740" s="292"/>
      <c r="M740" s="292"/>
      <c r="N740" s="292"/>
      <c r="O740" s="291"/>
      <c r="P740" s="291"/>
      <c r="Q740" s="291"/>
      <c r="R740" s="291"/>
      <c r="S740" s="291"/>
      <c r="T740" s="291"/>
      <c r="U740" s="291"/>
      <c r="V740" s="291"/>
      <c r="W740" s="291"/>
      <c r="X740" s="291"/>
      <c r="Y740" s="291"/>
      <c r="Z740" s="291"/>
      <c r="AA740" s="440"/>
      <c r="AB740" s="460">
        <v>0.3</v>
      </c>
      <c r="AC740" s="443"/>
    </row>
    <row r="741" spans="1:49" x14ac:dyDescent="0.25">
      <c r="A741" s="1126"/>
      <c r="B741" s="469" t="s">
        <v>1178</v>
      </c>
      <c r="C741" s="493">
        <v>2</v>
      </c>
      <c r="D741" s="451"/>
      <c r="E741" s="300" t="s">
        <v>1444</v>
      </c>
      <c r="F741" s="301" t="s">
        <v>1443</v>
      </c>
      <c r="G741" s="302">
        <v>872</v>
      </c>
      <c r="H741" s="301">
        <v>5.0000000000000001E-3</v>
      </c>
      <c r="I741" s="303">
        <f t="shared" si="68"/>
        <v>4.3600000000000003</v>
      </c>
      <c r="J741" s="290"/>
      <c r="K741" s="374"/>
      <c r="L741" s="292"/>
      <c r="M741" s="292"/>
      <c r="N741" s="292"/>
      <c r="O741" s="291"/>
      <c r="P741" s="291"/>
      <c r="Q741" s="291"/>
      <c r="R741" s="291"/>
      <c r="S741" s="291"/>
      <c r="T741" s="291"/>
      <c r="U741" s="291"/>
      <c r="V741" s="291"/>
      <c r="W741" s="291"/>
      <c r="X741" s="291"/>
      <c r="Y741" s="291"/>
      <c r="Z741" s="291"/>
      <c r="AA741" s="440"/>
      <c r="AB741" s="460">
        <v>0.3</v>
      </c>
      <c r="AC741" s="443"/>
    </row>
    <row r="742" spans="1:49" x14ac:dyDescent="0.25">
      <c r="A742" s="1126"/>
      <c r="B742" s="452" t="s">
        <v>1179</v>
      </c>
      <c r="C742" s="493">
        <v>2</v>
      </c>
      <c r="D742" s="451"/>
      <c r="E742" s="494" t="s">
        <v>13</v>
      </c>
      <c r="F742" s="376" t="s">
        <v>1441</v>
      </c>
      <c r="G742" s="302">
        <v>1.5</v>
      </c>
      <c r="H742" s="301">
        <v>1</v>
      </c>
      <c r="I742" s="303">
        <f t="shared" si="68"/>
        <v>1.5</v>
      </c>
      <c r="J742" s="290"/>
      <c r="K742" s="374"/>
      <c r="L742" s="305"/>
      <c r="M742" s="304"/>
      <c r="N742" s="292"/>
      <c r="O742" s="291"/>
      <c r="P742" s="291"/>
      <c r="Q742" s="291"/>
      <c r="R742" s="291"/>
      <c r="S742" s="291"/>
      <c r="T742" s="291"/>
      <c r="U742" s="291"/>
      <c r="V742" s="291"/>
      <c r="W742" s="291"/>
      <c r="X742" s="291"/>
      <c r="Y742" s="291"/>
      <c r="Z742" s="291"/>
      <c r="AA742" s="440"/>
      <c r="AB742" s="460">
        <v>0.3</v>
      </c>
      <c r="AC742" s="443"/>
    </row>
    <row r="743" spans="1:49" x14ac:dyDescent="0.25">
      <c r="A743" s="1126"/>
      <c r="B743" s="474" t="s">
        <v>1181</v>
      </c>
      <c r="C743" s="487">
        <f>C738*C741+C739*C742</f>
        <v>126.76914869672856</v>
      </c>
      <c r="D743" s="451"/>
      <c r="E743" s="653" t="s">
        <v>5</v>
      </c>
      <c r="F743" s="654" t="s">
        <v>1441</v>
      </c>
      <c r="G743" s="302">
        <v>16.73</v>
      </c>
      <c r="H743" s="454">
        <v>0.1</v>
      </c>
      <c r="I743" s="303">
        <f t="shared" si="68"/>
        <v>1.673</v>
      </c>
      <c r="J743" s="290"/>
      <c r="K743" s="374"/>
      <c r="L743" s="292"/>
      <c r="M743" s="292"/>
      <c r="N743" s="292"/>
      <c r="O743" s="291"/>
      <c r="P743" s="291"/>
      <c r="Q743" s="291"/>
      <c r="R743" s="291"/>
      <c r="S743" s="291"/>
      <c r="T743" s="291"/>
      <c r="U743" s="291"/>
      <c r="V743" s="291"/>
      <c r="W743" s="291"/>
      <c r="X743" s="291"/>
      <c r="Y743" s="291"/>
      <c r="Z743" s="291"/>
      <c r="AA743" s="440"/>
      <c r="AB743" s="460">
        <v>0.3</v>
      </c>
      <c r="AC743" s="443"/>
    </row>
    <row r="744" spans="1:49" x14ac:dyDescent="0.25">
      <c r="A744" s="1126"/>
      <c r="B744" s="474"/>
      <c r="C744" s="493"/>
      <c r="D744" s="475"/>
      <c r="E744" s="490"/>
      <c r="F744" s="578"/>
      <c r="G744" s="302"/>
      <c r="H744" s="454"/>
      <c r="I744" s="303"/>
      <c r="J744" s="290"/>
      <c r="K744" s="374"/>
      <c r="L744" s="292"/>
      <c r="M744" s="292"/>
      <c r="N744" s="292"/>
      <c r="O744" s="291"/>
      <c r="P744" s="291"/>
      <c r="Q744" s="291"/>
      <c r="R744" s="291"/>
      <c r="S744" s="291"/>
      <c r="T744" s="291"/>
      <c r="U744" s="291"/>
      <c r="V744" s="291"/>
      <c r="W744" s="291"/>
      <c r="X744" s="291"/>
      <c r="Y744" s="291"/>
      <c r="Z744" s="291"/>
      <c r="AA744" s="440"/>
      <c r="AB744" s="460">
        <v>0.3</v>
      </c>
      <c r="AC744" s="443"/>
    </row>
    <row r="745" spans="1:49" ht="56.25" customHeight="1" x14ac:dyDescent="0.25">
      <c r="A745" s="1126" t="s">
        <v>1587</v>
      </c>
      <c r="B745" s="439" t="s">
        <v>1652</v>
      </c>
      <c r="C745" s="487"/>
      <c r="D745" s="489"/>
      <c r="E745" s="488" t="s">
        <v>488</v>
      </c>
      <c r="F745" s="442" t="s">
        <v>837</v>
      </c>
      <c r="G745" s="439" t="s">
        <v>489</v>
      </c>
      <c r="H745" s="441" t="s">
        <v>1170</v>
      </c>
      <c r="I745" s="442" t="s">
        <v>838</v>
      </c>
      <c r="J745" s="280" t="s">
        <v>1171</v>
      </c>
      <c r="K745" s="280" t="s">
        <v>490</v>
      </c>
      <c r="L745" s="281" t="s">
        <v>489</v>
      </c>
      <c r="M745" s="280" t="s">
        <v>1172</v>
      </c>
      <c r="N745" s="442" t="s">
        <v>838</v>
      </c>
      <c r="O745" s="280" t="s">
        <v>1171</v>
      </c>
      <c r="P745" s="280" t="s">
        <v>826</v>
      </c>
      <c r="Q745" s="280" t="s">
        <v>1173</v>
      </c>
      <c r="R745" s="280" t="s">
        <v>1174</v>
      </c>
      <c r="S745" s="280" t="s">
        <v>839</v>
      </c>
      <c r="T745" s="280" t="s">
        <v>1171</v>
      </c>
      <c r="U745" s="280" t="s">
        <v>1392</v>
      </c>
      <c r="V745" s="280" t="s">
        <v>841</v>
      </c>
      <c r="W745" s="282" t="s">
        <v>1173</v>
      </c>
      <c r="X745" s="280" t="s">
        <v>1394</v>
      </c>
      <c r="Y745" s="280" t="s">
        <v>839</v>
      </c>
      <c r="Z745" s="283"/>
      <c r="AA745" s="440"/>
      <c r="AB745" s="460">
        <v>0.3</v>
      </c>
      <c r="AC745" s="443"/>
      <c r="AD745" s="444"/>
      <c r="AQ745" s="449"/>
      <c r="AR745" s="449"/>
      <c r="AS745" s="449"/>
    </row>
    <row r="746" spans="1:49" ht="12" customHeight="1" x14ac:dyDescent="0.25">
      <c r="A746" s="1126"/>
      <c r="B746" s="450" t="s">
        <v>1175</v>
      </c>
      <c r="C746" s="487">
        <f>C753</f>
        <v>20.720083545354775</v>
      </c>
      <c r="D746" s="489">
        <f>C746*$D$7</f>
        <v>4.1854568761616653</v>
      </c>
      <c r="E746" s="490" t="s">
        <v>1176</v>
      </c>
      <c r="F746" s="453"/>
      <c r="G746" s="454"/>
      <c r="H746" s="454"/>
      <c r="I746" s="455">
        <f>SUM(I747:I754)</f>
        <v>19.398000000000003</v>
      </c>
      <c r="J746" s="290" t="s">
        <v>1176</v>
      </c>
      <c r="K746" s="357"/>
      <c r="L746" s="291"/>
      <c r="M746" s="291"/>
      <c r="N746" s="292">
        <f>SUM(N747:N754)</f>
        <v>4.4213899999999997</v>
      </c>
      <c r="O746" s="291" t="s">
        <v>1176</v>
      </c>
      <c r="P746" s="291"/>
      <c r="Q746" s="293"/>
      <c r="R746" s="294"/>
      <c r="S746" s="292">
        <f>SUM(S747:S754)</f>
        <v>8.1902000000000008</v>
      </c>
      <c r="T746" s="292"/>
      <c r="U746" s="292"/>
      <c r="V746" s="292"/>
      <c r="W746" s="292"/>
      <c r="X746" s="292"/>
      <c r="Y746" s="292">
        <f>SUM(Y747:Y754)</f>
        <v>9.1999999999999998E-3</v>
      </c>
      <c r="Z746" s="296">
        <f>(C746+D746+I746+N746+S746+Y746)*$Z$7</f>
        <v>74.012313834639201</v>
      </c>
      <c r="AA746" s="459">
        <f>C746+D746+I746+N746+S746+Y746+Z746</f>
        <v>130.93664425615566</v>
      </c>
      <c r="AB746" s="460">
        <v>0.3</v>
      </c>
      <c r="AC746" s="461">
        <f>AA746*(1+AB746)</f>
        <v>170.21763753300237</v>
      </c>
      <c r="AD746" s="448"/>
      <c r="AI746" s="449"/>
      <c r="AJ746" s="462"/>
      <c r="AK746" s="463"/>
      <c r="AM746" s="464"/>
      <c r="AN746" s="143"/>
      <c r="AO746" s="464"/>
      <c r="AP746" s="449"/>
      <c r="AQ746" s="449"/>
      <c r="AR746" s="449"/>
      <c r="AS746" s="449"/>
      <c r="AT746" s="449"/>
      <c r="AU746" s="464"/>
      <c r="AV746" s="464"/>
      <c r="AW746" s="465"/>
    </row>
    <row r="747" spans="1:49" ht="66" x14ac:dyDescent="0.25">
      <c r="A747" s="1126"/>
      <c r="B747" s="466" t="s">
        <v>1177</v>
      </c>
      <c r="C747" s="487"/>
      <c r="D747" s="451"/>
      <c r="E747" s="300" t="s">
        <v>1437</v>
      </c>
      <c r="F747" s="301" t="s">
        <v>1438</v>
      </c>
      <c r="G747" s="302">
        <v>0.74</v>
      </c>
      <c r="H747" s="301">
        <v>2</v>
      </c>
      <c r="I747" s="303">
        <f t="shared" ref="I747:I753" si="69">G747*H747</f>
        <v>1.48</v>
      </c>
      <c r="J747" s="290" t="s">
        <v>1291</v>
      </c>
      <c r="K747" s="304">
        <v>2</v>
      </c>
      <c r="L747" s="305">
        <v>750</v>
      </c>
      <c r="M747" s="304">
        <v>2</v>
      </c>
      <c r="N747" s="292">
        <v>1.1745000000000001</v>
      </c>
      <c r="O747" s="467" t="s">
        <v>1578</v>
      </c>
      <c r="P747" s="291">
        <v>188900</v>
      </c>
      <c r="Q747" s="372">
        <v>0.19670000000000001</v>
      </c>
      <c r="R747" s="291">
        <f>P747*Q747</f>
        <v>37156.630000000005</v>
      </c>
      <c r="S747" s="291">
        <v>8.1902000000000008</v>
      </c>
      <c r="T747" s="458" t="s">
        <v>1435</v>
      </c>
      <c r="U747" s="456">
        <v>6785401.3499999996</v>
      </c>
      <c r="V747" s="457">
        <v>1.32E-2</v>
      </c>
      <c r="W747" s="458">
        <v>1508.3</v>
      </c>
      <c r="X747" s="292">
        <v>59.38</v>
      </c>
      <c r="Y747" s="291">
        <v>9.1999999999999998E-3</v>
      </c>
      <c r="Z747" s="291"/>
      <c r="AA747" s="440"/>
      <c r="AB747" s="460">
        <v>0.3</v>
      </c>
      <c r="AC747" s="440"/>
      <c r="AD747" s="444"/>
      <c r="AE747" s="444"/>
    </row>
    <row r="748" spans="1:49" x14ac:dyDescent="0.25">
      <c r="A748" s="1126"/>
      <c r="B748" s="469" t="s">
        <v>1178</v>
      </c>
      <c r="C748" s="491">
        <f>C738</f>
        <v>43.888814515309463</v>
      </c>
      <c r="D748" s="451"/>
      <c r="E748" s="300" t="s">
        <v>1439</v>
      </c>
      <c r="F748" s="301" t="s">
        <v>1438</v>
      </c>
      <c r="G748" s="302">
        <v>0.27</v>
      </c>
      <c r="H748" s="301">
        <v>1</v>
      </c>
      <c r="I748" s="303">
        <f t="shared" si="69"/>
        <v>0.27</v>
      </c>
      <c r="J748" s="290" t="s">
        <v>1445</v>
      </c>
      <c r="K748" s="292">
        <v>2</v>
      </c>
      <c r="L748" s="311">
        <v>95</v>
      </c>
      <c r="M748" s="304">
        <v>2</v>
      </c>
      <c r="N748" s="292">
        <v>3.1146400000000001</v>
      </c>
      <c r="O748" s="291"/>
      <c r="P748" s="291"/>
      <c r="Q748" s="372"/>
      <c r="R748" s="291"/>
      <c r="S748" s="291"/>
      <c r="T748" s="291"/>
      <c r="U748" s="291"/>
      <c r="V748" s="291"/>
      <c r="W748" s="372"/>
      <c r="X748" s="291"/>
      <c r="Y748" s="291"/>
      <c r="Z748" s="291"/>
      <c r="AA748" s="440"/>
      <c r="AB748" s="460">
        <v>0.3</v>
      </c>
      <c r="AC748" s="440"/>
      <c r="AD748" s="444"/>
      <c r="AE748" s="444"/>
    </row>
    <row r="749" spans="1:49" x14ac:dyDescent="0.25">
      <c r="A749" s="1126"/>
      <c r="B749" s="452" t="s">
        <v>1179</v>
      </c>
      <c r="C749" s="487">
        <f>C739</f>
        <v>19.495759833054819</v>
      </c>
      <c r="D749" s="451"/>
      <c r="E749" s="300" t="s">
        <v>1440</v>
      </c>
      <c r="F749" s="301" t="s">
        <v>1441</v>
      </c>
      <c r="G749" s="302">
        <v>5.92</v>
      </c>
      <c r="H749" s="471">
        <v>1</v>
      </c>
      <c r="I749" s="303">
        <f t="shared" si="69"/>
        <v>5.92</v>
      </c>
      <c r="J749" s="290" t="s">
        <v>1513</v>
      </c>
      <c r="K749" s="292">
        <v>2</v>
      </c>
      <c r="L749" s="292">
        <v>25</v>
      </c>
      <c r="M749" s="304">
        <v>0.5</v>
      </c>
      <c r="N749" s="292">
        <v>0.13225000000000001</v>
      </c>
      <c r="O749" s="291"/>
      <c r="P749" s="291"/>
      <c r="Q749" s="372"/>
      <c r="R749" s="291"/>
      <c r="S749" s="291"/>
      <c r="T749" s="291"/>
      <c r="U749" s="291"/>
      <c r="V749" s="291"/>
      <c r="W749" s="372"/>
      <c r="X749" s="291"/>
      <c r="Y749" s="291"/>
      <c r="Z749" s="291"/>
      <c r="AA749" s="440"/>
      <c r="AB749" s="460">
        <v>0.3</v>
      </c>
      <c r="AC749" s="440"/>
      <c r="AD749" s="444"/>
      <c r="AE749" s="444"/>
    </row>
    <row r="750" spans="1:49" x14ac:dyDescent="0.25">
      <c r="A750" s="1126"/>
      <c r="B750" s="452" t="s">
        <v>1180</v>
      </c>
      <c r="C750" s="492"/>
      <c r="D750" s="451"/>
      <c r="E750" s="300" t="s">
        <v>1442</v>
      </c>
      <c r="F750" s="301" t="s">
        <v>1443</v>
      </c>
      <c r="G750" s="302">
        <v>419.5</v>
      </c>
      <c r="H750" s="301">
        <v>0.01</v>
      </c>
      <c r="I750" s="303">
        <f t="shared" si="69"/>
        <v>4.1950000000000003</v>
      </c>
      <c r="J750" s="290"/>
      <c r="K750" s="374"/>
      <c r="L750" s="292"/>
      <c r="M750" s="292"/>
      <c r="N750" s="292"/>
      <c r="O750" s="291"/>
      <c r="P750" s="291"/>
      <c r="Q750" s="291"/>
      <c r="R750" s="291"/>
      <c r="S750" s="291"/>
      <c r="T750" s="291"/>
      <c r="U750" s="291"/>
      <c r="V750" s="291"/>
      <c r="W750" s="291"/>
      <c r="X750" s="291"/>
      <c r="Y750" s="291"/>
      <c r="Z750" s="291"/>
      <c r="AA750" s="440"/>
      <c r="AB750" s="460">
        <v>0.3</v>
      </c>
      <c r="AC750" s="440"/>
    </row>
    <row r="751" spans="1:49" x14ac:dyDescent="0.25">
      <c r="A751" s="1126"/>
      <c r="B751" s="469" t="s">
        <v>1178</v>
      </c>
      <c r="C751" s="491">
        <v>0.25</v>
      </c>
      <c r="D751" s="451"/>
      <c r="E751" s="300" t="s">
        <v>1444</v>
      </c>
      <c r="F751" s="301" t="s">
        <v>1443</v>
      </c>
      <c r="G751" s="302">
        <v>872</v>
      </c>
      <c r="H751" s="301">
        <v>5.0000000000000001E-3</v>
      </c>
      <c r="I751" s="303">
        <f t="shared" si="69"/>
        <v>4.3600000000000003</v>
      </c>
      <c r="J751" s="290"/>
      <c r="K751" s="374"/>
      <c r="L751" s="292"/>
      <c r="M751" s="292"/>
      <c r="N751" s="292"/>
      <c r="O751" s="291"/>
      <c r="P751" s="291"/>
      <c r="Q751" s="291"/>
      <c r="R751" s="291"/>
      <c r="S751" s="291"/>
      <c r="T751" s="291"/>
      <c r="U751" s="291"/>
      <c r="V751" s="291"/>
      <c r="W751" s="291"/>
      <c r="X751" s="291"/>
      <c r="Y751" s="291"/>
      <c r="Z751" s="291"/>
      <c r="AA751" s="440"/>
      <c r="AB751" s="460">
        <v>0.3</v>
      </c>
      <c r="AC751" s="440"/>
    </row>
    <row r="752" spans="1:49" x14ac:dyDescent="0.25">
      <c r="A752" s="1126"/>
      <c r="B752" s="452" t="s">
        <v>1179</v>
      </c>
      <c r="C752" s="493">
        <v>0.5</v>
      </c>
      <c r="D752" s="451"/>
      <c r="E752" s="494" t="s">
        <v>13</v>
      </c>
      <c r="F752" s="376" t="s">
        <v>1441</v>
      </c>
      <c r="G752" s="302">
        <v>1.5</v>
      </c>
      <c r="H752" s="301">
        <v>1</v>
      </c>
      <c r="I752" s="303">
        <f t="shared" si="69"/>
        <v>1.5</v>
      </c>
      <c r="J752" s="290"/>
      <c r="K752" s="374"/>
      <c r="L752" s="305"/>
      <c r="M752" s="304"/>
      <c r="N752" s="292"/>
      <c r="O752" s="291"/>
      <c r="P752" s="291"/>
      <c r="Q752" s="291"/>
      <c r="R752" s="291"/>
      <c r="S752" s="291"/>
      <c r="T752" s="291"/>
      <c r="U752" s="291"/>
      <c r="V752" s="291"/>
      <c r="W752" s="291"/>
      <c r="X752" s="291"/>
      <c r="Y752" s="291"/>
      <c r="Z752" s="291"/>
      <c r="AA752" s="440"/>
      <c r="AB752" s="460">
        <v>0.3</v>
      </c>
      <c r="AC752" s="440"/>
    </row>
    <row r="753" spans="1:49" x14ac:dyDescent="0.25">
      <c r="A753" s="1126"/>
      <c r="B753" s="474" t="s">
        <v>1181</v>
      </c>
      <c r="C753" s="487">
        <f>C748*C751+C749*C752</f>
        <v>20.720083545354775</v>
      </c>
      <c r="D753" s="451"/>
      <c r="E753" s="653" t="s">
        <v>5</v>
      </c>
      <c r="F753" s="654" t="s">
        <v>1441</v>
      </c>
      <c r="G753" s="302">
        <v>16.73</v>
      </c>
      <c r="H753" s="454">
        <v>0.1</v>
      </c>
      <c r="I753" s="303">
        <f t="shared" si="69"/>
        <v>1.673</v>
      </c>
      <c r="J753" s="290"/>
      <c r="K753" s="374"/>
      <c r="L753" s="292"/>
      <c r="M753" s="292"/>
      <c r="N753" s="292"/>
      <c r="O753" s="291"/>
      <c r="P753" s="291"/>
      <c r="Q753" s="291"/>
      <c r="R753" s="291"/>
      <c r="S753" s="291"/>
      <c r="T753" s="291"/>
      <c r="U753" s="291"/>
      <c r="V753" s="291"/>
      <c r="W753" s="291"/>
      <c r="X753" s="291"/>
      <c r="Y753" s="291"/>
      <c r="Z753" s="291"/>
      <c r="AA753" s="440"/>
      <c r="AB753" s="460">
        <v>0.3</v>
      </c>
      <c r="AC753" s="440"/>
    </row>
    <row r="754" spans="1:49" x14ac:dyDescent="0.25">
      <c r="A754" s="1126"/>
      <c r="B754" s="474"/>
      <c r="C754" s="493"/>
      <c r="D754" s="475"/>
      <c r="E754" s="490"/>
      <c r="F754" s="578"/>
      <c r="G754" s="302"/>
      <c r="H754" s="454"/>
      <c r="I754" s="303"/>
      <c r="J754" s="290"/>
      <c r="K754" s="374"/>
      <c r="L754" s="292"/>
      <c r="M754" s="292"/>
      <c r="N754" s="292"/>
      <c r="O754" s="291"/>
      <c r="P754" s="291"/>
      <c r="Q754" s="291"/>
      <c r="R754" s="291"/>
      <c r="S754" s="291"/>
      <c r="T754" s="291"/>
      <c r="U754" s="291"/>
      <c r="V754" s="291"/>
      <c r="W754" s="291"/>
      <c r="X754" s="291"/>
      <c r="Y754" s="291"/>
      <c r="Z754" s="291"/>
      <c r="AA754" s="440"/>
      <c r="AB754" s="460">
        <v>0.3</v>
      </c>
      <c r="AC754" s="440"/>
    </row>
    <row r="755" spans="1:49" ht="56.25" customHeight="1" x14ac:dyDescent="0.25">
      <c r="A755" s="1126" t="s">
        <v>1556</v>
      </c>
      <c r="B755" s="439" t="s">
        <v>1653</v>
      </c>
      <c r="C755" s="487"/>
      <c r="D755" s="489"/>
      <c r="E755" s="488" t="s">
        <v>488</v>
      </c>
      <c r="F755" s="442" t="s">
        <v>837</v>
      </c>
      <c r="G755" s="439" t="s">
        <v>489</v>
      </c>
      <c r="H755" s="441" t="s">
        <v>1170</v>
      </c>
      <c r="I755" s="442" t="s">
        <v>838</v>
      </c>
      <c r="J755" s="280" t="s">
        <v>1171</v>
      </c>
      <c r="K755" s="280" t="s">
        <v>490</v>
      </c>
      <c r="L755" s="281" t="s">
        <v>489</v>
      </c>
      <c r="M755" s="280" t="s">
        <v>1172</v>
      </c>
      <c r="N755" s="442" t="s">
        <v>838</v>
      </c>
      <c r="O755" s="280" t="s">
        <v>1171</v>
      </c>
      <c r="P755" s="280" t="s">
        <v>826</v>
      </c>
      <c r="Q755" s="280" t="s">
        <v>1173</v>
      </c>
      <c r="R755" s="280" t="s">
        <v>1174</v>
      </c>
      <c r="S755" s="280" t="s">
        <v>839</v>
      </c>
      <c r="T755" s="280" t="s">
        <v>1171</v>
      </c>
      <c r="U755" s="280" t="s">
        <v>1392</v>
      </c>
      <c r="V755" s="280" t="s">
        <v>841</v>
      </c>
      <c r="W755" s="282" t="s">
        <v>1173</v>
      </c>
      <c r="X755" s="280" t="s">
        <v>1394</v>
      </c>
      <c r="Y755" s="280" t="s">
        <v>839</v>
      </c>
      <c r="Z755" s="283"/>
      <c r="AA755" s="440"/>
      <c r="AB755" s="460">
        <v>0.3</v>
      </c>
      <c r="AC755" s="440"/>
      <c r="AD755" s="444"/>
      <c r="AQ755" s="449"/>
      <c r="AR755" s="449"/>
      <c r="AS755" s="449"/>
    </row>
    <row r="756" spans="1:49" ht="12" customHeight="1" x14ac:dyDescent="0.25">
      <c r="A756" s="1126"/>
      <c r="B756" s="450" t="s">
        <v>1175</v>
      </c>
      <c r="C756" s="487">
        <f>C763</f>
        <v>31.692287174182141</v>
      </c>
      <c r="D756" s="489">
        <f>C756*$D$7</f>
        <v>6.4018420091847927</v>
      </c>
      <c r="E756" s="490" t="s">
        <v>1176</v>
      </c>
      <c r="F756" s="453"/>
      <c r="G756" s="454"/>
      <c r="H756" s="454"/>
      <c r="I756" s="455">
        <f>SUM(I757:I764)</f>
        <v>18.414999999999999</v>
      </c>
      <c r="J756" s="290" t="s">
        <v>1176</v>
      </c>
      <c r="K756" s="357"/>
      <c r="L756" s="291"/>
      <c r="M756" s="291"/>
      <c r="N756" s="292">
        <f>SUM(N757:N764)</f>
        <v>4.4213899999999997</v>
      </c>
      <c r="O756" s="291" t="s">
        <v>1176</v>
      </c>
      <c r="P756" s="291"/>
      <c r="Q756" s="293"/>
      <c r="R756" s="294"/>
      <c r="S756" s="292">
        <f>SUM(S757:S764)</f>
        <v>8.1902000000000008</v>
      </c>
      <c r="T756" s="292"/>
      <c r="U756" s="292"/>
      <c r="V756" s="292"/>
      <c r="W756" s="292"/>
      <c r="X756" s="292"/>
      <c r="Y756" s="292">
        <f>SUM(Y757:Y764)</f>
        <v>9.1999999999999998E-3</v>
      </c>
      <c r="Z756" s="296">
        <f>(C756+D756+I756+N756+S756+Y756)*$Z$7</f>
        <v>89.881870126111494</v>
      </c>
      <c r="AA756" s="459">
        <f>C756+D756+I756+N756+S756+Y756+Z756</f>
        <v>159.01178930947844</v>
      </c>
      <c r="AB756" s="460">
        <v>0.3</v>
      </c>
      <c r="AC756" s="461">
        <f>AA756*(1+AB756)</f>
        <v>206.715326102322</v>
      </c>
      <c r="AD756" s="448"/>
      <c r="AI756" s="449"/>
      <c r="AJ756" s="462"/>
      <c r="AK756" s="463"/>
      <c r="AM756" s="464"/>
      <c r="AN756" s="143"/>
      <c r="AO756" s="464"/>
      <c r="AP756" s="449"/>
      <c r="AQ756" s="449"/>
      <c r="AR756" s="449"/>
      <c r="AS756" s="449"/>
      <c r="AT756" s="449"/>
      <c r="AU756" s="464"/>
      <c r="AV756" s="464"/>
      <c r="AW756" s="465"/>
    </row>
    <row r="757" spans="1:49" ht="66" x14ac:dyDescent="0.25">
      <c r="A757" s="1126"/>
      <c r="B757" s="466" t="s">
        <v>1177</v>
      </c>
      <c r="C757" s="487"/>
      <c r="D757" s="451"/>
      <c r="E757" s="300" t="s">
        <v>1437</v>
      </c>
      <c r="F757" s="301" t="s">
        <v>1438</v>
      </c>
      <c r="G757" s="302">
        <v>0.74</v>
      </c>
      <c r="H757" s="301">
        <v>1</v>
      </c>
      <c r="I757" s="303">
        <f t="shared" ref="I757:I763" si="70">G757*H757</f>
        <v>0.74</v>
      </c>
      <c r="J757" s="290" t="s">
        <v>1291</v>
      </c>
      <c r="K757" s="304">
        <v>2</v>
      </c>
      <c r="L757" s="305">
        <v>750</v>
      </c>
      <c r="M757" s="304">
        <v>2</v>
      </c>
      <c r="N757" s="292">
        <v>1.1745000000000001</v>
      </c>
      <c r="O757" s="467" t="s">
        <v>1578</v>
      </c>
      <c r="P757" s="291">
        <v>188900</v>
      </c>
      <c r="Q757" s="372">
        <v>0.19670000000000001</v>
      </c>
      <c r="R757" s="291">
        <f>P757*Q757</f>
        <v>37156.630000000005</v>
      </c>
      <c r="S757" s="291">
        <v>8.1902000000000008</v>
      </c>
      <c r="T757" s="458" t="s">
        <v>1435</v>
      </c>
      <c r="U757" s="456">
        <v>6785401.3499999996</v>
      </c>
      <c r="V757" s="457">
        <v>1.32E-2</v>
      </c>
      <c r="W757" s="458">
        <v>1508.3</v>
      </c>
      <c r="X757" s="292">
        <v>59.38</v>
      </c>
      <c r="Y757" s="291">
        <v>9.1999999999999998E-3</v>
      </c>
      <c r="Z757" s="291"/>
      <c r="AA757" s="440"/>
      <c r="AB757" s="460">
        <v>0.3</v>
      </c>
      <c r="AC757" s="443"/>
      <c r="AD757" s="444"/>
      <c r="AE757" s="444"/>
    </row>
    <row r="758" spans="1:49" x14ac:dyDescent="0.25">
      <c r="A758" s="1126"/>
      <c r="B758" s="469" t="s">
        <v>1178</v>
      </c>
      <c r="C758" s="491">
        <f>C748</f>
        <v>43.888814515309463</v>
      </c>
      <c r="D758" s="451"/>
      <c r="E758" s="300" t="s">
        <v>1439</v>
      </c>
      <c r="F758" s="301" t="s">
        <v>1438</v>
      </c>
      <c r="G758" s="302">
        <v>0.27</v>
      </c>
      <c r="H758" s="301">
        <v>0.1</v>
      </c>
      <c r="I758" s="303">
        <f t="shared" si="70"/>
        <v>2.7000000000000003E-2</v>
      </c>
      <c r="J758" s="290" t="s">
        <v>1445</v>
      </c>
      <c r="K758" s="292">
        <v>2</v>
      </c>
      <c r="L758" s="311">
        <v>95</v>
      </c>
      <c r="M758" s="304">
        <v>2</v>
      </c>
      <c r="N758" s="292">
        <v>3.1146400000000001</v>
      </c>
      <c r="O758" s="291"/>
      <c r="P758" s="291"/>
      <c r="Q758" s="372"/>
      <c r="R758" s="291"/>
      <c r="S758" s="291"/>
      <c r="T758" s="291"/>
      <c r="U758" s="291"/>
      <c r="V758" s="291"/>
      <c r="W758" s="372"/>
      <c r="X758" s="291"/>
      <c r="Y758" s="291"/>
      <c r="Z758" s="291"/>
      <c r="AA758" s="440"/>
      <c r="AB758" s="460">
        <v>0.3</v>
      </c>
      <c r="AC758" s="443"/>
      <c r="AD758" s="444"/>
      <c r="AE758" s="444"/>
    </row>
    <row r="759" spans="1:49" x14ac:dyDescent="0.25">
      <c r="A759" s="1126"/>
      <c r="B759" s="452" t="s">
        <v>1179</v>
      </c>
      <c r="C759" s="487">
        <f>C749</f>
        <v>19.495759833054819</v>
      </c>
      <c r="D759" s="451"/>
      <c r="E759" s="300" t="s">
        <v>1440</v>
      </c>
      <c r="F759" s="301" t="s">
        <v>1441</v>
      </c>
      <c r="G759" s="302">
        <v>5.92</v>
      </c>
      <c r="H759" s="471">
        <v>1</v>
      </c>
      <c r="I759" s="303">
        <f t="shared" si="70"/>
        <v>5.92</v>
      </c>
      <c r="J759" s="290" t="s">
        <v>1513</v>
      </c>
      <c r="K759" s="292">
        <v>2</v>
      </c>
      <c r="L759" s="292">
        <v>25</v>
      </c>
      <c r="M759" s="304">
        <v>0.5</v>
      </c>
      <c r="N759" s="292">
        <v>0.13225000000000001</v>
      </c>
      <c r="O759" s="291"/>
      <c r="P759" s="291"/>
      <c r="Q759" s="372"/>
      <c r="R759" s="291"/>
      <c r="S759" s="291"/>
      <c r="T759" s="291"/>
      <c r="U759" s="291"/>
      <c r="V759" s="291"/>
      <c r="W759" s="372"/>
      <c r="X759" s="291"/>
      <c r="Y759" s="291"/>
      <c r="Z759" s="291"/>
      <c r="AA759" s="440"/>
      <c r="AB759" s="460">
        <v>0.3</v>
      </c>
      <c r="AC759" s="443"/>
      <c r="AD759" s="444"/>
      <c r="AE759" s="444"/>
    </row>
    <row r="760" spans="1:49" x14ac:dyDescent="0.25">
      <c r="A760" s="1126"/>
      <c r="B760" s="452" t="s">
        <v>1180</v>
      </c>
      <c r="C760" s="492"/>
      <c r="D760" s="451"/>
      <c r="E760" s="300" t="s">
        <v>1442</v>
      </c>
      <c r="F760" s="301" t="s">
        <v>1443</v>
      </c>
      <c r="G760" s="302">
        <v>419.5</v>
      </c>
      <c r="H760" s="301">
        <v>0.01</v>
      </c>
      <c r="I760" s="303">
        <f t="shared" si="70"/>
        <v>4.1950000000000003</v>
      </c>
      <c r="J760" s="290"/>
      <c r="K760" s="374"/>
      <c r="L760" s="292"/>
      <c r="M760" s="292"/>
      <c r="N760" s="292"/>
      <c r="O760" s="291"/>
      <c r="P760" s="291"/>
      <c r="Q760" s="291"/>
      <c r="R760" s="291"/>
      <c r="S760" s="291"/>
      <c r="T760" s="291"/>
      <c r="U760" s="291"/>
      <c r="V760" s="291"/>
      <c r="W760" s="291"/>
      <c r="X760" s="291"/>
      <c r="Y760" s="291"/>
      <c r="Z760" s="291"/>
      <c r="AA760" s="440"/>
      <c r="AB760" s="460">
        <v>0.3</v>
      </c>
      <c r="AC760" s="443"/>
    </row>
    <row r="761" spans="1:49" x14ac:dyDescent="0.25">
      <c r="A761" s="1126"/>
      <c r="B761" s="469" t="s">
        <v>1178</v>
      </c>
      <c r="C761" s="493">
        <v>0.5</v>
      </c>
      <c r="D761" s="451"/>
      <c r="E761" s="300" t="s">
        <v>1444</v>
      </c>
      <c r="F761" s="301" t="s">
        <v>1443</v>
      </c>
      <c r="G761" s="302">
        <v>872</v>
      </c>
      <c r="H761" s="301">
        <v>5.0000000000000001E-3</v>
      </c>
      <c r="I761" s="303">
        <f t="shared" si="70"/>
        <v>4.3600000000000003</v>
      </c>
      <c r="J761" s="290"/>
      <c r="K761" s="374"/>
      <c r="L761" s="292"/>
      <c r="M761" s="292"/>
      <c r="N761" s="292"/>
      <c r="O761" s="291"/>
      <c r="P761" s="291"/>
      <c r="Q761" s="291"/>
      <c r="R761" s="291"/>
      <c r="S761" s="291"/>
      <c r="T761" s="291"/>
      <c r="U761" s="291"/>
      <c r="V761" s="291"/>
      <c r="W761" s="291"/>
      <c r="X761" s="291"/>
      <c r="Y761" s="291"/>
      <c r="Z761" s="291"/>
      <c r="AA761" s="440"/>
      <c r="AB761" s="460">
        <v>0.3</v>
      </c>
      <c r="AC761" s="443"/>
    </row>
    <row r="762" spans="1:49" x14ac:dyDescent="0.25">
      <c r="A762" s="1126"/>
      <c r="B762" s="452" t="s">
        <v>1179</v>
      </c>
      <c r="C762" s="493">
        <v>0.5</v>
      </c>
      <c r="D762" s="451"/>
      <c r="E762" s="494" t="s">
        <v>13</v>
      </c>
      <c r="F762" s="376" t="s">
        <v>1441</v>
      </c>
      <c r="G762" s="302">
        <v>1.5</v>
      </c>
      <c r="H762" s="301">
        <v>1</v>
      </c>
      <c r="I762" s="303">
        <f t="shared" si="70"/>
        <v>1.5</v>
      </c>
      <c r="J762" s="290"/>
      <c r="K762" s="374"/>
      <c r="L762" s="305"/>
      <c r="M762" s="304"/>
      <c r="N762" s="292"/>
      <c r="O762" s="291"/>
      <c r="P762" s="291"/>
      <c r="Q762" s="291"/>
      <c r="R762" s="291"/>
      <c r="S762" s="291"/>
      <c r="T762" s="291"/>
      <c r="U762" s="291"/>
      <c r="V762" s="291"/>
      <c r="W762" s="291"/>
      <c r="X762" s="291"/>
      <c r="Y762" s="291"/>
      <c r="Z762" s="291"/>
      <c r="AA762" s="440"/>
      <c r="AB762" s="460">
        <v>0.3</v>
      </c>
      <c r="AC762" s="443"/>
    </row>
    <row r="763" spans="1:49" x14ac:dyDescent="0.25">
      <c r="A763" s="1126"/>
      <c r="B763" s="474" t="s">
        <v>1181</v>
      </c>
      <c r="C763" s="487">
        <f>C758*C761+C759*C762</f>
        <v>31.692287174182141</v>
      </c>
      <c r="D763" s="451"/>
      <c r="E763" s="653" t="s">
        <v>5</v>
      </c>
      <c r="F763" s="654" t="s">
        <v>1441</v>
      </c>
      <c r="G763" s="302">
        <v>16.73</v>
      </c>
      <c r="H763" s="454">
        <v>0.1</v>
      </c>
      <c r="I763" s="303">
        <f t="shared" si="70"/>
        <v>1.673</v>
      </c>
      <c r="J763" s="290"/>
      <c r="K763" s="374"/>
      <c r="L763" s="292"/>
      <c r="M763" s="292"/>
      <c r="N763" s="292"/>
      <c r="O763" s="291"/>
      <c r="P763" s="291"/>
      <c r="Q763" s="291"/>
      <c r="R763" s="291"/>
      <c r="S763" s="291"/>
      <c r="T763" s="291"/>
      <c r="U763" s="291"/>
      <c r="V763" s="291"/>
      <c r="W763" s="291"/>
      <c r="X763" s="291"/>
      <c r="Y763" s="291"/>
      <c r="Z763" s="291"/>
      <c r="AA763" s="440"/>
      <c r="AB763" s="460">
        <v>0.3</v>
      </c>
      <c r="AC763" s="440"/>
    </row>
    <row r="764" spans="1:49" x14ac:dyDescent="0.25">
      <c r="A764" s="1126"/>
      <c r="B764" s="474"/>
      <c r="C764" s="493"/>
      <c r="D764" s="475"/>
      <c r="E764" s="490"/>
      <c r="F764" s="578"/>
      <c r="G764" s="302"/>
      <c r="H764" s="454"/>
      <c r="I764" s="303"/>
      <c r="J764" s="290"/>
      <c r="K764" s="374"/>
      <c r="L764" s="292"/>
      <c r="M764" s="292"/>
      <c r="N764" s="292"/>
      <c r="O764" s="291"/>
      <c r="P764" s="291"/>
      <c r="Q764" s="291"/>
      <c r="R764" s="291"/>
      <c r="S764" s="291"/>
      <c r="T764" s="291"/>
      <c r="U764" s="291"/>
      <c r="V764" s="291"/>
      <c r="W764" s="291"/>
      <c r="X764" s="291"/>
      <c r="Y764" s="291"/>
      <c r="Z764" s="291"/>
      <c r="AA764" s="440"/>
      <c r="AB764" s="460">
        <v>0.3</v>
      </c>
      <c r="AC764" s="440"/>
    </row>
    <row r="765" spans="1:49" ht="56.25" customHeight="1" x14ac:dyDescent="0.25">
      <c r="A765" s="1012" t="s">
        <v>1557</v>
      </c>
      <c r="B765" s="439" t="s">
        <v>1654</v>
      </c>
      <c r="C765" s="487"/>
      <c r="D765" s="489"/>
      <c r="E765" s="488" t="s">
        <v>488</v>
      </c>
      <c r="F765" s="442" t="s">
        <v>837</v>
      </c>
      <c r="G765" s="439" t="s">
        <v>489</v>
      </c>
      <c r="H765" s="441" t="s">
        <v>1170</v>
      </c>
      <c r="I765" s="442" t="s">
        <v>838</v>
      </c>
      <c r="J765" s="280" t="s">
        <v>1171</v>
      </c>
      <c r="K765" s="280" t="s">
        <v>490</v>
      </c>
      <c r="L765" s="281" t="s">
        <v>489</v>
      </c>
      <c r="M765" s="280" t="s">
        <v>1172</v>
      </c>
      <c r="N765" s="442" t="s">
        <v>838</v>
      </c>
      <c r="O765" s="280" t="s">
        <v>1171</v>
      </c>
      <c r="P765" s="280" t="s">
        <v>826</v>
      </c>
      <c r="Q765" s="280" t="s">
        <v>1173</v>
      </c>
      <c r="R765" s="280" t="s">
        <v>1174</v>
      </c>
      <c r="S765" s="280" t="s">
        <v>839</v>
      </c>
      <c r="T765" s="280" t="s">
        <v>1171</v>
      </c>
      <c r="U765" s="280" t="s">
        <v>1392</v>
      </c>
      <c r="V765" s="280" t="s">
        <v>841</v>
      </c>
      <c r="W765" s="282" t="s">
        <v>1173</v>
      </c>
      <c r="X765" s="280" t="s">
        <v>1394</v>
      </c>
      <c r="Y765" s="280" t="s">
        <v>839</v>
      </c>
      <c r="Z765" s="283"/>
      <c r="AA765" s="440"/>
      <c r="AB765" s="460">
        <v>0.3</v>
      </c>
      <c r="AC765" s="440"/>
      <c r="AD765" s="444"/>
      <c r="AQ765" s="449"/>
      <c r="AR765" s="449"/>
      <c r="AS765" s="449"/>
    </row>
    <row r="766" spans="1:49" ht="12" customHeight="1" x14ac:dyDescent="0.25">
      <c r="A766" s="1013"/>
      <c r="B766" s="450" t="s">
        <v>1175</v>
      </c>
      <c r="C766" s="487">
        <f>C773</f>
        <v>36.566227132445846</v>
      </c>
      <c r="D766" s="489">
        <f>C766*$D$7</f>
        <v>7.3863778807540612</v>
      </c>
      <c r="E766" s="490" t="s">
        <v>1176</v>
      </c>
      <c r="F766" s="453"/>
      <c r="G766" s="454"/>
      <c r="H766" s="454"/>
      <c r="I766" s="455">
        <f>SUM(I767:I774)</f>
        <v>18.3185</v>
      </c>
      <c r="J766" s="290" t="s">
        <v>1176</v>
      </c>
      <c r="K766" s="357"/>
      <c r="L766" s="291"/>
      <c r="M766" s="291"/>
      <c r="N766" s="292">
        <f>SUM(N767:N774)</f>
        <v>4.4213899999999997</v>
      </c>
      <c r="O766" s="291" t="s">
        <v>1176</v>
      </c>
      <c r="P766" s="291"/>
      <c r="Q766" s="293"/>
      <c r="R766" s="294"/>
      <c r="S766" s="292">
        <f>SUM(S767:S774)</f>
        <v>8.1902000000000008</v>
      </c>
      <c r="T766" s="292"/>
      <c r="U766" s="292"/>
      <c r="V766" s="292"/>
      <c r="W766" s="292"/>
      <c r="X766" s="292"/>
      <c r="Y766" s="292">
        <f>SUM(Y767:Y774)</f>
        <v>9.1999999999999998E-3</v>
      </c>
      <c r="Z766" s="296">
        <f>(C766+D766+I766+N766+S766+Y766)*$Z$7</f>
        <v>97.373520186241322</v>
      </c>
      <c r="AA766" s="459">
        <f>C766+D766+I766+N766+S766+Y766+Z766</f>
        <v>172.26541519944124</v>
      </c>
      <c r="AB766" s="460">
        <v>0.3</v>
      </c>
      <c r="AC766" s="461">
        <f>AA766*(1+AB766)</f>
        <v>223.94503975927361</v>
      </c>
      <c r="AD766" s="448"/>
      <c r="AI766" s="449"/>
      <c r="AJ766" s="462"/>
      <c r="AK766" s="463"/>
      <c r="AM766" s="464"/>
      <c r="AN766" s="143"/>
      <c r="AO766" s="464"/>
      <c r="AP766" s="449"/>
      <c r="AQ766" s="449"/>
      <c r="AR766" s="449"/>
      <c r="AS766" s="449"/>
      <c r="AT766" s="449"/>
      <c r="AU766" s="464"/>
      <c r="AV766" s="464"/>
      <c r="AW766" s="465"/>
    </row>
    <row r="767" spans="1:49" ht="12.75" customHeight="1" x14ac:dyDescent="0.25">
      <c r="A767" s="1013"/>
      <c r="B767" s="466" t="s">
        <v>1177</v>
      </c>
      <c r="C767" s="487"/>
      <c r="D767" s="451"/>
      <c r="E767" s="300" t="s">
        <v>1437</v>
      </c>
      <c r="F767" s="301" t="s">
        <v>1438</v>
      </c>
      <c r="G767" s="302">
        <v>0.74</v>
      </c>
      <c r="H767" s="301">
        <v>2</v>
      </c>
      <c r="I767" s="303">
        <f t="shared" ref="I767:I773" si="71">G767*H767</f>
        <v>1.48</v>
      </c>
      <c r="J767" s="290" t="s">
        <v>1291</v>
      </c>
      <c r="K767" s="304">
        <v>2</v>
      </c>
      <c r="L767" s="305">
        <v>750</v>
      </c>
      <c r="M767" s="304">
        <v>2</v>
      </c>
      <c r="N767" s="292">
        <v>1.1745000000000001</v>
      </c>
      <c r="O767" s="467" t="s">
        <v>1578</v>
      </c>
      <c r="P767" s="291">
        <v>188900</v>
      </c>
      <c r="Q767" s="372">
        <v>0.19670000000000001</v>
      </c>
      <c r="R767" s="291">
        <f>P767*Q767</f>
        <v>37156.630000000005</v>
      </c>
      <c r="S767" s="291">
        <v>8.1902000000000008</v>
      </c>
      <c r="T767" s="458" t="s">
        <v>1435</v>
      </c>
      <c r="U767" s="456">
        <v>6785401.3499999996</v>
      </c>
      <c r="V767" s="457">
        <v>1.32E-2</v>
      </c>
      <c r="W767" s="458">
        <v>1508.3</v>
      </c>
      <c r="X767" s="292">
        <v>59.38</v>
      </c>
      <c r="Y767" s="291">
        <v>9.1999999999999998E-3</v>
      </c>
      <c r="Z767" s="291"/>
      <c r="AA767" s="440"/>
      <c r="AB767" s="460">
        <v>0.3</v>
      </c>
      <c r="AC767" s="440"/>
      <c r="AD767" s="444"/>
      <c r="AE767" s="444"/>
    </row>
    <row r="768" spans="1:49" ht="12.75" customHeight="1" x14ac:dyDescent="0.25">
      <c r="A768" s="1013"/>
      <c r="B768" s="469" t="s">
        <v>1178</v>
      </c>
      <c r="C768" s="491">
        <f>C758</f>
        <v>43.888814515309463</v>
      </c>
      <c r="D768" s="451"/>
      <c r="E768" s="300" t="s">
        <v>1439</v>
      </c>
      <c r="F768" s="301" t="s">
        <v>1438</v>
      </c>
      <c r="G768" s="302">
        <v>0.27</v>
      </c>
      <c r="H768" s="301">
        <v>0.1</v>
      </c>
      <c r="I768" s="303">
        <f t="shared" si="71"/>
        <v>2.7000000000000003E-2</v>
      </c>
      <c r="J768" s="290" t="s">
        <v>1445</v>
      </c>
      <c r="K768" s="292">
        <v>2</v>
      </c>
      <c r="L768" s="311">
        <v>95</v>
      </c>
      <c r="M768" s="304">
        <v>2</v>
      </c>
      <c r="N768" s="292">
        <v>3.1146400000000001</v>
      </c>
      <c r="O768" s="291"/>
      <c r="P768" s="291"/>
      <c r="Q768" s="372"/>
      <c r="R768" s="291"/>
      <c r="S768" s="291"/>
      <c r="T768" s="291"/>
      <c r="U768" s="291"/>
      <c r="V768" s="291"/>
      <c r="W768" s="372"/>
      <c r="X768" s="291"/>
      <c r="Y768" s="291"/>
      <c r="Z768" s="291"/>
      <c r="AA768" s="440"/>
      <c r="AB768" s="460">
        <v>0.3</v>
      </c>
      <c r="AC768" s="440"/>
      <c r="AD768" s="444"/>
      <c r="AE768" s="444"/>
    </row>
    <row r="769" spans="1:49" ht="12.75" customHeight="1" x14ac:dyDescent="0.25">
      <c r="A769" s="1013"/>
      <c r="B769" s="452" t="s">
        <v>1179</v>
      </c>
      <c r="C769" s="487">
        <f>C759</f>
        <v>19.495759833054819</v>
      </c>
      <c r="D769" s="451"/>
      <c r="E769" s="300" t="s">
        <v>1440</v>
      </c>
      <c r="F769" s="301" t="s">
        <v>1441</v>
      </c>
      <c r="G769" s="302">
        <v>5.92</v>
      </c>
      <c r="H769" s="471">
        <v>1</v>
      </c>
      <c r="I769" s="303">
        <f t="shared" si="71"/>
        <v>5.92</v>
      </c>
      <c r="J769" s="290" t="s">
        <v>1513</v>
      </c>
      <c r="K769" s="292">
        <v>2</v>
      </c>
      <c r="L769" s="292">
        <v>25</v>
      </c>
      <c r="M769" s="304">
        <v>0.5</v>
      </c>
      <c r="N769" s="292">
        <v>0.13225000000000001</v>
      </c>
      <c r="O769" s="291"/>
      <c r="P769" s="291"/>
      <c r="Q769" s="372"/>
      <c r="R769" s="291"/>
      <c r="S769" s="291"/>
      <c r="T769" s="291"/>
      <c r="U769" s="291"/>
      <c r="V769" s="291"/>
      <c r="W769" s="372"/>
      <c r="X769" s="291"/>
      <c r="Y769" s="291"/>
      <c r="Z769" s="291"/>
      <c r="AA769" s="440"/>
      <c r="AB769" s="460">
        <v>0.3</v>
      </c>
      <c r="AC769" s="440"/>
      <c r="AD769" s="444"/>
      <c r="AE769" s="444"/>
    </row>
    <row r="770" spans="1:49" ht="12.75" customHeight="1" x14ac:dyDescent="0.25">
      <c r="A770" s="1013"/>
      <c r="B770" s="452" t="s">
        <v>1180</v>
      </c>
      <c r="C770" s="492"/>
      <c r="D770" s="451"/>
      <c r="E770" s="300" t="s">
        <v>1442</v>
      </c>
      <c r="F770" s="301" t="s">
        <v>1443</v>
      </c>
      <c r="G770" s="302">
        <v>419.5</v>
      </c>
      <c r="H770" s="301">
        <v>0.01</v>
      </c>
      <c r="I770" s="303">
        <f t="shared" si="71"/>
        <v>4.1950000000000003</v>
      </c>
      <c r="J770" s="290"/>
      <c r="K770" s="374"/>
      <c r="L770" s="292"/>
      <c r="M770" s="292"/>
      <c r="N770" s="292"/>
      <c r="O770" s="291"/>
      <c r="P770" s="291"/>
      <c r="Q770" s="291"/>
      <c r="R770" s="291"/>
      <c r="S770" s="291"/>
      <c r="T770" s="291"/>
      <c r="U770" s="291"/>
      <c r="V770" s="291"/>
      <c r="W770" s="291"/>
      <c r="X770" s="291"/>
      <c r="Y770" s="291"/>
      <c r="Z770" s="291"/>
      <c r="AA770" s="440"/>
      <c r="AB770" s="460">
        <v>0.3</v>
      </c>
      <c r="AC770" s="440"/>
    </row>
    <row r="771" spans="1:49" ht="12.75" customHeight="1" x14ac:dyDescent="0.25">
      <c r="A771" s="1013"/>
      <c r="B771" s="469" t="s">
        <v>1178</v>
      </c>
      <c r="C771" s="493">
        <v>0.5</v>
      </c>
      <c r="D771" s="451"/>
      <c r="E771" s="300" t="s">
        <v>1444</v>
      </c>
      <c r="F771" s="301" t="s">
        <v>1443</v>
      </c>
      <c r="G771" s="302">
        <v>872</v>
      </c>
      <c r="H771" s="301">
        <v>5.0000000000000001E-3</v>
      </c>
      <c r="I771" s="303">
        <f t="shared" si="71"/>
        <v>4.3600000000000003</v>
      </c>
      <c r="J771" s="290"/>
      <c r="K771" s="374"/>
      <c r="L771" s="292"/>
      <c r="M771" s="292"/>
      <c r="N771" s="292"/>
      <c r="O771" s="291"/>
      <c r="P771" s="291"/>
      <c r="Q771" s="291"/>
      <c r="R771" s="291"/>
      <c r="S771" s="291"/>
      <c r="T771" s="291"/>
      <c r="U771" s="291"/>
      <c r="V771" s="291"/>
      <c r="W771" s="291"/>
      <c r="X771" s="291"/>
      <c r="Y771" s="291"/>
      <c r="Z771" s="291"/>
      <c r="AA771" s="440"/>
      <c r="AB771" s="460">
        <v>0.3</v>
      </c>
      <c r="AC771" s="440"/>
    </row>
    <row r="772" spans="1:49" ht="12.75" customHeight="1" x14ac:dyDescent="0.25">
      <c r="A772" s="1013"/>
      <c r="B772" s="452" t="s">
        <v>1179</v>
      </c>
      <c r="C772" s="491">
        <v>0.75</v>
      </c>
      <c r="D772" s="451"/>
      <c r="E772" s="494" t="s">
        <v>13</v>
      </c>
      <c r="F772" s="376" t="s">
        <v>1441</v>
      </c>
      <c r="G772" s="302">
        <v>1.5</v>
      </c>
      <c r="H772" s="301">
        <v>1</v>
      </c>
      <c r="I772" s="303">
        <f t="shared" si="71"/>
        <v>1.5</v>
      </c>
      <c r="J772" s="290"/>
      <c r="K772" s="374"/>
      <c r="L772" s="305"/>
      <c r="M772" s="304"/>
      <c r="N772" s="292"/>
      <c r="O772" s="291"/>
      <c r="P772" s="291"/>
      <c r="Q772" s="291"/>
      <c r="R772" s="291"/>
      <c r="S772" s="291"/>
      <c r="T772" s="291"/>
      <c r="U772" s="291"/>
      <c r="V772" s="291"/>
      <c r="W772" s="291"/>
      <c r="X772" s="291"/>
      <c r="Y772" s="291"/>
      <c r="Z772" s="291"/>
      <c r="AA772" s="440"/>
      <c r="AB772" s="460">
        <v>0.3</v>
      </c>
      <c r="AC772" s="440"/>
    </row>
    <row r="773" spans="1:49" ht="12.75" customHeight="1" x14ac:dyDescent="0.25">
      <c r="A773" s="1013"/>
      <c r="B773" s="474" t="s">
        <v>1181</v>
      </c>
      <c r="C773" s="487">
        <f>C768*C771+C769*C772</f>
        <v>36.566227132445846</v>
      </c>
      <c r="D773" s="451"/>
      <c r="E773" s="653" t="s">
        <v>5</v>
      </c>
      <c r="F773" s="654" t="s">
        <v>1441</v>
      </c>
      <c r="G773" s="302">
        <v>16.73</v>
      </c>
      <c r="H773" s="454">
        <v>0.05</v>
      </c>
      <c r="I773" s="303">
        <f t="shared" si="71"/>
        <v>0.83650000000000002</v>
      </c>
      <c r="J773" s="290"/>
      <c r="K773" s="374"/>
      <c r="L773" s="292"/>
      <c r="M773" s="292"/>
      <c r="N773" s="292"/>
      <c r="O773" s="291"/>
      <c r="P773" s="291"/>
      <c r="Q773" s="291"/>
      <c r="R773" s="291"/>
      <c r="S773" s="291"/>
      <c r="T773" s="291"/>
      <c r="U773" s="291"/>
      <c r="V773" s="291"/>
      <c r="W773" s="291"/>
      <c r="X773" s="291"/>
      <c r="Y773" s="291"/>
      <c r="Z773" s="291"/>
      <c r="AA773" s="440"/>
      <c r="AB773" s="460">
        <v>0.3</v>
      </c>
      <c r="AC773" s="440"/>
    </row>
    <row r="774" spans="1:49" ht="12.75" customHeight="1" x14ac:dyDescent="0.25">
      <c r="A774" s="1014"/>
      <c r="B774" s="474"/>
      <c r="C774" s="493"/>
      <c r="D774" s="475"/>
      <c r="E774" s="490"/>
      <c r="F774" s="578"/>
      <c r="G774" s="302"/>
      <c r="H774" s="454"/>
      <c r="I774" s="303"/>
      <c r="J774" s="290"/>
      <c r="K774" s="374"/>
      <c r="L774" s="292"/>
      <c r="M774" s="292"/>
      <c r="N774" s="292"/>
      <c r="O774" s="291"/>
      <c r="P774" s="291"/>
      <c r="Q774" s="291"/>
      <c r="R774" s="291"/>
      <c r="S774" s="291"/>
      <c r="T774" s="291"/>
      <c r="U774" s="291"/>
      <c r="V774" s="291"/>
      <c r="W774" s="291"/>
      <c r="X774" s="291"/>
      <c r="Y774" s="291"/>
      <c r="Z774" s="291"/>
      <c r="AA774" s="440"/>
      <c r="AB774" s="460">
        <v>0.3</v>
      </c>
      <c r="AC774" s="443"/>
    </row>
    <row r="775" spans="1:49" ht="56.25" customHeight="1" x14ac:dyDescent="0.25">
      <c r="A775" s="1012" t="s">
        <v>1704</v>
      </c>
      <c r="B775" s="439" t="s">
        <v>1655</v>
      </c>
      <c r="C775" s="487"/>
      <c r="D775" s="489"/>
      <c r="E775" s="488" t="s">
        <v>488</v>
      </c>
      <c r="F775" s="442" t="s">
        <v>837</v>
      </c>
      <c r="G775" s="439" t="s">
        <v>489</v>
      </c>
      <c r="H775" s="441" t="s">
        <v>1170</v>
      </c>
      <c r="I775" s="442" t="s">
        <v>838</v>
      </c>
      <c r="J775" s="280" t="s">
        <v>1171</v>
      </c>
      <c r="K775" s="280" t="s">
        <v>490</v>
      </c>
      <c r="L775" s="281" t="s">
        <v>489</v>
      </c>
      <c r="M775" s="280" t="s">
        <v>1172</v>
      </c>
      <c r="N775" s="442" t="s">
        <v>838</v>
      </c>
      <c r="O775" s="280" t="s">
        <v>1171</v>
      </c>
      <c r="P775" s="280" t="s">
        <v>826</v>
      </c>
      <c r="Q775" s="280" t="s">
        <v>1173</v>
      </c>
      <c r="R775" s="280" t="s">
        <v>1174</v>
      </c>
      <c r="S775" s="280" t="s">
        <v>839</v>
      </c>
      <c r="T775" s="280" t="s">
        <v>1171</v>
      </c>
      <c r="U775" s="280" t="s">
        <v>1392</v>
      </c>
      <c r="V775" s="280" t="s">
        <v>841</v>
      </c>
      <c r="W775" s="282" t="s">
        <v>1173</v>
      </c>
      <c r="X775" s="280" t="s">
        <v>1394</v>
      </c>
      <c r="Y775" s="280" t="s">
        <v>839</v>
      </c>
      <c r="Z775" s="283"/>
      <c r="AA775" s="440"/>
      <c r="AB775" s="460">
        <v>0.3</v>
      </c>
      <c r="AC775" s="443"/>
      <c r="AD775" s="444"/>
      <c r="AQ775" s="449"/>
      <c r="AR775" s="449"/>
      <c r="AS775" s="449"/>
    </row>
    <row r="776" spans="1:49" ht="12" customHeight="1" x14ac:dyDescent="0.25">
      <c r="A776" s="1013"/>
      <c r="B776" s="450" t="s">
        <v>1175</v>
      </c>
      <c r="C776" s="487">
        <f>C783</f>
        <v>126.76914869672856</v>
      </c>
      <c r="D776" s="489">
        <f>C776*$D$7</f>
        <v>25.607368036739171</v>
      </c>
      <c r="E776" s="490" t="s">
        <v>1176</v>
      </c>
      <c r="F776" s="453"/>
      <c r="G776" s="454"/>
      <c r="H776" s="454"/>
      <c r="I776" s="455">
        <f>SUM(I777:I784)</f>
        <v>15.985099999999999</v>
      </c>
      <c r="J776" s="290" t="s">
        <v>1176</v>
      </c>
      <c r="K776" s="357"/>
      <c r="L776" s="291"/>
      <c r="M776" s="291"/>
      <c r="N776" s="292">
        <f>SUM(N777:N784)</f>
        <v>4.4213899999999997</v>
      </c>
      <c r="O776" s="291" t="s">
        <v>1176</v>
      </c>
      <c r="P776" s="291"/>
      <c r="Q776" s="293"/>
      <c r="R776" s="294"/>
      <c r="S776" s="292">
        <f>SUM(S777:S784)</f>
        <v>8.1902000000000008</v>
      </c>
      <c r="T776" s="292"/>
      <c r="U776" s="292"/>
      <c r="V776" s="292"/>
      <c r="W776" s="292"/>
      <c r="X776" s="292"/>
      <c r="Y776" s="292">
        <f>SUM(Y777:Y784)</f>
        <v>9.1999999999999998E-3</v>
      </c>
      <c r="Z776" s="296">
        <f>(C776+D776+I776+N776+S776+Y776)*$Z$7</f>
        <v>235.31109784723392</v>
      </c>
      <c r="AA776" s="459">
        <f>C776+D776+I776+N776+S776+Y776+Z776</f>
        <v>416.29350458070166</v>
      </c>
      <c r="AB776" s="460">
        <v>0.3</v>
      </c>
      <c r="AC776" s="461">
        <f>AA776*(1+AB776)</f>
        <v>541.18155595491214</v>
      </c>
      <c r="AD776" s="448"/>
      <c r="AI776" s="449"/>
      <c r="AJ776" s="462"/>
      <c r="AK776" s="463"/>
      <c r="AM776" s="464"/>
      <c r="AN776" s="143"/>
      <c r="AO776" s="464"/>
      <c r="AP776" s="449"/>
      <c r="AQ776" s="449"/>
      <c r="AR776" s="449"/>
      <c r="AS776" s="449"/>
      <c r="AT776" s="449"/>
      <c r="AU776" s="464"/>
      <c r="AV776" s="464"/>
      <c r="AW776" s="465"/>
    </row>
    <row r="777" spans="1:49" ht="66" x14ac:dyDescent="0.25">
      <c r="A777" s="1013"/>
      <c r="B777" s="466" t="s">
        <v>1177</v>
      </c>
      <c r="C777" s="487"/>
      <c r="D777" s="451"/>
      <c r="E777" s="300" t="s">
        <v>1437</v>
      </c>
      <c r="F777" s="301" t="s">
        <v>1438</v>
      </c>
      <c r="G777" s="302">
        <v>0.74</v>
      </c>
      <c r="H777" s="301">
        <v>0.01</v>
      </c>
      <c r="I777" s="303">
        <f t="shared" ref="I777:I782" si="72">G777*H777</f>
        <v>7.4000000000000003E-3</v>
      </c>
      <c r="J777" s="290" t="s">
        <v>1291</v>
      </c>
      <c r="K777" s="304">
        <v>2</v>
      </c>
      <c r="L777" s="305">
        <v>750</v>
      </c>
      <c r="M777" s="304">
        <v>2</v>
      </c>
      <c r="N777" s="292">
        <v>1.1745000000000001</v>
      </c>
      <c r="O777" s="467" t="s">
        <v>1578</v>
      </c>
      <c r="P777" s="291">
        <v>188900</v>
      </c>
      <c r="Q777" s="372">
        <v>0.19670000000000001</v>
      </c>
      <c r="R777" s="291">
        <f>P777*Q777</f>
        <v>37156.630000000005</v>
      </c>
      <c r="S777" s="291">
        <v>8.1902000000000008</v>
      </c>
      <c r="T777" s="458" t="s">
        <v>1435</v>
      </c>
      <c r="U777" s="456">
        <v>6785401.3499999996</v>
      </c>
      <c r="V777" s="457">
        <v>1.32E-2</v>
      </c>
      <c r="W777" s="458">
        <v>1508.3</v>
      </c>
      <c r="X777" s="292">
        <v>59.38</v>
      </c>
      <c r="Y777" s="291">
        <v>9.1999999999999998E-3</v>
      </c>
      <c r="Z777" s="291"/>
      <c r="AA777" s="440"/>
      <c r="AB777" s="460">
        <v>0.3</v>
      </c>
      <c r="AC777" s="440"/>
      <c r="AD777" s="444"/>
      <c r="AE777" s="444"/>
    </row>
    <row r="778" spans="1:49" x14ac:dyDescent="0.25">
      <c r="A778" s="1013"/>
      <c r="B778" s="469" t="s">
        <v>1178</v>
      </c>
      <c r="C778" s="491">
        <f>C768</f>
        <v>43.888814515309463</v>
      </c>
      <c r="D778" s="451"/>
      <c r="E778" s="300" t="s">
        <v>1439</v>
      </c>
      <c r="F778" s="301" t="s">
        <v>1438</v>
      </c>
      <c r="G778" s="302">
        <v>0.27</v>
      </c>
      <c r="H778" s="301">
        <v>0.01</v>
      </c>
      <c r="I778" s="303">
        <f t="shared" si="72"/>
        <v>2.7000000000000001E-3</v>
      </c>
      <c r="J778" s="290" t="s">
        <v>1445</v>
      </c>
      <c r="K778" s="292">
        <v>2</v>
      </c>
      <c r="L778" s="311">
        <v>95</v>
      </c>
      <c r="M778" s="304">
        <v>2</v>
      </c>
      <c r="N778" s="292">
        <v>3.1146400000000001</v>
      </c>
      <c r="O778" s="291"/>
      <c r="P778" s="291"/>
      <c r="Q778" s="372"/>
      <c r="R778" s="291"/>
      <c r="S778" s="291"/>
      <c r="T778" s="291"/>
      <c r="U778" s="291"/>
      <c r="V778" s="291"/>
      <c r="W778" s="372"/>
      <c r="X778" s="291"/>
      <c r="Y778" s="291"/>
      <c r="Z778" s="291"/>
      <c r="AA778" s="440"/>
      <c r="AB778" s="460">
        <v>0.3</v>
      </c>
      <c r="AC778" s="440"/>
      <c r="AD778" s="444"/>
      <c r="AE778" s="444"/>
    </row>
    <row r="779" spans="1:49" x14ac:dyDescent="0.25">
      <c r="A779" s="1013"/>
      <c r="B779" s="452" t="s">
        <v>1179</v>
      </c>
      <c r="C779" s="487">
        <f>C769</f>
        <v>19.495759833054819</v>
      </c>
      <c r="D779" s="451"/>
      <c r="E779" s="300" t="s">
        <v>1440</v>
      </c>
      <c r="F779" s="301" t="s">
        <v>1441</v>
      </c>
      <c r="G779" s="302">
        <v>5.92</v>
      </c>
      <c r="H779" s="471">
        <v>1</v>
      </c>
      <c r="I779" s="303">
        <f t="shared" si="72"/>
        <v>5.92</v>
      </c>
      <c r="J779" s="290" t="s">
        <v>1513</v>
      </c>
      <c r="K779" s="292">
        <v>2</v>
      </c>
      <c r="L779" s="292">
        <v>25</v>
      </c>
      <c r="M779" s="304">
        <v>0.5</v>
      </c>
      <c r="N779" s="292">
        <v>0.13225000000000001</v>
      </c>
      <c r="O779" s="291"/>
      <c r="P779" s="291"/>
      <c r="Q779" s="372"/>
      <c r="R779" s="291"/>
      <c r="S779" s="291"/>
      <c r="T779" s="291"/>
      <c r="U779" s="291"/>
      <c r="V779" s="291"/>
      <c r="W779" s="372"/>
      <c r="X779" s="291"/>
      <c r="Y779" s="291"/>
      <c r="Z779" s="291"/>
      <c r="AA779" s="440"/>
      <c r="AB779" s="460">
        <v>0.3</v>
      </c>
      <c r="AC779" s="440"/>
      <c r="AD779" s="444"/>
      <c r="AE779" s="444"/>
    </row>
    <row r="780" spans="1:49" x14ac:dyDescent="0.25">
      <c r="A780" s="1013"/>
      <c r="B780" s="452" t="s">
        <v>1180</v>
      </c>
      <c r="C780" s="492"/>
      <c r="D780" s="451"/>
      <c r="E780" s="300" t="s">
        <v>1442</v>
      </c>
      <c r="F780" s="301" t="s">
        <v>1443</v>
      </c>
      <c r="G780" s="302">
        <v>419.5</v>
      </c>
      <c r="H780" s="301">
        <v>0.01</v>
      </c>
      <c r="I780" s="303">
        <f t="shared" si="72"/>
        <v>4.1950000000000003</v>
      </c>
      <c r="J780" s="290"/>
      <c r="K780" s="374"/>
      <c r="L780" s="292"/>
      <c r="M780" s="292"/>
      <c r="N780" s="292"/>
      <c r="O780" s="291"/>
      <c r="P780" s="291"/>
      <c r="Q780" s="291"/>
      <c r="R780" s="291"/>
      <c r="S780" s="291"/>
      <c r="T780" s="291"/>
      <c r="U780" s="291"/>
      <c r="V780" s="291"/>
      <c r="W780" s="291"/>
      <c r="X780" s="291"/>
      <c r="Y780" s="291"/>
      <c r="Z780" s="291"/>
      <c r="AA780" s="440"/>
      <c r="AB780" s="460">
        <v>0.3</v>
      </c>
      <c r="AC780" s="440"/>
    </row>
    <row r="781" spans="1:49" x14ac:dyDescent="0.25">
      <c r="A781" s="1013"/>
      <c r="B781" s="469" t="s">
        <v>1178</v>
      </c>
      <c r="C781" s="493">
        <v>2</v>
      </c>
      <c r="D781" s="451"/>
      <c r="E781" s="300" t="s">
        <v>1444</v>
      </c>
      <c r="F781" s="301" t="s">
        <v>1443</v>
      </c>
      <c r="G781" s="302">
        <v>872</v>
      </c>
      <c r="H781" s="301">
        <v>5.0000000000000001E-3</v>
      </c>
      <c r="I781" s="303">
        <f t="shared" si="72"/>
        <v>4.3600000000000003</v>
      </c>
      <c r="J781" s="290"/>
      <c r="K781" s="374"/>
      <c r="L781" s="292"/>
      <c r="M781" s="292"/>
      <c r="N781" s="292"/>
      <c r="O781" s="291"/>
      <c r="P781" s="291"/>
      <c r="Q781" s="291"/>
      <c r="R781" s="291"/>
      <c r="S781" s="291"/>
      <c r="T781" s="291"/>
      <c r="U781" s="291"/>
      <c r="V781" s="291"/>
      <c r="W781" s="291"/>
      <c r="X781" s="291"/>
      <c r="Y781" s="291"/>
      <c r="Z781" s="291"/>
      <c r="AA781" s="440"/>
      <c r="AB781" s="460">
        <v>0.3</v>
      </c>
      <c r="AC781" s="440"/>
    </row>
    <row r="782" spans="1:49" x14ac:dyDescent="0.25">
      <c r="A782" s="1013"/>
      <c r="B782" s="452" t="s">
        <v>1179</v>
      </c>
      <c r="C782" s="493">
        <v>2</v>
      </c>
      <c r="D782" s="451"/>
      <c r="E782" s="494" t="s">
        <v>13</v>
      </c>
      <c r="F782" s="376" t="s">
        <v>1441</v>
      </c>
      <c r="G782" s="302">
        <v>1.5</v>
      </c>
      <c r="H782" s="301">
        <v>1</v>
      </c>
      <c r="I782" s="303">
        <f t="shared" si="72"/>
        <v>1.5</v>
      </c>
      <c r="J782" s="290"/>
      <c r="K782" s="374"/>
      <c r="L782" s="305"/>
      <c r="M782" s="304"/>
      <c r="N782" s="292"/>
      <c r="O782" s="291"/>
      <c r="P782" s="291"/>
      <c r="Q782" s="291"/>
      <c r="R782" s="291"/>
      <c r="S782" s="291"/>
      <c r="T782" s="291"/>
      <c r="U782" s="291"/>
      <c r="V782" s="291"/>
      <c r="W782" s="291"/>
      <c r="X782" s="291"/>
      <c r="Y782" s="291"/>
      <c r="Z782" s="291"/>
      <c r="AA782" s="440"/>
      <c r="AB782" s="460">
        <v>0.3</v>
      </c>
      <c r="AC782" s="440"/>
    </row>
    <row r="783" spans="1:49" x14ac:dyDescent="0.25">
      <c r="A783" s="1013"/>
      <c r="B783" s="474" t="s">
        <v>1181</v>
      </c>
      <c r="C783" s="487">
        <f>C778*C781+C779*C782</f>
        <v>126.76914869672856</v>
      </c>
      <c r="D783" s="451"/>
      <c r="E783" s="490"/>
      <c r="F783" s="578"/>
      <c r="G783" s="302"/>
      <c r="H783" s="454"/>
      <c r="I783" s="303"/>
      <c r="J783" s="290"/>
      <c r="K783" s="374"/>
      <c r="L783" s="292"/>
      <c r="M783" s="292"/>
      <c r="N783" s="292"/>
      <c r="O783" s="291"/>
      <c r="P783" s="291"/>
      <c r="Q783" s="291"/>
      <c r="R783" s="291"/>
      <c r="S783" s="291"/>
      <c r="T783" s="291"/>
      <c r="U783" s="291"/>
      <c r="V783" s="291"/>
      <c r="W783" s="291"/>
      <c r="X783" s="291"/>
      <c r="Y783" s="291"/>
      <c r="Z783" s="291"/>
      <c r="AA783" s="440"/>
      <c r="AB783" s="460">
        <v>0.3</v>
      </c>
      <c r="AC783" s="440"/>
    </row>
    <row r="784" spans="1:49" x14ac:dyDescent="0.25">
      <c r="A784" s="1014"/>
      <c r="B784" s="474"/>
      <c r="C784" s="493"/>
      <c r="D784" s="475"/>
      <c r="E784" s="490"/>
      <c r="F784" s="578"/>
      <c r="G784" s="302"/>
      <c r="H784" s="454"/>
      <c r="I784" s="303"/>
      <c r="J784" s="290"/>
      <c r="K784" s="374"/>
      <c r="L784" s="292"/>
      <c r="M784" s="292"/>
      <c r="N784" s="292"/>
      <c r="O784" s="291"/>
      <c r="P784" s="291"/>
      <c r="Q784" s="291"/>
      <c r="R784" s="291"/>
      <c r="S784" s="291"/>
      <c r="T784" s="291"/>
      <c r="U784" s="291"/>
      <c r="V784" s="291"/>
      <c r="W784" s="291"/>
      <c r="X784" s="291"/>
      <c r="Y784" s="291"/>
      <c r="Z784" s="291"/>
      <c r="AA784" s="440"/>
      <c r="AB784" s="460">
        <v>0.3</v>
      </c>
      <c r="AC784" s="443"/>
    </row>
    <row r="785" spans="1:49" ht="56.25" customHeight="1" x14ac:dyDescent="0.25">
      <c r="A785" s="1126" t="s">
        <v>1588</v>
      </c>
      <c r="B785" s="439" t="s">
        <v>1656</v>
      </c>
      <c r="C785" s="487"/>
      <c r="D785" s="489"/>
      <c r="E785" s="488" t="s">
        <v>488</v>
      </c>
      <c r="F785" s="442" t="s">
        <v>837</v>
      </c>
      <c r="G785" s="439" t="s">
        <v>489</v>
      </c>
      <c r="H785" s="441" t="s">
        <v>1170</v>
      </c>
      <c r="I785" s="442" t="s">
        <v>838</v>
      </c>
      <c r="J785" s="280" t="s">
        <v>1171</v>
      </c>
      <c r="K785" s="280" t="s">
        <v>490</v>
      </c>
      <c r="L785" s="281" t="s">
        <v>489</v>
      </c>
      <c r="M785" s="280" t="s">
        <v>1172</v>
      </c>
      <c r="N785" s="442" t="s">
        <v>838</v>
      </c>
      <c r="O785" s="280" t="s">
        <v>1171</v>
      </c>
      <c r="P785" s="280" t="s">
        <v>826</v>
      </c>
      <c r="Q785" s="280" t="s">
        <v>1173</v>
      </c>
      <c r="R785" s="280" t="s">
        <v>1174</v>
      </c>
      <c r="S785" s="280" t="s">
        <v>839</v>
      </c>
      <c r="T785" s="280" t="s">
        <v>1171</v>
      </c>
      <c r="U785" s="280" t="s">
        <v>1392</v>
      </c>
      <c r="V785" s="280" t="s">
        <v>841</v>
      </c>
      <c r="W785" s="282" t="s">
        <v>1173</v>
      </c>
      <c r="X785" s="280" t="s">
        <v>1394</v>
      </c>
      <c r="Y785" s="280" t="s">
        <v>839</v>
      </c>
      <c r="Z785" s="283"/>
      <c r="AA785" s="440"/>
      <c r="AB785" s="460">
        <v>0.3</v>
      </c>
      <c r="AC785" s="443"/>
      <c r="AD785" s="444"/>
      <c r="AQ785" s="449"/>
      <c r="AR785" s="449"/>
      <c r="AS785" s="449"/>
    </row>
    <row r="786" spans="1:49" ht="12" customHeight="1" x14ac:dyDescent="0.25">
      <c r="A786" s="1126"/>
      <c r="B786" s="450" t="s">
        <v>1175</v>
      </c>
      <c r="C786" s="487">
        <f>C793</f>
        <v>31.692287174182141</v>
      </c>
      <c r="D786" s="489">
        <f>C786*$D$7</f>
        <v>6.4018420091847927</v>
      </c>
      <c r="E786" s="490" t="s">
        <v>1176</v>
      </c>
      <c r="F786" s="453"/>
      <c r="G786" s="454"/>
      <c r="H786" s="454"/>
      <c r="I786" s="455">
        <f>SUM(I787:I794)</f>
        <v>16.984999999999999</v>
      </c>
      <c r="J786" s="290" t="s">
        <v>1176</v>
      </c>
      <c r="K786" s="357"/>
      <c r="L786" s="291"/>
      <c r="M786" s="291"/>
      <c r="N786" s="292">
        <f>SUM(N787:N794)</f>
        <v>4.4213899999999997</v>
      </c>
      <c r="O786" s="291" t="s">
        <v>1176</v>
      </c>
      <c r="P786" s="291"/>
      <c r="Q786" s="293"/>
      <c r="R786" s="294"/>
      <c r="S786" s="292">
        <f>SUM(S787:S794)</f>
        <v>8.1902000000000008</v>
      </c>
      <c r="T786" s="292"/>
      <c r="U786" s="292"/>
      <c r="V786" s="292"/>
      <c r="W786" s="292"/>
      <c r="X786" s="292"/>
      <c r="Y786" s="292">
        <f>SUM(Y787:Y794)</f>
        <v>9.1999999999999998E-3</v>
      </c>
      <c r="Z786" s="296">
        <f>(C786+D786+I786+N786+S786+Y786)*$Z$7</f>
        <v>88.022601725414958</v>
      </c>
      <c r="AA786" s="459">
        <f>C786+D786+I786+N786+S786+Y786+Z786</f>
        <v>155.72252090878192</v>
      </c>
      <c r="AB786" s="460">
        <v>0.3</v>
      </c>
      <c r="AC786" s="461">
        <f>AA786*(1+AB786)</f>
        <v>202.43927718141649</v>
      </c>
      <c r="AD786" s="448"/>
      <c r="AI786" s="449"/>
      <c r="AJ786" s="462"/>
      <c r="AK786" s="463"/>
      <c r="AM786" s="464"/>
      <c r="AN786" s="143"/>
      <c r="AO786" s="464"/>
      <c r="AP786" s="449"/>
      <c r="AQ786" s="449"/>
      <c r="AR786" s="449"/>
      <c r="AS786" s="449"/>
      <c r="AT786" s="449"/>
      <c r="AU786" s="464"/>
      <c r="AV786" s="464"/>
      <c r="AW786" s="465"/>
    </row>
    <row r="787" spans="1:49" ht="66" x14ac:dyDescent="0.25">
      <c r="A787" s="1126"/>
      <c r="B787" s="466" t="s">
        <v>1177</v>
      </c>
      <c r="C787" s="487"/>
      <c r="D787" s="451"/>
      <c r="E787" s="300" t="s">
        <v>1437</v>
      </c>
      <c r="F787" s="301" t="s">
        <v>1438</v>
      </c>
      <c r="G787" s="302">
        <v>0.74</v>
      </c>
      <c r="H787" s="301">
        <v>1</v>
      </c>
      <c r="I787" s="303">
        <f t="shared" ref="I787:I792" si="73">G787*H787</f>
        <v>0.74</v>
      </c>
      <c r="J787" s="290" t="s">
        <v>1291</v>
      </c>
      <c r="K787" s="304">
        <v>2</v>
      </c>
      <c r="L787" s="305">
        <v>750</v>
      </c>
      <c r="M787" s="304">
        <v>2</v>
      </c>
      <c r="N787" s="292">
        <v>1.1745000000000001</v>
      </c>
      <c r="O787" s="467" t="s">
        <v>1578</v>
      </c>
      <c r="P787" s="291">
        <v>188900</v>
      </c>
      <c r="Q787" s="372">
        <v>0.19670000000000001</v>
      </c>
      <c r="R787" s="291">
        <f>P787*Q787</f>
        <v>37156.630000000005</v>
      </c>
      <c r="S787" s="291">
        <v>8.1902000000000008</v>
      </c>
      <c r="T787" s="458" t="s">
        <v>1435</v>
      </c>
      <c r="U787" s="456">
        <v>6785401.3499999996</v>
      </c>
      <c r="V787" s="457">
        <v>1.32E-2</v>
      </c>
      <c r="W787" s="458">
        <v>1508.3</v>
      </c>
      <c r="X787" s="292">
        <v>59.38</v>
      </c>
      <c r="Y787" s="291">
        <v>9.1999999999999998E-3</v>
      </c>
      <c r="Z787" s="291"/>
      <c r="AA787" s="440"/>
      <c r="AB787" s="460">
        <v>0.3</v>
      </c>
      <c r="AC787" s="440"/>
      <c r="AD787" s="444"/>
      <c r="AE787" s="444"/>
    </row>
    <row r="788" spans="1:49" x14ac:dyDescent="0.25">
      <c r="A788" s="1126"/>
      <c r="B788" s="469" t="s">
        <v>1178</v>
      </c>
      <c r="C788" s="491">
        <f>C778</f>
        <v>43.888814515309463</v>
      </c>
      <c r="D788" s="451"/>
      <c r="E788" s="300" t="s">
        <v>1439</v>
      </c>
      <c r="F788" s="301" t="s">
        <v>1438</v>
      </c>
      <c r="G788" s="302">
        <v>0.27</v>
      </c>
      <c r="H788" s="301">
        <v>1</v>
      </c>
      <c r="I788" s="303">
        <f t="shared" si="73"/>
        <v>0.27</v>
      </c>
      <c r="J788" s="290" t="s">
        <v>1445</v>
      </c>
      <c r="K788" s="292">
        <v>2</v>
      </c>
      <c r="L788" s="311">
        <v>95</v>
      </c>
      <c r="M788" s="304">
        <v>2</v>
      </c>
      <c r="N788" s="292">
        <v>3.1146400000000001</v>
      </c>
      <c r="O788" s="291"/>
      <c r="P788" s="291"/>
      <c r="Q788" s="372"/>
      <c r="R788" s="291"/>
      <c r="S788" s="291"/>
      <c r="T788" s="291"/>
      <c r="U788" s="291"/>
      <c r="V788" s="291"/>
      <c r="W788" s="372"/>
      <c r="X788" s="291"/>
      <c r="Y788" s="291"/>
      <c r="Z788" s="291"/>
      <c r="AA788" s="440"/>
      <c r="AB788" s="460">
        <v>0.3</v>
      </c>
      <c r="AC788" s="440"/>
      <c r="AD788" s="444"/>
      <c r="AE788" s="444"/>
    </row>
    <row r="789" spans="1:49" x14ac:dyDescent="0.25">
      <c r="A789" s="1126"/>
      <c r="B789" s="452" t="s">
        <v>1179</v>
      </c>
      <c r="C789" s="487">
        <f>C779</f>
        <v>19.495759833054819</v>
      </c>
      <c r="D789" s="451"/>
      <c r="E789" s="300" t="s">
        <v>1440</v>
      </c>
      <c r="F789" s="301" t="s">
        <v>1441</v>
      </c>
      <c r="G789" s="302">
        <v>5.92</v>
      </c>
      <c r="H789" s="471">
        <v>1</v>
      </c>
      <c r="I789" s="303">
        <f t="shared" si="73"/>
        <v>5.92</v>
      </c>
      <c r="J789" s="290" t="s">
        <v>1513</v>
      </c>
      <c r="K789" s="292">
        <v>2</v>
      </c>
      <c r="L789" s="292">
        <v>25</v>
      </c>
      <c r="M789" s="304">
        <v>0.5</v>
      </c>
      <c r="N789" s="292">
        <v>0.13225000000000001</v>
      </c>
      <c r="O789" s="291"/>
      <c r="P789" s="291"/>
      <c r="Q789" s="372"/>
      <c r="R789" s="291"/>
      <c r="S789" s="291"/>
      <c r="T789" s="291"/>
      <c r="U789" s="291"/>
      <c r="V789" s="291"/>
      <c r="W789" s="372"/>
      <c r="X789" s="291"/>
      <c r="Y789" s="291"/>
      <c r="Z789" s="291"/>
      <c r="AA789" s="440"/>
      <c r="AB789" s="460">
        <v>0.3</v>
      </c>
      <c r="AC789" s="440"/>
      <c r="AD789" s="444"/>
      <c r="AE789" s="444"/>
    </row>
    <row r="790" spans="1:49" x14ac:dyDescent="0.25">
      <c r="A790" s="1126"/>
      <c r="B790" s="452" t="s">
        <v>1180</v>
      </c>
      <c r="C790" s="492"/>
      <c r="D790" s="451"/>
      <c r="E790" s="300" t="s">
        <v>1442</v>
      </c>
      <c r="F790" s="301" t="s">
        <v>1443</v>
      </c>
      <c r="G790" s="302">
        <v>419.5</v>
      </c>
      <c r="H790" s="301">
        <v>0.01</v>
      </c>
      <c r="I790" s="303">
        <f t="shared" si="73"/>
        <v>4.1950000000000003</v>
      </c>
      <c r="J790" s="290"/>
      <c r="K790" s="374"/>
      <c r="L790" s="292"/>
      <c r="M790" s="292"/>
      <c r="N790" s="292"/>
      <c r="O790" s="291"/>
      <c r="P790" s="291"/>
      <c r="Q790" s="291"/>
      <c r="R790" s="291"/>
      <c r="S790" s="291"/>
      <c r="T790" s="291"/>
      <c r="U790" s="291"/>
      <c r="V790" s="291"/>
      <c r="W790" s="291"/>
      <c r="X790" s="291"/>
      <c r="Y790" s="291"/>
      <c r="Z790" s="291"/>
      <c r="AA790" s="440"/>
      <c r="AB790" s="460">
        <v>0.3</v>
      </c>
      <c r="AC790" s="440"/>
    </row>
    <row r="791" spans="1:49" x14ac:dyDescent="0.25">
      <c r="A791" s="1126"/>
      <c r="B791" s="469" t="s">
        <v>1178</v>
      </c>
      <c r="C791" s="493">
        <v>0.5</v>
      </c>
      <c r="D791" s="451"/>
      <c r="E791" s="300" t="s">
        <v>1444</v>
      </c>
      <c r="F791" s="301" t="s">
        <v>1443</v>
      </c>
      <c r="G791" s="302">
        <v>872</v>
      </c>
      <c r="H791" s="301">
        <v>5.0000000000000001E-3</v>
      </c>
      <c r="I791" s="303">
        <f t="shared" si="73"/>
        <v>4.3600000000000003</v>
      </c>
      <c r="J791" s="290"/>
      <c r="K791" s="374"/>
      <c r="L791" s="292"/>
      <c r="M791" s="292"/>
      <c r="N791" s="292"/>
      <c r="O791" s="291"/>
      <c r="P791" s="291"/>
      <c r="Q791" s="291"/>
      <c r="R791" s="291"/>
      <c r="S791" s="291"/>
      <c r="T791" s="291"/>
      <c r="U791" s="291"/>
      <c r="V791" s="291"/>
      <c r="W791" s="291"/>
      <c r="X791" s="291"/>
      <c r="Y791" s="291"/>
      <c r="Z791" s="291"/>
      <c r="AA791" s="440"/>
      <c r="AB791" s="460">
        <v>0.3</v>
      </c>
      <c r="AC791" s="440"/>
    </row>
    <row r="792" spans="1:49" x14ac:dyDescent="0.25">
      <c r="A792" s="1126"/>
      <c r="B792" s="452" t="s">
        <v>1179</v>
      </c>
      <c r="C792" s="493">
        <v>0.5</v>
      </c>
      <c r="D792" s="451"/>
      <c r="E792" s="494" t="s">
        <v>13</v>
      </c>
      <c r="F792" s="376" t="s">
        <v>1441</v>
      </c>
      <c r="G792" s="302">
        <v>1.5</v>
      </c>
      <c r="H792" s="301">
        <v>1</v>
      </c>
      <c r="I792" s="303">
        <f t="shared" si="73"/>
        <v>1.5</v>
      </c>
      <c r="J792" s="290"/>
      <c r="K792" s="374"/>
      <c r="L792" s="305"/>
      <c r="M792" s="304"/>
      <c r="N792" s="292"/>
      <c r="O792" s="291"/>
      <c r="P792" s="291"/>
      <c r="Q792" s="291"/>
      <c r="R792" s="291"/>
      <c r="S792" s="291"/>
      <c r="T792" s="291"/>
      <c r="U792" s="291"/>
      <c r="V792" s="291"/>
      <c r="W792" s="291"/>
      <c r="X792" s="291"/>
      <c r="Y792" s="291"/>
      <c r="Z792" s="291"/>
      <c r="AA792" s="440"/>
      <c r="AB792" s="460">
        <v>0.3</v>
      </c>
      <c r="AC792" s="440"/>
    </row>
    <row r="793" spans="1:49" x14ac:dyDescent="0.25">
      <c r="A793" s="1126"/>
      <c r="B793" s="474" t="s">
        <v>1181</v>
      </c>
      <c r="C793" s="487">
        <f>C788*C791+C789*C792</f>
        <v>31.692287174182141</v>
      </c>
      <c r="D793" s="451"/>
      <c r="E793" s="490"/>
      <c r="F793" s="578"/>
      <c r="G793" s="302"/>
      <c r="H793" s="454"/>
      <c r="I793" s="303"/>
      <c r="J793" s="290"/>
      <c r="K793" s="374"/>
      <c r="L793" s="292"/>
      <c r="M793" s="292"/>
      <c r="N793" s="292"/>
      <c r="O793" s="291"/>
      <c r="P793" s="291"/>
      <c r="Q793" s="291"/>
      <c r="R793" s="291"/>
      <c r="S793" s="291"/>
      <c r="T793" s="291"/>
      <c r="U793" s="291"/>
      <c r="V793" s="291"/>
      <c r="W793" s="291"/>
      <c r="X793" s="291"/>
      <c r="Y793" s="291"/>
      <c r="Z793" s="291"/>
      <c r="AA793" s="440"/>
      <c r="AB793" s="460">
        <v>0.3</v>
      </c>
      <c r="AC793" s="440"/>
    </row>
    <row r="794" spans="1:49" x14ac:dyDescent="0.25">
      <c r="A794" s="1126"/>
      <c r="B794" s="474"/>
      <c r="C794" s="493"/>
      <c r="D794" s="475"/>
      <c r="E794" s="490"/>
      <c r="F794" s="578"/>
      <c r="G794" s="302"/>
      <c r="H794" s="454"/>
      <c r="I794" s="303"/>
      <c r="J794" s="290"/>
      <c r="K794" s="374"/>
      <c r="L794" s="292"/>
      <c r="M794" s="292"/>
      <c r="N794" s="292"/>
      <c r="O794" s="291"/>
      <c r="P794" s="291"/>
      <c r="Q794" s="291"/>
      <c r="R794" s="291"/>
      <c r="S794" s="291"/>
      <c r="T794" s="291"/>
      <c r="U794" s="291"/>
      <c r="V794" s="291"/>
      <c r="W794" s="291"/>
      <c r="X794" s="291"/>
      <c r="Y794" s="291"/>
      <c r="Z794" s="291"/>
      <c r="AA794" s="440"/>
      <c r="AB794" s="460">
        <v>0.3</v>
      </c>
      <c r="AC794" s="440"/>
    </row>
    <row r="795" spans="1:49" ht="56.25" customHeight="1" x14ac:dyDescent="0.25">
      <c r="A795" s="1126" t="s">
        <v>1589</v>
      </c>
      <c r="B795" s="439" t="s">
        <v>1657</v>
      </c>
      <c r="C795" s="487"/>
      <c r="D795" s="489"/>
      <c r="E795" s="488" t="s">
        <v>488</v>
      </c>
      <c r="F795" s="442" t="s">
        <v>837</v>
      </c>
      <c r="G795" s="439" t="s">
        <v>489</v>
      </c>
      <c r="H795" s="441" t="s">
        <v>1170</v>
      </c>
      <c r="I795" s="442" t="s">
        <v>838</v>
      </c>
      <c r="J795" s="280" t="s">
        <v>1171</v>
      </c>
      <c r="K795" s="280" t="s">
        <v>490</v>
      </c>
      <c r="L795" s="281" t="s">
        <v>489</v>
      </c>
      <c r="M795" s="280" t="s">
        <v>1172</v>
      </c>
      <c r="N795" s="442" t="s">
        <v>838</v>
      </c>
      <c r="O795" s="280" t="s">
        <v>1171</v>
      </c>
      <c r="P795" s="280" t="s">
        <v>826</v>
      </c>
      <c r="Q795" s="280" t="s">
        <v>1173</v>
      </c>
      <c r="R795" s="280" t="s">
        <v>1174</v>
      </c>
      <c r="S795" s="280" t="s">
        <v>839</v>
      </c>
      <c r="T795" s="280" t="s">
        <v>1171</v>
      </c>
      <c r="U795" s="280" t="s">
        <v>1392</v>
      </c>
      <c r="V795" s="280" t="s">
        <v>841</v>
      </c>
      <c r="W795" s="282" t="s">
        <v>1173</v>
      </c>
      <c r="X795" s="280" t="s">
        <v>1394</v>
      </c>
      <c r="Y795" s="280" t="s">
        <v>839</v>
      </c>
      <c r="Z795" s="283"/>
      <c r="AA795" s="440"/>
      <c r="AB795" s="460">
        <v>0.3</v>
      </c>
      <c r="AC795" s="440"/>
      <c r="AD795" s="444"/>
      <c r="AQ795" s="449"/>
      <c r="AR795" s="449"/>
      <c r="AS795" s="449"/>
    </row>
    <row r="796" spans="1:49" ht="12" customHeight="1" x14ac:dyDescent="0.25">
      <c r="A796" s="1126"/>
      <c r="B796" s="450" t="s">
        <v>1175</v>
      </c>
      <c r="C796" s="487">
        <f>C803</f>
        <v>15.846143587091071</v>
      </c>
      <c r="D796" s="489">
        <f>C796*$D$7</f>
        <v>3.2009210045923964</v>
      </c>
      <c r="E796" s="490" t="s">
        <v>1176</v>
      </c>
      <c r="F796" s="453"/>
      <c r="G796" s="454"/>
      <c r="H796" s="454"/>
      <c r="I796" s="455">
        <f>SUM(I797:I804)</f>
        <v>16.372</v>
      </c>
      <c r="J796" s="290" t="s">
        <v>1176</v>
      </c>
      <c r="K796" s="357"/>
      <c r="L796" s="291"/>
      <c r="M796" s="291"/>
      <c r="N796" s="292">
        <f>SUM(N797:N804)</f>
        <v>4.4213899999999997</v>
      </c>
      <c r="O796" s="291" t="s">
        <v>1176</v>
      </c>
      <c r="P796" s="291"/>
      <c r="Q796" s="293"/>
      <c r="R796" s="294"/>
      <c r="S796" s="292">
        <f>SUM(S797:S804)</f>
        <v>8.1902000000000008</v>
      </c>
      <c r="T796" s="292"/>
      <c r="U796" s="292"/>
      <c r="V796" s="292"/>
      <c r="W796" s="292"/>
      <c r="X796" s="292"/>
      <c r="Y796" s="292">
        <f>SUM(Y797:Y804)</f>
        <v>9.1999999999999998E-3</v>
      </c>
      <c r="Z796" s="296">
        <f>(C796+D796+I796+N796+S796+Y796)*$Z$7</f>
        <v>62.460827703757673</v>
      </c>
      <c r="AA796" s="459">
        <f>C796+D796+I796+N796+S796+Y796+Z796</f>
        <v>110.50068229544115</v>
      </c>
      <c r="AB796" s="460">
        <v>0.3</v>
      </c>
      <c r="AC796" s="461">
        <f>AA796*(1+AB796)</f>
        <v>143.65088698407351</v>
      </c>
      <c r="AD796" s="448"/>
      <c r="AI796" s="449"/>
      <c r="AJ796" s="462"/>
      <c r="AK796" s="463"/>
      <c r="AM796" s="464"/>
      <c r="AN796" s="143"/>
      <c r="AO796" s="464"/>
      <c r="AP796" s="449"/>
      <c r="AQ796" s="449"/>
      <c r="AR796" s="449"/>
      <c r="AS796" s="449"/>
      <c r="AT796" s="449"/>
      <c r="AU796" s="464"/>
      <c r="AV796" s="464"/>
      <c r="AW796" s="465"/>
    </row>
    <row r="797" spans="1:49" ht="66" x14ac:dyDescent="0.25">
      <c r="A797" s="1126"/>
      <c r="B797" s="466" t="s">
        <v>1177</v>
      </c>
      <c r="C797" s="487"/>
      <c r="D797" s="451"/>
      <c r="E797" s="300" t="s">
        <v>1437</v>
      </c>
      <c r="F797" s="301" t="s">
        <v>1438</v>
      </c>
      <c r="G797" s="302">
        <v>0.74</v>
      </c>
      <c r="H797" s="301">
        <v>0.5</v>
      </c>
      <c r="I797" s="303">
        <f t="shared" ref="I797:I802" si="74">G797*H797</f>
        <v>0.37</v>
      </c>
      <c r="J797" s="290" t="s">
        <v>1291</v>
      </c>
      <c r="K797" s="304">
        <v>2</v>
      </c>
      <c r="L797" s="305">
        <v>750</v>
      </c>
      <c r="M797" s="304">
        <v>2</v>
      </c>
      <c r="N797" s="292">
        <v>1.1745000000000001</v>
      </c>
      <c r="O797" s="467" t="s">
        <v>1578</v>
      </c>
      <c r="P797" s="291">
        <v>188900</v>
      </c>
      <c r="Q797" s="372">
        <v>0.19670000000000001</v>
      </c>
      <c r="R797" s="291">
        <f>P797*Q797</f>
        <v>37156.630000000005</v>
      </c>
      <c r="S797" s="291">
        <v>8.1902000000000008</v>
      </c>
      <c r="T797" s="458" t="s">
        <v>1435</v>
      </c>
      <c r="U797" s="456">
        <v>6785401.3499999996</v>
      </c>
      <c r="V797" s="457">
        <v>1.32E-2</v>
      </c>
      <c r="W797" s="458">
        <v>1508.3</v>
      </c>
      <c r="X797" s="292">
        <v>59.38</v>
      </c>
      <c r="Y797" s="291">
        <v>9.1999999999999998E-3</v>
      </c>
      <c r="Z797" s="291"/>
      <c r="AA797" s="440"/>
      <c r="AB797" s="460">
        <v>0.3</v>
      </c>
      <c r="AC797" s="440"/>
      <c r="AD797" s="444"/>
      <c r="AE797" s="444"/>
    </row>
    <row r="798" spans="1:49" x14ac:dyDescent="0.25">
      <c r="A798" s="1126"/>
      <c r="B798" s="469" t="s">
        <v>1178</v>
      </c>
      <c r="C798" s="491">
        <f>C788</f>
        <v>43.888814515309463</v>
      </c>
      <c r="D798" s="451"/>
      <c r="E798" s="300" t="s">
        <v>1439</v>
      </c>
      <c r="F798" s="301" t="s">
        <v>1438</v>
      </c>
      <c r="G798" s="302">
        <v>0.27</v>
      </c>
      <c r="H798" s="301">
        <v>0.1</v>
      </c>
      <c r="I798" s="303">
        <f t="shared" si="74"/>
        <v>2.7000000000000003E-2</v>
      </c>
      <c r="J798" s="290" t="s">
        <v>1445</v>
      </c>
      <c r="K798" s="292">
        <v>2</v>
      </c>
      <c r="L798" s="311">
        <v>95</v>
      </c>
      <c r="M798" s="304">
        <v>2</v>
      </c>
      <c r="N798" s="292">
        <v>3.1146400000000001</v>
      </c>
      <c r="O798" s="291"/>
      <c r="P798" s="291"/>
      <c r="Q798" s="372"/>
      <c r="R798" s="291"/>
      <c r="S798" s="291"/>
      <c r="T798" s="291"/>
      <c r="U798" s="291"/>
      <c r="V798" s="291"/>
      <c r="W798" s="372"/>
      <c r="X798" s="291"/>
      <c r="Y798" s="291"/>
      <c r="Z798" s="291"/>
      <c r="AA798" s="440"/>
      <c r="AB798" s="460">
        <v>0.3</v>
      </c>
      <c r="AC798" s="440"/>
      <c r="AD798" s="444"/>
      <c r="AE798" s="444"/>
    </row>
    <row r="799" spans="1:49" x14ac:dyDescent="0.25">
      <c r="A799" s="1126"/>
      <c r="B799" s="452" t="s">
        <v>1179</v>
      </c>
      <c r="C799" s="487">
        <f>C789</f>
        <v>19.495759833054819</v>
      </c>
      <c r="D799" s="451"/>
      <c r="E799" s="300" t="s">
        <v>1440</v>
      </c>
      <c r="F799" s="301" t="s">
        <v>1441</v>
      </c>
      <c r="G799" s="302">
        <v>5.92</v>
      </c>
      <c r="H799" s="471">
        <v>1</v>
      </c>
      <c r="I799" s="303">
        <f t="shared" si="74"/>
        <v>5.92</v>
      </c>
      <c r="J799" s="290" t="s">
        <v>1513</v>
      </c>
      <c r="K799" s="292">
        <v>2</v>
      </c>
      <c r="L799" s="292">
        <v>25</v>
      </c>
      <c r="M799" s="304">
        <v>0.5</v>
      </c>
      <c r="N799" s="292">
        <v>0.13225000000000001</v>
      </c>
      <c r="O799" s="291"/>
      <c r="P799" s="291"/>
      <c r="Q799" s="372"/>
      <c r="R799" s="291"/>
      <c r="S799" s="291"/>
      <c r="T799" s="291"/>
      <c r="U799" s="291"/>
      <c r="V799" s="291"/>
      <c r="W799" s="372"/>
      <c r="X799" s="291"/>
      <c r="Y799" s="291"/>
      <c r="Z799" s="291"/>
      <c r="AA799" s="440"/>
      <c r="AB799" s="460">
        <v>0.3</v>
      </c>
      <c r="AC799" s="440"/>
      <c r="AD799" s="444"/>
      <c r="AE799" s="444"/>
    </row>
    <row r="800" spans="1:49" x14ac:dyDescent="0.25">
      <c r="A800" s="1126"/>
      <c r="B800" s="452" t="s">
        <v>1180</v>
      </c>
      <c r="C800" s="492"/>
      <c r="D800" s="451"/>
      <c r="E800" s="300" t="s">
        <v>1442</v>
      </c>
      <c r="F800" s="301" t="s">
        <v>1443</v>
      </c>
      <c r="G800" s="302">
        <v>419.5</v>
      </c>
      <c r="H800" s="301">
        <v>0.01</v>
      </c>
      <c r="I800" s="303">
        <f t="shared" si="74"/>
        <v>4.1950000000000003</v>
      </c>
      <c r="J800" s="290"/>
      <c r="K800" s="374"/>
      <c r="L800" s="292"/>
      <c r="M800" s="292"/>
      <c r="N800" s="292"/>
      <c r="O800" s="291"/>
      <c r="P800" s="291"/>
      <c r="Q800" s="291"/>
      <c r="R800" s="291"/>
      <c r="S800" s="291"/>
      <c r="T800" s="291"/>
      <c r="U800" s="291"/>
      <c r="V800" s="291"/>
      <c r="W800" s="291"/>
      <c r="X800" s="291"/>
      <c r="Y800" s="291"/>
      <c r="Z800" s="291"/>
      <c r="AA800" s="440"/>
      <c r="AB800" s="460">
        <v>0.3</v>
      </c>
      <c r="AC800" s="440"/>
    </row>
    <row r="801" spans="1:49" x14ac:dyDescent="0.25">
      <c r="A801" s="1126"/>
      <c r="B801" s="469" t="s">
        <v>1178</v>
      </c>
      <c r="C801" s="491">
        <v>0.25</v>
      </c>
      <c r="D801" s="451"/>
      <c r="E801" s="300" t="s">
        <v>1444</v>
      </c>
      <c r="F801" s="301" t="s">
        <v>1443</v>
      </c>
      <c r="G801" s="302">
        <v>872</v>
      </c>
      <c r="H801" s="301">
        <v>5.0000000000000001E-3</v>
      </c>
      <c r="I801" s="303">
        <f t="shared" si="74"/>
        <v>4.3600000000000003</v>
      </c>
      <c r="J801" s="290"/>
      <c r="K801" s="374"/>
      <c r="L801" s="292"/>
      <c r="M801" s="292"/>
      <c r="N801" s="292"/>
      <c r="O801" s="291"/>
      <c r="P801" s="291"/>
      <c r="Q801" s="291"/>
      <c r="R801" s="291"/>
      <c r="S801" s="291"/>
      <c r="T801" s="291"/>
      <c r="U801" s="291"/>
      <c r="V801" s="291"/>
      <c r="W801" s="291"/>
      <c r="X801" s="291"/>
      <c r="Y801" s="291"/>
      <c r="Z801" s="291"/>
      <c r="AA801" s="440"/>
      <c r="AB801" s="460">
        <v>0.3</v>
      </c>
      <c r="AC801" s="440"/>
    </row>
    <row r="802" spans="1:49" x14ac:dyDescent="0.25">
      <c r="A802" s="1126"/>
      <c r="B802" s="452" t="s">
        <v>1179</v>
      </c>
      <c r="C802" s="491">
        <v>0.25</v>
      </c>
      <c r="D802" s="451"/>
      <c r="E802" s="494" t="s">
        <v>13</v>
      </c>
      <c r="F802" s="376" t="s">
        <v>1441</v>
      </c>
      <c r="G802" s="302">
        <v>1.5</v>
      </c>
      <c r="H802" s="301">
        <v>1</v>
      </c>
      <c r="I802" s="303">
        <f t="shared" si="74"/>
        <v>1.5</v>
      </c>
      <c r="J802" s="290"/>
      <c r="K802" s="374"/>
      <c r="L802" s="305"/>
      <c r="M802" s="304"/>
      <c r="N802" s="292"/>
      <c r="O802" s="291"/>
      <c r="P802" s="291"/>
      <c r="Q802" s="291"/>
      <c r="R802" s="291"/>
      <c r="S802" s="291"/>
      <c r="T802" s="291"/>
      <c r="U802" s="291"/>
      <c r="V802" s="291"/>
      <c r="W802" s="291"/>
      <c r="X802" s="291"/>
      <c r="Y802" s="291"/>
      <c r="Z802" s="291"/>
      <c r="AA802" s="440"/>
      <c r="AB802" s="460">
        <v>0.3</v>
      </c>
      <c r="AC802" s="440"/>
    </row>
    <row r="803" spans="1:49" x14ac:dyDescent="0.25">
      <c r="A803" s="1126"/>
      <c r="B803" s="474" t="s">
        <v>1181</v>
      </c>
      <c r="C803" s="487">
        <f>C798*C801+C799*C802</f>
        <v>15.846143587091071</v>
      </c>
      <c r="D803" s="451"/>
      <c r="E803" s="490"/>
      <c r="F803" s="578"/>
      <c r="G803" s="302"/>
      <c r="H803" s="454"/>
      <c r="I803" s="303"/>
      <c r="J803" s="290"/>
      <c r="K803" s="374"/>
      <c r="L803" s="292"/>
      <c r="M803" s="292"/>
      <c r="N803" s="292"/>
      <c r="O803" s="291"/>
      <c r="P803" s="291"/>
      <c r="Q803" s="291"/>
      <c r="R803" s="291"/>
      <c r="S803" s="291"/>
      <c r="T803" s="291"/>
      <c r="U803" s="291"/>
      <c r="V803" s="291"/>
      <c r="W803" s="291"/>
      <c r="X803" s="291"/>
      <c r="Y803" s="291"/>
      <c r="Z803" s="291"/>
      <c r="AA803" s="440"/>
      <c r="AB803" s="460">
        <v>0.3</v>
      </c>
      <c r="AC803" s="440"/>
    </row>
    <row r="804" spans="1:49" x14ac:dyDescent="0.25">
      <c r="A804" s="1126"/>
      <c r="B804" s="474"/>
      <c r="C804" s="493"/>
      <c r="D804" s="475"/>
      <c r="E804" s="490"/>
      <c r="F804" s="578"/>
      <c r="G804" s="302"/>
      <c r="H804" s="454"/>
      <c r="I804" s="303"/>
      <c r="J804" s="290"/>
      <c r="K804" s="374"/>
      <c r="L804" s="292"/>
      <c r="M804" s="292"/>
      <c r="N804" s="292"/>
      <c r="O804" s="291"/>
      <c r="P804" s="291"/>
      <c r="Q804" s="291"/>
      <c r="R804" s="291"/>
      <c r="S804" s="291"/>
      <c r="T804" s="291"/>
      <c r="U804" s="291"/>
      <c r="V804" s="291"/>
      <c r="W804" s="291"/>
      <c r="X804" s="291"/>
      <c r="Y804" s="291"/>
      <c r="Z804" s="291"/>
      <c r="AA804" s="440"/>
      <c r="AB804" s="460">
        <v>0.3</v>
      </c>
      <c r="AC804" s="440"/>
    </row>
    <row r="805" spans="1:49" ht="56.25" customHeight="1" x14ac:dyDescent="0.25">
      <c r="A805" s="1126" t="s">
        <v>1590</v>
      </c>
      <c r="B805" s="439" t="s">
        <v>1658</v>
      </c>
      <c r="C805" s="487"/>
      <c r="D805" s="489"/>
      <c r="E805" s="488" t="s">
        <v>488</v>
      </c>
      <c r="F805" s="442" t="s">
        <v>837</v>
      </c>
      <c r="G805" s="439" t="s">
        <v>489</v>
      </c>
      <c r="H805" s="441" t="s">
        <v>1170</v>
      </c>
      <c r="I805" s="442" t="s">
        <v>838</v>
      </c>
      <c r="J805" s="280" t="s">
        <v>1171</v>
      </c>
      <c r="K805" s="280" t="s">
        <v>490</v>
      </c>
      <c r="L805" s="281" t="s">
        <v>489</v>
      </c>
      <c r="M805" s="280" t="s">
        <v>1172</v>
      </c>
      <c r="N805" s="442" t="s">
        <v>838</v>
      </c>
      <c r="O805" s="280" t="s">
        <v>1171</v>
      </c>
      <c r="P805" s="280" t="s">
        <v>826</v>
      </c>
      <c r="Q805" s="280" t="s">
        <v>1173</v>
      </c>
      <c r="R805" s="280" t="s">
        <v>1174</v>
      </c>
      <c r="S805" s="280" t="s">
        <v>839</v>
      </c>
      <c r="T805" s="280" t="s">
        <v>1171</v>
      </c>
      <c r="U805" s="280" t="s">
        <v>1392</v>
      </c>
      <c r="V805" s="280" t="s">
        <v>841</v>
      </c>
      <c r="W805" s="282" t="s">
        <v>1173</v>
      </c>
      <c r="X805" s="280" t="s">
        <v>1394</v>
      </c>
      <c r="Y805" s="280" t="s">
        <v>839</v>
      </c>
      <c r="Z805" s="283"/>
      <c r="AA805" s="440"/>
      <c r="AB805" s="460">
        <v>0.3</v>
      </c>
      <c r="AC805" s="440"/>
      <c r="AD805" s="444"/>
      <c r="AQ805" s="449"/>
      <c r="AR805" s="449"/>
      <c r="AS805" s="449"/>
    </row>
    <row r="806" spans="1:49" ht="12" customHeight="1" x14ac:dyDescent="0.25">
      <c r="A806" s="1126"/>
      <c r="B806" s="450" t="s">
        <v>1175</v>
      </c>
      <c r="C806" s="487">
        <f>C813</f>
        <v>73.132454264891692</v>
      </c>
      <c r="D806" s="489">
        <f>C806*$D$7</f>
        <v>14.772755761508122</v>
      </c>
      <c r="E806" s="490" t="s">
        <v>1176</v>
      </c>
      <c r="F806" s="453"/>
      <c r="G806" s="454"/>
      <c r="H806" s="454"/>
      <c r="I806" s="455">
        <f>SUM(I807:I814)</f>
        <v>19.975999999999999</v>
      </c>
      <c r="J806" s="290" t="s">
        <v>1176</v>
      </c>
      <c r="K806" s="357"/>
      <c r="L806" s="291"/>
      <c r="M806" s="291"/>
      <c r="N806" s="292">
        <f>SUM(N807:N814)</f>
        <v>4.4213899999999997</v>
      </c>
      <c r="O806" s="291" t="s">
        <v>1176</v>
      </c>
      <c r="P806" s="291"/>
      <c r="Q806" s="293"/>
      <c r="R806" s="294"/>
      <c r="S806" s="292">
        <f>SUM(S807:S814)</f>
        <v>8.1902000000000008</v>
      </c>
      <c r="T806" s="292"/>
      <c r="U806" s="292"/>
      <c r="V806" s="292"/>
      <c r="W806" s="292"/>
      <c r="X806" s="292"/>
      <c r="Y806" s="292">
        <f>SUM(Y807:Y814)</f>
        <v>9.1999999999999998E-3</v>
      </c>
      <c r="Z806" s="296">
        <f>(C806+D806+I806+N806+S806+Y806)*$Z$7</f>
        <v>156.67521739148137</v>
      </c>
      <c r="AA806" s="459">
        <f>C806+D806+I806+N806+S806+Y806+Z806</f>
        <v>277.1772174178812</v>
      </c>
      <c r="AB806" s="460">
        <v>0.3</v>
      </c>
      <c r="AC806" s="461">
        <f>AA806*(1+AB806)</f>
        <v>360.33038264324557</v>
      </c>
      <c r="AD806" s="448"/>
      <c r="AI806" s="449"/>
      <c r="AJ806" s="462"/>
      <c r="AK806" s="463"/>
      <c r="AM806" s="464"/>
      <c r="AN806" s="143"/>
      <c r="AO806" s="464"/>
      <c r="AP806" s="449"/>
      <c r="AQ806" s="449"/>
      <c r="AR806" s="449"/>
      <c r="AS806" s="449"/>
      <c r="AT806" s="449"/>
      <c r="AU806" s="464"/>
      <c r="AV806" s="464"/>
      <c r="AW806" s="465"/>
    </row>
    <row r="807" spans="1:49" ht="66" x14ac:dyDescent="0.25">
      <c r="A807" s="1126"/>
      <c r="B807" s="466" t="s">
        <v>1177</v>
      </c>
      <c r="C807" s="487"/>
      <c r="D807" s="451"/>
      <c r="E807" s="300" t="s">
        <v>1437</v>
      </c>
      <c r="F807" s="301" t="s">
        <v>1438</v>
      </c>
      <c r="G807" s="302">
        <v>0.74</v>
      </c>
      <c r="H807" s="301">
        <v>0.1</v>
      </c>
      <c r="I807" s="303">
        <f t="shared" ref="I807:I814" si="75">G807*H807</f>
        <v>7.3999999999999996E-2</v>
      </c>
      <c r="J807" s="290" t="s">
        <v>1291</v>
      </c>
      <c r="K807" s="304">
        <v>2</v>
      </c>
      <c r="L807" s="305">
        <v>750</v>
      </c>
      <c r="M807" s="304">
        <v>2</v>
      </c>
      <c r="N807" s="292">
        <v>1.1745000000000001</v>
      </c>
      <c r="O807" s="467" t="s">
        <v>1578</v>
      </c>
      <c r="P807" s="291">
        <v>188900</v>
      </c>
      <c r="Q807" s="372">
        <v>0.19670000000000001</v>
      </c>
      <c r="R807" s="291">
        <f>P807*Q807</f>
        <v>37156.630000000005</v>
      </c>
      <c r="S807" s="291">
        <v>8.1902000000000008</v>
      </c>
      <c r="T807" s="458" t="s">
        <v>1435</v>
      </c>
      <c r="U807" s="456">
        <v>6785401.3499999996</v>
      </c>
      <c r="V807" s="457">
        <v>1.32E-2</v>
      </c>
      <c r="W807" s="458">
        <v>1508.3</v>
      </c>
      <c r="X807" s="292">
        <v>59.38</v>
      </c>
      <c r="Y807" s="291">
        <v>9.1999999999999998E-3</v>
      </c>
      <c r="Z807" s="291"/>
      <c r="AA807" s="440"/>
      <c r="AB807" s="460">
        <v>0.3</v>
      </c>
      <c r="AC807" s="440"/>
      <c r="AD807" s="444"/>
      <c r="AE807" s="444"/>
    </row>
    <row r="808" spans="1:49" x14ac:dyDescent="0.25">
      <c r="A808" s="1126"/>
      <c r="B808" s="469" t="s">
        <v>1178</v>
      </c>
      <c r="C808" s="491">
        <f>C798</f>
        <v>43.888814515309463</v>
      </c>
      <c r="D808" s="451"/>
      <c r="E808" s="300" t="s">
        <v>1439</v>
      </c>
      <c r="F808" s="301" t="s">
        <v>1438</v>
      </c>
      <c r="G808" s="302">
        <v>0.27</v>
      </c>
      <c r="H808" s="301">
        <v>0.1</v>
      </c>
      <c r="I808" s="303">
        <f t="shared" si="75"/>
        <v>2.7000000000000003E-2</v>
      </c>
      <c r="J808" s="290" t="s">
        <v>1445</v>
      </c>
      <c r="K808" s="292">
        <v>2</v>
      </c>
      <c r="L808" s="311">
        <v>95</v>
      </c>
      <c r="M808" s="304">
        <v>2</v>
      </c>
      <c r="N808" s="292">
        <v>3.1146400000000001</v>
      </c>
      <c r="O808" s="291"/>
      <c r="P808" s="291"/>
      <c r="Q808" s="291"/>
      <c r="R808" s="291"/>
      <c r="S808" s="291"/>
      <c r="T808" s="291"/>
      <c r="U808" s="291"/>
      <c r="V808" s="291"/>
      <c r="W808" s="291"/>
      <c r="X808" s="291"/>
      <c r="Y808" s="291"/>
      <c r="Z808" s="291"/>
      <c r="AA808" s="440"/>
      <c r="AB808" s="460">
        <v>0.3</v>
      </c>
      <c r="AC808" s="440"/>
      <c r="AD808" s="444"/>
      <c r="AE808" s="444"/>
    </row>
    <row r="809" spans="1:49" x14ac:dyDescent="0.25">
      <c r="A809" s="1126"/>
      <c r="B809" s="452" t="s">
        <v>1179</v>
      </c>
      <c r="C809" s="487">
        <f>C799</f>
        <v>19.495759833054819</v>
      </c>
      <c r="D809" s="451"/>
      <c r="E809" s="300" t="s">
        <v>1440</v>
      </c>
      <c r="F809" s="301" t="s">
        <v>1441</v>
      </c>
      <c r="G809" s="302">
        <v>5.92</v>
      </c>
      <c r="H809" s="471">
        <v>1</v>
      </c>
      <c r="I809" s="303">
        <f t="shared" si="75"/>
        <v>5.92</v>
      </c>
      <c r="J809" s="290" t="s">
        <v>1513</v>
      </c>
      <c r="K809" s="292">
        <v>2</v>
      </c>
      <c r="L809" s="292">
        <v>25</v>
      </c>
      <c r="M809" s="304">
        <v>0.5</v>
      </c>
      <c r="N809" s="292">
        <v>0.13225000000000001</v>
      </c>
      <c r="O809" s="291"/>
      <c r="P809" s="291"/>
      <c r="Q809" s="291"/>
      <c r="R809" s="291"/>
      <c r="S809" s="291"/>
      <c r="T809" s="291"/>
      <c r="U809" s="291"/>
      <c r="V809" s="291"/>
      <c r="W809" s="291"/>
      <c r="X809" s="291"/>
      <c r="Y809" s="291"/>
      <c r="Z809" s="291"/>
      <c r="AA809" s="440"/>
      <c r="AB809" s="460">
        <v>0.3</v>
      </c>
      <c r="AC809" s="440"/>
      <c r="AD809" s="444"/>
      <c r="AE809" s="444"/>
    </row>
    <row r="810" spans="1:49" x14ac:dyDescent="0.25">
      <c r="A810" s="1126"/>
      <c r="B810" s="452" t="s">
        <v>1180</v>
      </c>
      <c r="C810" s="492"/>
      <c r="D810" s="451"/>
      <c r="E810" s="300" t="s">
        <v>1442</v>
      </c>
      <c r="F810" s="301" t="s">
        <v>1443</v>
      </c>
      <c r="G810" s="302">
        <v>419.5</v>
      </c>
      <c r="H810" s="301">
        <v>0.01</v>
      </c>
      <c r="I810" s="303">
        <f t="shared" si="75"/>
        <v>4.1950000000000003</v>
      </c>
      <c r="J810" s="290"/>
      <c r="K810" s="374"/>
      <c r="L810" s="292"/>
      <c r="M810" s="292"/>
      <c r="N810" s="292"/>
      <c r="O810" s="291"/>
      <c r="P810" s="291"/>
      <c r="Q810" s="291"/>
      <c r="R810" s="291"/>
      <c r="S810" s="291"/>
      <c r="T810" s="291"/>
      <c r="U810" s="291"/>
      <c r="V810" s="291"/>
      <c r="W810" s="291"/>
      <c r="X810" s="291"/>
      <c r="Y810" s="291"/>
      <c r="Z810" s="291"/>
      <c r="AA810" s="440"/>
      <c r="AB810" s="460">
        <v>0.3</v>
      </c>
      <c r="AC810" s="440"/>
    </row>
    <row r="811" spans="1:49" x14ac:dyDescent="0.25">
      <c r="A811" s="1126"/>
      <c r="B811" s="469" t="s">
        <v>1178</v>
      </c>
      <c r="C811" s="493">
        <v>1</v>
      </c>
      <c r="D811" s="451"/>
      <c r="E811" s="300" t="s">
        <v>1444</v>
      </c>
      <c r="F811" s="301" t="s">
        <v>1443</v>
      </c>
      <c r="G811" s="302">
        <v>872</v>
      </c>
      <c r="H811" s="301">
        <v>5.0000000000000001E-3</v>
      </c>
      <c r="I811" s="303">
        <f t="shared" si="75"/>
        <v>4.3600000000000003</v>
      </c>
      <c r="J811" s="290"/>
      <c r="K811" s="374"/>
      <c r="L811" s="292"/>
      <c r="M811" s="292"/>
      <c r="N811" s="292"/>
      <c r="O811" s="291"/>
      <c r="P811" s="291"/>
      <c r="Q811" s="291"/>
      <c r="R811" s="291"/>
      <c r="S811" s="291"/>
      <c r="T811" s="291"/>
      <c r="U811" s="291"/>
      <c r="V811" s="291"/>
      <c r="W811" s="291"/>
      <c r="X811" s="291"/>
      <c r="Y811" s="291"/>
      <c r="Z811" s="291"/>
      <c r="AA811" s="440"/>
      <c r="AB811" s="460">
        <v>0.3</v>
      </c>
      <c r="AC811" s="440"/>
    </row>
    <row r="812" spans="1:49" x14ac:dyDescent="0.25">
      <c r="A812" s="1126"/>
      <c r="B812" s="452" t="s">
        <v>1179</v>
      </c>
      <c r="C812" s="493">
        <v>1.5</v>
      </c>
      <c r="D812" s="451"/>
      <c r="E812" s="494" t="s">
        <v>13</v>
      </c>
      <c r="F812" s="376" t="s">
        <v>1441</v>
      </c>
      <c r="G812" s="302">
        <v>1.5</v>
      </c>
      <c r="H812" s="301">
        <v>1</v>
      </c>
      <c r="I812" s="303">
        <f t="shared" si="75"/>
        <v>1.5</v>
      </c>
      <c r="J812" s="290"/>
      <c r="K812" s="374"/>
      <c r="L812" s="292"/>
      <c r="M812" s="292"/>
      <c r="N812" s="292"/>
      <c r="O812" s="291"/>
      <c r="P812" s="291"/>
      <c r="Q812" s="291"/>
      <c r="R812" s="291"/>
      <c r="S812" s="291"/>
      <c r="T812" s="291"/>
      <c r="U812" s="291"/>
      <c r="V812" s="291"/>
      <c r="W812" s="291"/>
      <c r="X812" s="291"/>
      <c r="Y812" s="291"/>
      <c r="Z812" s="291"/>
      <c r="AA812" s="440"/>
      <c r="AB812" s="460">
        <v>0.3</v>
      </c>
      <c r="AC812" s="440"/>
    </row>
    <row r="813" spans="1:49" x14ac:dyDescent="0.25">
      <c r="A813" s="1126"/>
      <c r="B813" s="474" t="s">
        <v>1181</v>
      </c>
      <c r="C813" s="487">
        <f>C808*C811+C809*C812</f>
        <v>73.132454264891692</v>
      </c>
      <c r="D813" s="451"/>
      <c r="E813" s="653" t="s">
        <v>1703</v>
      </c>
      <c r="F813" s="654" t="s">
        <v>1</v>
      </c>
      <c r="G813" s="302">
        <v>0.09</v>
      </c>
      <c r="H813" s="454">
        <v>10</v>
      </c>
      <c r="I813" s="303">
        <f t="shared" si="75"/>
        <v>0.89999999999999991</v>
      </c>
      <c r="J813" s="290"/>
      <c r="K813" s="374"/>
      <c r="L813" s="292"/>
      <c r="M813" s="292"/>
      <c r="N813" s="292"/>
      <c r="O813" s="291"/>
      <c r="P813" s="291"/>
      <c r="Q813" s="291"/>
      <c r="R813" s="291"/>
      <c r="S813" s="291"/>
      <c r="T813" s="291"/>
      <c r="U813" s="291"/>
      <c r="V813" s="291"/>
      <c r="W813" s="291"/>
      <c r="X813" s="291"/>
      <c r="Y813" s="291"/>
      <c r="Z813" s="291"/>
      <c r="AA813" s="440"/>
      <c r="AB813" s="460">
        <v>0.3</v>
      </c>
      <c r="AC813" s="440"/>
    </row>
    <row r="814" spans="1:49" x14ac:dyDescent="0.25">
      <c r="A814" s="1126"/>
      <c r="B814" s="474"/>
      <c r="C814" s="493"/>
      <c r="D814" s="475"/>
      <c r="E814" s="653" t="s">
        <v>22</v>
      </c>
      <c r="F814" s="654" t="s">
        <v>1441</v>
      </c>
      <c r="G814" s="302">
        <v>1.5</v>
      </c>
      <c r="H814" s="454">
        <v>2</v>
      </c>
      <c r="I814" s="303">
        <f t="shared" si="75"/>
        <v>3</v>
      </c>
      <c r="J814" s="290"/>
      <c r="K814" s="374"/>
      <c r="L814" s="292"/>
      <c r="M814" s="292"/>
      <c r="N814" s="292"/>
      <c r="O814" s="291"/>
      <c r="P814" s="291"/>
      <c r="Q814" s="291"/>
      <c r="R814" s="291"/>
      <c r="S814" s="291"/>
      <c r="T814" s="291"/>
      <c r="U814" s="291"/>
      <c r="V814" s="291"/>
      <c r="W814" s="291"/>
      <c r="X814" s="291"/>
      <c r="Y814" s="291"/>
      <c r="Z814" s="291"/>
      <c r="AA814" s="440"/>
      <c r="AB814" s="460">
        <v>0.3</v>
      </c>
      <c r="AC814" s="440"/>
    </row>
    <row r="815" spans="1:49" ht="56.25" customHeight="1" x14ac:dyDescent="0.25">
      <c r="A815" s="1126" t="s">
        <v>1821</v>
      </c>
      <c r="B815" s="439" t="s">
        <v>1820</v>
      </c>
      <c r="C815" s="487"/>
      <c r="D815" s="489"/>
      <c r="E815" s="488" t="s">
        <v>488</v>
      </c>
      <c r="F815" s="442" t="s">
        <v>837</v>
      </c>
      <c r="G815" s="439" t="s">
        <v>489</v>
      </c>
      <c r="H815" s="441" t="s">
        <v>1170</v>
      </c>
      <c r="I815" s="442" t="s">
        <v>838</v>
      </c>
      <c r="J815" s="280" t="s">
        <v>1171</v>
      </c>
      <c r="K815" s="280" t="s">
        <v>490</v>
      </c>
      <c r="L815" s="281" t="s">
        <v>489</v>
      </c>
      <c r="M815" s="280" t="s">
        <v>1172</v>
      </c>
      <c r="N815" s="442" t="s">
        <v>838</v>
      </c>
      <c r="O815" s="280" t="s">
        <v>1171</v>
      </c>
      <c r="P815" s="280" t="s">
        <v>826</v>
      </c>
      <c r="Q815" s="280" t="s">
        <v>1173</v>
      </c>
      <c r="R815" s="280" t="s">
        <v>1174</v>
      </c>
      <c r="S815" s="280" t="s">
        <v>839</v>
      </c>
      <c r="T815" s="280" t="s">
        <v>1171</v>
      </c>
      <c r="U815" s="280" t="s">
        <v>1392</v>
      </c>
      <c r="V815" s="280" t="s">
        <v>841</v>
      </c>
      <c r="W815" s="282" t="s">
        <v>1173</v>
      </c>
      <c r="X815" s="280" t="s">
        <v>1394</v>
      </c>
      <c r="Y815" s="280" t="s">
        <v>839</v>
      </c>
      <c r="Z815" s="283"/>
      <c r="AA815" s="440"/>
      <c r="AB815" s="460">
        <v>0.3</v>
      </c>
      <c r="AC815" s="440"/>
      <c r="AD815" s="444"/>
      <c r="AQ815" s="449"/>
      <c r="AR815" s="449"/>
      <c r="AS815" s="449"/>
    </row>
    <row r="816" spans="1:49" ht="12" customHeight="1" x14ac:dyDescent="0.25">
      <c r="A816" s="1126"/>
      <c r="B816" s="450" t="s">
        <v>1175</v>
      </c>
      <c r="C816" s="487">
        <f>C823</f>
        <v>31.692287174182141</v>
      </c>
      <c r="D816" s="489">
        <f>C816*$D$7</f>
        <v>6.4018420091847927</v>
      </c>
      <c r="E816" s="490" t="s">
        <v>1176</v>
      </c>
      <c r="F816" s="453"/>
      <c r="G816" s="454"/>
      <c r="H816" s="454"/>
      <c r="I816" s="455">
        <f>SUM(I817:I824)</f>
        <v>14.872</v>
      </c>
      <c r="J816" s="290" t="s">
        <v>1176</v>
      </c>
      <c r="K816" s="357"/>
      <c r="L816" s="291"/>
      <c r="M816" s="291"/>
      <c r="N816" s="292">
        <f>SUM(N817:N824)</f>
        <v>4.4213899999999997</v>
      </c>
      <c r="O816" s="291" t="s">
        <v>1176</v>
      </c>
      <c r="P816" s="291"/>
      <c r="Q816" s="293"/>
      <c r="R816" s="294"/>
      <c r="S816" s="292">
        <f>SUM(S817:S824)</f>
        <v>8.1902000000000008</v>
      </c>
      <c r="T816" s="292"/>
      <c r="U816" s="292"/>
      <c r="V816" s="292"/>
      <c r="W816" s="292"/>
      <c r="X816" s="292"/>
      <c r="Y816" s="292">
        <f>SUM(Y817:Y824)</f>
        <v>9.1999999999999998E-3</v>
      </c>
      <c r="Z816" s="296">
        <f>(C816+D816+I816+N816+S816+Y816)*$Z$7</f>
        <v>85.275305130539593</v>
      </c>
      <c r="AA816" s="459">
        <f>C816+D816+I816+N816+S816+Y816+Z816</f>
        <v>150.86222431390655</v>
      </c>
      <c r="AB816" s="460">
        <v>0.3</v>
      </c>
      <c r="AC816" s="461">
        <f>AA816*(1+AB816)</f>
        <v>196.12089160807852</v>
      </c>
      <c r="AD816" s="448"/>
      <c r="AI816" s="449"/>
      <c r="AJ816" s="462"/>
      <c r="AK816" s="463"/>
      <c r="AM816" s="464"/>
      <c r="AN816" s="143"/>
      <c r="AO816" s="464"/>
      <c r="AP816" s="449"/>
      <c r="AQ816" s="449"/>
      <c r="AR816" s="449"/>
      <c r="AS816" s="449"/>
      <c r="AT816" s="449"/>
      <c r="AU816" s="464"/>
      <c r="AV816" s="464"/>
      <c r="AW816" s="465"/>
    </row>
    <row r="817" spans="1:49" ht="66" x14ac:dyDescent="0.25">
      <c r="A817" s="1126"/>
      <c r="B817" s="466" t="s">
        <v>1177</v>
      </c>
      <c r="C817" s="487"/>
      <c r="D817" s="451"/>
      <c r="E817" s="300" t="s">
        <v>1437</v>
      </c>
      <c r="F817" s="301" t="s">
        <v>1438</v>
      </c>
      <c r="G817" s="302">
        <v>0.74</v>
      </c>
      <c r="H817" s="301">
        <v>0.5</v>
      </c>
      <c r="I817" s="303">
        <f>G817*H817</f>
        <v>0.37</v>
      </c>
      <c r="J817" s="290" t="s">
        <v>1291</v>
      </c>
      <c r="K817" s="304">
        <v>2</v>
      </c>
      <c r="L817" s="305">
        <v>750</v>
      </c>
      <c r="M817" s="304">
        <v>2</v>
      </c>
      <c r="N817" s="292">
        <v>1.1745000000000001</v>
      </c>
      <c r="O817" s="467" t="s">
        <v>1578</v>
      </c>
      <c r="P817" s="291">
        <v>188900</v>
      </c>
      <c r="Q817" s="372">
        <v>0.19670000000000001</v>
      </c>
      <c r="R817" s="291">
        <f>P817*Q817</f>
        <v>37156.630000000005</v>
      </c>
      <c r="S817" s="291">
        <v>8.1902000000000008</v>
      </c>
      <c r="T817" s="458" t="s">
        <v>1435</v>
      </c>
      <c r="U817" s="456">
        <v>6785401.3499999996</v>
      </c>
      <c r="V817" s="457">
        <v>1.32E-2</v>
      </c>
      <c r="W817" s="458">
        <v>1508.3</v>
      </c>
      <c r="X817" s="292">
        <v>59.38</v>
      </c>
      <c r="Y817" s="291">
        <v>9.1999999999999998E-3</v>
      </c>
      <c r="Z817" s="291"/>
      <c r="AA817" s="440"/>
      <c r="AB817" s="460">
        <v>0.3</v>
      </c>
      <c r="AC817" s="440"/>
      <c r="AD817" s="444"/>
      <c r="AE817" s="444"/>
    </row>
    <row r="818" spans="1:49" x14ac:dyDescent="0.25">
      <c r="A818" s="1126"/>
      <c r="B818" s="469" t="s">
        <v>1178</v>
      </c>
      <c r="C818" s="491">
        <f>C808</f>
        <v>43.888814515309463</v>
      </c>
      <c r="D818" s="451"/>
      <c r="E818" s="300" t="s">
        <v>1439</v>
      </c>
      <c r="F818" s="301" t="s">
        <v>1438</v>
      </c>
      <c r="G818" s="302">
        <v>0.27</v>
      </c>
      <c r="H818" s="301">
        <v>0.1</v>
      </c>
      <c r="I818" s="303">
        <f>G818*H818</f>
        <v>2.7000000000000003E-2</v>
      </c>
      <c r="J818" s="290" t="s">
        <v>1445</v>
      </c>
      <c r="K818" s="292">
        <v>2</v>
      </c>
      <c r="L818" s="311">
        <v>95</v>
      </c>
      <c r="M818" s="304">
        <v>2</v>
      </c>
      <c r="N818" s="292">
        <v>3.1146400000000001</v>
      </c>
      <c r="O818" s="291"/>
      <c r="P818" s="291"/>
      <c r="Q818" s="291"/>
      <c r="R818" s="291"/>
      <c r="S818" s="291"/>
      <c r="T818" s="291"/>
      <c r="U818" s="291"/>
      <c r="V818" s="291"/>
      <c r="W818" s="291"/>
      <c r="X818" s="291"/>
      <c r="Y818" s="291"/>
      <c r="Z818" s="291"/>
      <c r="AA818" s="440"/>
      <c r="AB818" s="460">
        <v>0.3</v>
      </c>
      <c r="AC818" s="440"/>
      <c r="AD818" s="444"/>
      <c r="AE818" s="444"/>
    </row>
    <row r="819" spans="1:49" x14ac:dyDescent="0.25">
      <c r="A819" s="1126"/>
      <c r="B819" s="452" t="s">
        <v>1179</v>
      </c>
      <c r="C819" s="487">
        <f>C809</f>
        <v>19.495759833054819</v>
      </c>
      <c r="D819" s="451"/>
      <c r="E819" s="300" t="s">
        <v>1440</v>
      </c>
      <c r="F819" s="301" t="s">
        <v>1441</v>
      </c>
      <c r="G819" s="302">
        <v>5.92</v>
      </c>
      <c r="H819" s="471">
        <v>1</v>
      </c>
      <c r="I819" s="303">
        <f>G819*H819</f>
        <v>5.92</v>
      </c>
      <c r="J819" s="290" t="s">
        <v>1513</v>
      </c>
      <c r="K819" s="292">
        <v>2</v>
      </c>
      <c r="L819" s="292">
        <v>25</v>
      </c>
      <c r="M819" s="304">
        <v>0.5</v>
      </c>
      <c r="N819" s="292">
        <v>0.13225000000000001</v>
      </c>
      <c r="O819" s="291"/>
      <c r="P819" s="291"/>
      <c r="Q819" s="291"/>
      <c r="R819" s="291"/>
      <c r="S819" s="291"/>
      <c r="T819" s="291"/>
      <c r="U819" s="291"/>
      <c r="V819" s="291"/>
      <c r="W819" s="291"/>
      <c r="X819" s="291"/>
      <c r="Y819" s="291"/>
      <c r="Z819" s="291"/>
      <c r="AA819" s="440"/>
      <c r="AB819" s="460">
        <v>0.3</v>
      </c>
      <c r="AC819" s="440"/>
      <c r="AD819" s="444"/>
      <c r="AE819" s="444"/>
    </row>
    <row r="820" spans="1:49" x14ac:dyDescent="0.25">
      <c r="A820" s="1126"/>
      <c r="B820" s="452" t="s">
        <v>1180</v>
      </c>
      <c r="C820" s="492"/>
      <c r="D820" s="451"/>
      <c r="E820" s="300" t="s">
        <v>1442</v>
      </c>
      <c r="F820" s="301" t="s">
        <v>1443</v>
      </c>
      <c r="G820" s="302">
        <v>419.5</v>
      </c>
      <c r="H820" s="301">
        <v>0.01</v>
      </c>
      <c r="I820" s="303">
        <f>G820*H820</f>
        <v>4.1950000000000003</v>
      </c>
      <c r="J820" s="290"/>
      <c r="K820" s="374"/>
      <c r="L820" s="292"/>
      <c r="M820" s="292"/>
      <c r="N820" s="292"/>
      <c r="O820" s="291"/>
      <c r="P820" s="291"/>
      <c r="Q820" s="291"/>
      <c r="R820" s="291"/>
      <c r="S820" s="291"/>
      <c r="T820" s="291"/>
      <c r="U820" s="291"/>
      <c r="V820" s="291"/>
      <c r="W820" s="291"/>
      <c r="X820" s="291"/>
      <c r="Y820" s="291"/>
      <c r="Z820" s="291"/>
      <c r="AA820" s="440"/>
      <c r="AB820" s="460">
        <v>0.3</v>
      </c>
      <c r="AC820" s="440"/>
    </row>
    <row r="821" spans="1:49" x14ac:dyDescent="0.25">
      <c r="A821" s="1126"/>
      <c r="B821" s="469" t="s">
        <v>1178</v>
      </c>
      <c r="C821" s="493">
        <v>0.5</v>
      </c>
      <c r="D821" s="451"/>
      <c r="E821" s="300" t="s">
        <v>1444</v>
      </c>
      <c r="F821" s="301" t="s">
        <v>1443</v>
      </c>
      <c r="G821" s="302">
        <v>872</v>
      </c>
      <c r="H821" s="301">
        <v>5.0000000000000001E-3</v>
      </c>
      <c r="I821" s="303">
        <f>G821*H821</f>
        <v>4.3600000000000003</v>
      </c>
      <c r="J821" s="290"/>
      <c r="K821" s="374"/>
      <c r="L821" s="292"/>
      <c r="M821" s="292"/>
      <c r="N821" s="292"/>
      <c r="O821" s="291"/>
      <c r="P821" s="291"/>
      <c r="Q821" s="291"/>
      <c r="R821" s="291"/>
      <c r="S821" s="291"/>
      <c r="T821" s="291"/>
      <c r="U821" s="291"/>
      <c r="V821" s="291"/>
      <c r="W821" s="291"/>
      <c r="X821" s="291"/>
      <c r="Y821" s="291"/>
      <c r="Z821" s="291"/>
      <c r="AA821" s="440"/>
      <c r="AB821" s="460">
        <v>0.3</v>
      </c>
      <c r="AC821" s="440"/>
    </row>
    <row r="822" spans="1:49" x14ac:dyDescent="0.25">
      <c r="A822" s="1126"/>
      <c r="B822" s="452" t="s">
        <v>1179</v>
      </c>
      <c r="C822" s="493">
        <v>0.5</v>
      </c>
      <c r="D822" s="451"/>
      <c r="E822" s="494" t="s">
        <v>586</v>
      </c>
      <c r="F822" s="376" t="s">
        <v>1438</v>
      </c>
      <c r="G822" s="302"/>
      <c r="H822" s="301"/>
      <c r="I822" s="303"/>
      <c r="J822" s="290"/>
      <c r="K822" s="374"/>
      <c r="L822" s="292"/>
      <c r="M822" s="292"/>
      <c r="N822" s="292"/>
      <c r="O822" s="291"/>
      <c r="P822" s="291"/>
      <c r="Q822" s="291"/>
      <c r="R822" s="291"/>
      <c r="S822" s="291"/>
      <c r="T822" s="291"/>
      <c r="U822" s="291"/>
      <c r="V822" s="291"/>
      <c r="W822" s="291"/>
      <c r="X822" s="291"/>
      <c r="Y822" s="291"/>
      <c r="Z822" s="291"/>
      <c r="AA822" s="440"/>
      <c r="AB822" s="460">
        <v>0.3</v>
      </c>
      <c r="AC822" s="440"/>
    </row>
    <row r="823" spans="1:49" x14ac:dyDescent="0.25">
      <c r="A823" s="1126"/>
      <c r="B823" s="474" t="s">
        <v>1181</v>
      </c>
      <c r="C823" s="487">
        <f>C818*C821+C819*C822</f>
        <v>31.692287174182141</v>
      </c>
      <c r="D823" s="451"/>
      <c r="E823" s="490"/>
      <c r="F823" s="578"/>
      <c r="G823" s="302"/>
      <c r="H823" s="454"/>
      <c r="I823" s="303"/>
      <c r="J823" s="290"/>
      <c r="K823" s="374"/>
      <c r="L823" s="292"/>
      <c r="M823" s="292"/>
      <c r="N823" s="292"/>
      <c r="O823" s="291"/>
      <c r="P823" s="291"/>
      <c r="Q823" s="291"/>
      <c r="R823" s="291"/>
      <c r="S823" s="291"/>
      <c r="T823" s="291"/>
      <c r="U823" s="291"/>
      <c r="V823" s="291"/>
      <c r="W823" s="291"/>
      <c r="X823" s="291"/>
      <c r="Y823" s="291"/>
      <c r="Z823" s="291"/>
      <c r="AA823" s="440"/>
      <c r="AB823" s="460">
        <v>0.3</v>
      </c>
      <c r="AC823" s="440"/>
    </row>
    <row r="824" spans="1:49" x14ac:dyDescent="0.25">
      <c r="A824" s="1126"/>
      <c r="B824" s="474"/>
      <c r="C824" s="493"/>
      <c r="D824" s="475"/>
      <c r="E824" s="490"/>
      <c r="F824" s="578"/>
      <c r="G824" s="302"/>
      <c r="H824" s="454"/>
      <c r="I824" s="303"/>
      <c r="J824" s="290"/>
      <c r="K824" s="374"/>
      <c r="L824" s="292"/>
      <c r="M824" s="292"/>
      <c r="N824" s="292"/>
      <c r="O824" s="291"/>
      <c r="P824" s="291"/>
      <c r="Q824" s="291"/>
      <c r="R824" s="291"/>
      <c r="S824" s="291"/>
      <c r="T824" s="291"/>
      <c r="U824" s="291"/>
      <c r="V824" s="291"/>
      <c r="W824" s="291"/>
      <c r="X824" s="291"/>
      <c r="Y824" s="291"/>
      <c r="Z824" s="291"/>
      <c r="AA824" s="440"/>
      <c r="AB824" s="460">
        <v>0.3</v>
      </c>
      <c r="AC824" s="440"/>
    </row>
    <row r="825" spans="1:49" ht="56.25" customHeight="1" x14ac:dyDescent="0.25">
      <c r="A825" s="1126" t="s">
        <v>1592</v>
      </c>
      <c r="B825" s="439" t="s">
        <v>1659</v>
      </c>
      <c r="C825" s="487"/>
      <c r="D825" s="489"/>
      <c r="E825" s="488" t="s">
        <v>488</v>
      </c>
      <c r="F825" s="442" t="s">
        <v>837</v>
      </c>
      <c r="G825" s="439" t="s">
        <v>489</v>
      </c>
      <c r="H825" s="441" t="s">
        <v>1170</v>
      </c>
      <c r="I825" s="442" t="s">
        <v>838</v>
      </c>
      <c r="J825" s="280" t="s">
        <v>1171</v>
      </c>
      <c r="K825" s="280" t="s">
        <v>490</v>
      </c>
      <c r="L825" s="281" t="s">
        <v>489</v>
      </c>
      <c r="M825" s="280" t="s">
        <v>1172</v>
      </c>
      <c r="N825" s="442" t="s">
        <v>838</v>
      </c>
      <c r="O825" s="280" t="s">
        <v>1171</v>
      </c>
      <c r="P825" s="280" t="s">
        <v>826</v>
      </c>
      <c r="Q825" s="280" t="s">
        <v>1173</v>
      </c>
      <c r="R825" s="280" t="s">
        <v>1174</v>
      </c>
      <c r="S825" s="280" t="s">
        <v>839</v>
      </c>
      <c r="T825" s="280" t="s">
        <v>1171</v>
      </c>
      <c r="U825" s="280" t="s">
        <v>1392</v>
      </c>
      <c r="V825" s="280" t="s">
        <v>841</v>
      </c>
      <c r="W825" s="282" t="s">
        <v>1173</v>
      </c>
      <c r="X825" s="280" t="s">
        <v>1394</v>
      </c>
      <c r="Y825" s="280" t="s">
        <v>839</v>
      </c>
      <c r="Z825" s="283"/>
      <c r="AA825" s="440"/>
      <c r="AB825" s="460">
        <v>0.3</v>
      </c>
      <c r="AC825" s="440"/>
      <c r="AD825" s="444"/>
      <c r="AQ825" s="449"/>
      <c r="AR825" s="449"/>
      <c r="AS825" s="449"/>
    </row>
    <row r="826" spans="1:49" ht="12" customHeight="1" x14ac:dyDescent="0.25">
      <c r="A826" s="1126"/>
      <c r="B826" s="450" t="s">
        <v>1175</v>
      </c>
      <c r="C826" s="487">
        <f>C833</f>
        <v>31.692287174182141</v>
      </c>
      <c r="D826" s="489">
        <f>C826*$D$7</f>
        <v>6.4018420091847927</v>
      </c>
      <c r="E826" s="490" t="s">
        <v>1176</v>
      </c>
      <c r="F826" s="453"/>
      <c r="G826" s="454"/>
      <c r="H826" s="454"/>
      <c r="I826" s="455">
        <f>SUM(I827:I834)</f>
        <v>16.076000000000001</v>
      </c>
      <c r="J826" s="290" t="s">
        <v>1176</v>
      </c>
      <c r="K826" s="357"/>
      <c r="L826" s="291"/>
      <c r="M826" s="291"/>
      <c r="N826" s="292">
        <f>SUM(N827:N834)</f>
        <v>4.4213899999999997</v>
      </c>
      <c r="O826" s="291" t="s">
        <v>1176</v>
      </c>
      <c r="P826" s="291"/>
      <c r="Q826" s="293"/>
      <c r="R826" s="294"/>
      <c r="S826" s="292">
        <f>SUM(S827:S834)</f>
        <v>8.1902000000000008</v>
      </c>
      <c r="T826" s="292"/>
      <c r="U826" s="292"/>
      <c r="V826" s="292"/>
      <c r="W826" s="292"/>
      <c r="X826" s="292"/>
      <c r="Y826" s="292">
        <f>SUM(Y827:Y834)</f>
        <v>9.1999999999999998E-3</v>
      </c>
      <c r="Z826" s="296">
        <f>(C826+D826+I826+N826+S826+Y826)*$Z$7</f>
        <v>86.8407311126645</v>
      </c>
      <c r="AA826" s="459">
        <f>C826+D826+I826+N826+S826+Y826+Z826</f>
        <v>153.63165029603144</v>
      </c>
      <c r="AB826" s="460">
        <v>0.3</v>
      </c>
      <c r="AC826" s="461">
        <f>AA826*(1+AB826)</f>
        <v>199.72114538484087</v>
      </c>
      <c r="AD826" s="448"/>
      <c r="AI826" s="449"/>
      <c r="AJ826" s="462"/>
      <c r="AK826" s="463"/>
      <c r="AM826" s="464"/>
      <c r="AN826" s="143"/>
      <c r="AO826" s="464"/>
      <c r="AP826" s="449"/>
      <c r="AQ826" s="449"/>
      <c r="AR826" s="449"/>
      <c r="AS826" s="449"/>
      <c r="AT826" s="449"/>
      <c r="AU826" s="464"/>
      <c r="AV826" s="464"/>
      <c r="AW826" s="465"/>
    </row>
    <row r="827" spans="1:49" ht="66" x14ac:dyDescent="0.25">
      <c r="A827" s="1126"/>
      <c r="B827" s="466" t="s">
        <v>1177</v>
      </c>
      <c r="C827" s="487"/>
      <c r="D827" s="451"/>
      <c r="E827" s="300" t="s">
        <v>1437</v>
      </c>
      <c r="F827" s="301" t="s">
        <v>1438</v>
      </c>
      <c r="G827" s="302">
        <v>0.74</v>
      </c>
      <c r="H827" s="301">
        <v>0.1</v>
      </c>
      <c r="I827" s="303">
        <f t="shared" ref="I827:I832" si="76">G827*H827</f>
        <v>7.3999999999999996E-2</v>
      </c>
      <c r="J827" s="290" t="s">
        <v>1291</v>
      </c>
      <c r="K827" s="304">
        <v>2</v>
      </c>
      <c r="L827" s="305">
        <v>750</v>
      </c>
      <c r="M827" s="304">
        <v>2</v>
      </c>
      <c r="N827" s="292">
        <v>1.1745000000000001</v>
      </c>
      <c r="O827" s="467" t="s">
        <v>1578</v>
      </c>
      <c r="P827" s="291">
        <v>188900</v>
      </c>
      <c r="Q827" s="372">
        <v>0.19670000000000001</v>
      </c>
      <c r="R827" s="291">
        <f>P827*Q827</f>
        <v>37156.630000000005</v>
      </c>
      <c r="S827" s="291">
        <v>8.1902000000000008</v>
      </c>
      <c r="T827" s="458" t="s">
        <v>1435</v>
      </c>
      <c r="U827" s="456">
        <v>6785401.3499999996</v>
      </c>
      <c r="V827" s="457">
        <v>1.32E-2</v>
      </c>
      <c r="W827" s="458">
        <v>1508.3</v>
      </c>
      <c r="X827" s="292">
        <v>59.38</v>
      </c>
      <c r="Y827" s="291">
        <v>9.1999999999999998E-3</v>
      </c>
      <c r="Z827" s="291"/>
      <c r="AA827" s="440"/>
      <c r="AB827" s="460">
        <v>0.3</v>
      </c>
      <c r="AC827" s="443"/>
      <c r="AD827" s="444"/>
      <c r="AE827" s="444"/>
    </row>
    <row r="828" spans="1:49" x14ac:dyDescent="0.25">
      <c r="A828" s="1126"/>
      <c r="B828" s="469" t="s">
        <v>1178</v>
      </c>
      <c r="C828" s="491">
        <f>C818</f>
        <v>43.888814515309463</v>
      </c>
      <c r="D828" s="451"/>
      <c r="E828" s="300" t="s">
        <v>1439</v>
      </c>
      <c r="F828" s="301" t="s">
        <v>1438</v>
      </c>
      <c r="G828" s="302">
        <v>0.27</v>
      </c>
      <c r="H828" s="301">
        <v>0.1</v>
      </c>
      <c r="I828" s="303">
        <f t="shared" si="76"/>
        <v>2.7000000000000003E-2</v>
      </c>
      <c r="J828" s="290" t="s">
        <v>1445</v>
      </c>
      <c r="K828" s="292">
        <v>2</v>
      </c>
      <c r="L828" s="311">
        <v>95</v>
      </c>
      <c r="M828" s="304">
        <v>2</v>
      </c>
      <c r="N828" s="292">
        <v>3.1146400000000001</v>
      </c>
      <c r="O828" s="291"/>
      <c r="P828" s="291"/>
      <c r="Q828" s="291"/>
      <c r="R828" s="291"/>
      <c r="S828" s="291"/>
      <c r="T828" s="291"/>
      <c r="U828" s="291"/>
      <c r="V828" s="291"/>
      <c r="W828" s="291"/>
      <c r="X828" s="291"/>
      <c r="Y828" s="291"/>
      <c r="Z828" s="291"/>
      <c r="AA828" s="440"/>
      <c r="AB828" s="460">
        <v>0.3</v>
      </c>
      <c r="AC828" s="443"/>
      <c r="AD828" s="444"/>
      <c r="AE828" s="444"/>
    </row>
    <row r="829" spans="1:49" x14ac:dyDescent="0.25">
      <c r="A829" s="1126"/>
      <c r="B829" s="452" t="s">
        <v>1179</v>
      </c>
      <c r="C829" s="487">
        <f>C819</f>
        <v>19.495759833054819</v>
      </c>
      <c r="D829" s="451"/>
      <c r="E829" s="300" t="s">
        <v>1440</v>
      </c>
      <c r="F829" s="301" t="s">
        <v>1441</v>
      </c>
      <c r="G829" s="302">
        <v>5.92</v>
      </c>
      <c r="H829" s="471">
        <v>1</v>
      </c>
      <c r="I829" s="303">
        <f t="shared" si="76"/>
        <v>5.92</v>
      </c>
      <c r="J829" s="290" t="s">
        <v>1513</v>
      </c>
      <c r="K829" s="292">
        <v>2</v>
      </c>
      <c r="L829" s="292">
        <v>25</v>
      </c>
      <c r="M829" s="304">
        <v>0.5</v>
      </c>
      <c r="N829" s="292">
        <v>0.13225000000000001</v>
      </c>
      <c r="O829" s="291"/>
      <c r="P829" s="291"/>
      <c r="Q829" s="291"/>
      <c r="R829" s="291"/>
      <c r="S829" s="291"/>
      <c r="T829" s="291"/>
      <c r="U829" s="291"/>
      <c r="V829" s="291"/>
      <c r="W829" s="291"/>
      <c r="X829" s="291"/>
      <c r="Y829" s="291"/>
      <c r="Z829" s="291"/>
      <c r="AA829" s="440"/>
      <c r="AB829" s="460">
        <v>0.3</v>
      </c>
      <c r="AC829" s="443"/>
      <c r="AD829" s="444"/>
      <c r="AE829" s="444"/>
    </row>
    <row r="830" spans="1:49" x14ac:dyDescent="0.25">
      <c r="A830" s="1126"/>
      <c r="B830" s="452" t="s">
        <v>1180</v>
      </c>
      <c r="C830" s="492"/>
      <c r="D830" s="451"/>
      <c r="E830" s="300" t="s">
        <v>1442</v>
      </c>
      <c r="F830" s="301" t="s">
        <v>1443</v>
      </c>
      <c r="G830" s="302">
        <v>419.5</v>
      </c>
      <c r="H830" s="301">
        <v>0.01</v>
      </c>
      <c r="I830" s="303">
        <f t="shared" si="76"/>
        <v>4.1950000000000003</v>
      </c>
      <c r="J830" s="290"/>
      <c r="K830" s="374"/>
      <c r="L830" s="292"/>
      <c r="M830" s="292"/>
      <c r="N830" s="292"/>
      <c r="O830" s="291"/>
      <c r="P830" s="291"/>
      <c r="Q830" s="291"/>
      <c r="R830" s="291"/>
      <c r="S830" s="291"/>
      <c r="T830" s="291"/>
      <c r="U830" s="291"/>
      <c r="V830" s="291"/>
      <c r="W830" s="291"/>
      <c r="X830" s="291"/>
      <c r="Y830" s="291"/>
      <c r="Z830" s="291"/>
      <c r="AA830" s="440"/>
      <c r="AB830" s="460">
        <v>0.3</v>
      </c>
      <c r="AC830" s="443"/>
    </row>
    <row r="831" spans="1:49" x14ac:dyDescent="0.25">
      <c r="A831" s="1126"/>
      <c r="B831" s="469" t="s">
        <v>1178</v>
      </c>
      <c r="C831" s="493">
        <v>0.5</v>
      </c>
      <c r="D831" s="451"/>
      <c r="E831" s="300" t="s">
        <v>1444</v>
      </c>
      <c r="F831" s="301" t="s">
        <v>1443</v>
      </c>
      <c r="G831" s="302">
        <v>872</v>
      </c>
      <c r="H831" s="301">
        <v>5.0000000000000001E-3</v>
      </c>
      <c r="I831" s="303">
        <f t="shared" si="76"/>
        <v>4.3600000000000003</v>
      </c>
      <c r="J831" s="290"/>
      <c r="K831" s="374"/>
      <c r="L831" s="292"/>
      <c r="M831" s="292"/>
      <c r="N831" s="292"/>
      <c r="O831" s="291"/>
      <c r="P831" s="291"/>
      <c r="Q831" s="291"/>
      <c r="R831" s="291"/>
      <c r="S831" s="291"/>
      <c r="T831" s="291"/>
      <c r="U831" s="291"/>
      <c r="V831" s="291"/>
      <c r="W831" s="291"/>
      <c r="X831" s="291"/>
      <c r="Y831" s="291"/>
      <c r="Z831" s="291"/>
      <c r="AA831" s="440"/>
      <c r="AB831" s="460">
        <v>0.3</v>
      </c>
      <c r="AC831" s="443"/>
    </row>
    <row r="832" spans="1:49" x14ac:dyDescent="0.25">
      <c r="A832" s="1126"/>
      <c r="B832" s="452" t="s">
        <v>1179</v>
      </c>
      <c r="C832" s="493">
        <v>0.5</v>
      </c>
      <c r="D832" s="451"/>
      <c r="E832" s="494" t="s">
        <v>13</v>
      </c>
      <c r="F832" s="376" t="s">
        <v>1441</v>
      </c>
      <c r="G832" s="302">
        <v>1.5</v>
      </c>
      <c r="H832" s="301">
        <v>1</v>
      </c>
      <c r="I832" s="303">
        <f t="shared" si="76"/>
        <v>1.5</v>
      </c>
      <c r="J832" s="290"/>
      <c r="K832" s="374"/>
      <c r="L832" s="292"/>
      <c r="M832" s="292"/>
      <c r="N832" s="292"/>
      <c r="O832" s="291"/>
      <c r="P832" s="291"/>
      <c r="Q832" s="291"/>
      <c r="R832" s="291"/>
      <c r="S832" s="291"/>
      <c r="T832" s="291"/>
      <c r="U832" s="291"/>
      <c r="V832" s="291"/>
      <c r="W832" s="291"/>
      <c r="X832" s="291"/>
      <c r="Y832" s="291"/>
      <c r="Z832" s="291"/>
      <c r="AA832" s="440"/>
      <c r="AB832" s="460">
        <v>0.3</v>
      </c>
      <c r="AC832" s="443"/>
    </row>
    <row r="833" spans="1:49" x14ac:dyDescent="0.25">
      <c r="A833" s="1126"/>
      <c r="B833" s="474" t="s">
        <v>1181</v>
      </c>
      <c r="C833" s="487">
        <f>C828*C831+C829*C832</f>
        <v>31.692287174182141</v>
      </c>
      <c r="D833" s="451"/>
      <c r="E833" s="490"/>
      <c r="F833" s="578"/>
      <c r="G833" s="302"/>
      <c r="H833" s="454"/>
      <c r="I833" s="303"/>
      <c r="J833" s="290"/>
      <c r="K833" s="374"/>
      <c r="L833" s="292"/>
      <c r="M833" s="292"/>
      <c r="N833" s="292"/>
      <c r="O833" s="291"/>
      <c r="P833" s="291"/>
      <c r="Q833" s="291"/>
      <c r="R833" s="291"/>
      <c r="S833" s="291"/>
      <c r="T833" s="291"/>
      <c r="U833" s="291"/>
      <c r="V833" s="291"/>
      <c r="W833" s="291"/>
      <c r="X833" s="291"/>
      <c r="Y833" s="291"/>
      <c r="Z833" s="291"/>
      <c r="AA833" s="440"/>
      <c r="AB833" s="460">
        <v>0.3</v>
      </c>
      <c r="AC833" s="443"/>
    </row>
    <row r="834" spans="1:49" x14ac:dyDescent="0.25">
      <c r="A834" s="1126"/>
      <c r="B834" s="474"/>
      <c r="C834" s="493"/>
      <c r="D834" s="475"/>
      <c r="E834" s="490"/>
      <c r="F834" s="578"/>
      <c r="G834" s="302"/>
      <c r="H834" s="454"/>
      <c r="I834" s="303"/>
      <c r="J834" s="290"/>
      <c r="K834" s="374"/>
      <c r="L834" s="292"/>
      <c r="M834" s="292"/>
      <c r="N834" s="292"/>
      <c r="O834" s="291"/>
      <c r="P834" s="291"/>
      <c r="Q834" s="291"/>
      <c r="R834" s="291"/>
      <c r="S834" s="291"/>
      <c r="T834" s="291"/>
      <c r="U834" s="291"/>
      <c r="V834" s="291"/>
      <c r="W834" s="291"/>
      <c r="X834" s="291"/>
      <c r="Y834" s="291"/>
      <c r="Z834" s="291"/>
      <c r="AA834" s="440"/>
      <c r="AB834" s="460">
        <v>0.3</v>
      </c>
      <c r="AC834" s="443"/>
    </row>
    <row r="835" spans="1:49" ht="56.25" customHeight="1" x14ac:dyDescent="0.25">
      <c r="A835" s="1126" t="s">
        <v>1593</v>
      </c>
      <c r="B835" s="439" t="s">
        <v>1660</v>
      </c>
      <c r="C835" s="487"/>
      <c r="D835" s="489"/>
      <c r="E835" s="488" t="s">
        <v>488</v>
      </c>
      <c r="F835" s="442" t="s">
        <v>837</v>
      </c>
      <c r="G835" s="439" t="s">
        <v>489</v>
      </c>
      <c r="H835" s="441" t="s">
        <v>1170</v>
      </c>
      <c r="I835" s="442" t="s">
        <v>838</v>
      </c>
      <c r="J835" s="280" t="s">
        <v>1171</v>
      </c>
      <c r="K835" s="280" t="s">
        <v>490</v>
      </c>
      <c r="L835" s="281" t="s">
        <v>489</v>
      </c>
      <c r="M835" s="280" t="s">
        <v>1172</v>
      </c>
      <c r="N835" s="442" t="s">
        <v>838</v>
      </c>
      <c r="O835" s="280" t="s">
        <v>1171</v>
      </c>
      <c r="P835" s="280" t="s">
        <v>826</v>
      </c>
      <c r="Q835" s="280" t="s">
        <v>1173</v>
      </c>
      <c r="R835" s="280" t="s">
        <v>1174</v>
      </c>
      <c r="S835" s="280" t="s">
        <v>839</v>
      </c>
      <c r="T835" s="280" t="s">
        <v>1171</v>
      </c>
      <c r="U835" s="280" t="s">
        <v>1392</v>
      </c>
      <c r="V835" s="280" t="s">
        <v>841</v>
      </c>
      <c r="W835" s="282" t="s">
        <v>1173</v>
      </c>
      <c r="X835" s="280" t="s">
        <v>1394</v>
      </c>
      <c r="Y835" s="280" t="s">
        <v>839</v>
      </c>
      <c r="Z835" s="283"/>
      <c r="AA835" s="440"/>
      <c r="AB835" s="460">
        <v>0.3</v>
      </c>
      <c r="AC835" s="443"/>
      <c r="AD835" s="444"/>
      <c r="AQ835" s="449"/>
      <c r="AR835" s="449"/>
      <c r="AS835" s="449"/>
    </row>
    <row r="836" spans="1:49" ht="12" customHeight="1" x14ac:dyDescent="0.25">
      <c r="A836" s="1126"/>
      <c r="B836" s="450" t="s">
        <v>1175</v>
      </c>
      <c r="C836" s="487">
        <f>C843</f>
        <v>31.692287174182141</v>
      </c>
      <c r="D836" s="489">
        <f>C836*$D$7</f>
        <v>6.4018420091847927</v>
      </c>
      <c r="E836" s="490" t="s">
        <v>1176</v>
      </c>
      <c r="F836" s="453"/>
      <c r="G836" s="454"/>
      <c r="H836" s="454"/>
      <c r="I836" s="455">
        <f>SUM(I837:I844)</f>
        <v>16.076000000000001</v>
      </c>
      <c r="J836" s="290" t="s">
        <v>1176</v>
      </c>
      <c r="K836" s="357"/>
      <c r="L836" s="291"/>
      <c r="M836" s="291"/>
      <c r="N836" s="292">
        <f>SUM(N837:N844)</f>
        <v>4.4213899999999997</v>
      </c>
      <c r="O836" s="291" t="s">
        <v>1176</v>
      </c>
      <c r="P836" s="291"/>
      <c r="Q836" s="293"/>
      <c r="R836" s="294"/>
      <c r="S836" s="292">
        <f>SUM(S837:S844)</f>
        <v>8.1902000000000008</v>
      </c>
      <c r="T836" s="292"/>
      <c r="U836" s="292"/>
      <c r="V836" s="292"/>
      <c r="W836" s="292"/>
      <c r="X836" s="292"/>
      <c r="Y836" s="292">
        <f>SUM(Y837:Y844)</f>
        <v>9.1999999999999998E-3</v>
      </c>
      <c r="Z836" s="296">
        <f>(C836+D836+I836+N836+S836+Y836)*$Z$7</f>
        <v>86.8407311126645</v>
      </c>
      <c r="AA836" s="459">
        <f>C836+D836+I836+N836+S836+Y836+Z836</f>
        <v>153.63165029603144</v>
      </c>
      <c r="AB836" s="460">
        <v>0.3</v>
      </c>
      <c r="AC836" s="461">
        <f>AA836*(1+AB836)</f>
        <v>199.72114538484087</v>
      </c>
      <c r="AD836" s="448"/>
      <c r="AI836" s="449"/>
      <c r="AJ836" s="462"/>
      <c r="AK836" s="463"/>
      <c r="AM836" s="464"/>
      <c r="AN836" s="143"/>
      <c r="AO836" s="464"/>
      <c r="AP836" s="449"/>
      <c r="AQ836" s="449"/>
      <c r="AR836" s="449"/>
      <c r="AS836" s="449"/>
      <c r="AT836" s="449"/>
      <c r="AU836" s="464"/>
      <c r="AV836" s="464"/>
      <c r="AW836" s="465"/>
    </row>
    <row r="837" spans="1:49" ht="66" x14ac:dyDescent="0.25">
      <c r="A837" s="1126"/>
      <c r="B837" s="466" t="s">
        <v>1177</v>
      </c>
      <c r="C837" s="487"/>
      <c r="D837" s="451"/>
      <c r="E837" s="300" t="s">
        <v>1437</v>
      </c>
      <c r="F837" s="301" t="s">
        <v>1438</v>
      </c>
      <c r="G837" s="302">
        <v>0.74</v>
      </c>
      <c r="H837" s="301">
        <v>0.1</v>
      </c>
      <c r="I837" s="303">
        <f t="shared" ref="I837:I842" si="77">G837*H837</f>
        <v>7.3999999999999996E-2</v>
      </c>
      <c r="J837" s="290" t="s">
        <v>1291</v>
      </c>
      <c r="K837" s="304">
        <v>2</v>
      </c>
      <c r="L837" s="305">
        <v>750</v>
      </c>
      <c r="M837" s="304">
        <v>2</v>
      </c>
      <c r="N837" s="292">
        <v>1.1745000000000001</v>
      </c>
      <c r="O837" s="467" t="s">
        <v>1578</v>
      </c>
      <c r="P837" s="291">
        <v>188900</v>
      </c>
      <c r="Q837" s="372">
        <v>0.19670000000000001</v>
      </c>
      <c r="R837" s="291">
        <f>P837*Q837</f>
        <v>37156.630000000005</v>
      </c>
      <c r="S837" s="291">
        <v>8.1902000000000008</v>
      </c>
      <c r="T837" s="458" t="s">
        <v>1435</v>
      </c>
      <c r="U837" s="456">
        <v>6785401.3499999996</v>
      </c>
      <c r="V837" s="457">
        <v>1.32E-2</v>
      </c>
      <c r="W837" s="458">
        <v>1508.3</v>
      </c>
      <c r="X837" s="292">
        <v>59.38</v>
      </c>
      <c r="Y837" s="291">
        <v>9.1999999999999998E-3</v>
      </c>
      <c r="Z837" s="291"/>
      <c r="AA837" s="440"/>
      <c r="AB837" s="460">
        <v>0.3</v>
      </c>
      <c r="AC837" s="443"/>
      <c r="AD837" s="444"/>
      <c r="AE837" s="444"/>
    </row>
    <row r="838" spans="1:49" x14ac:dyDescent="0.25">
      <c r="A838" s="1126"/>
      <c r="B838" s="469" t="s">
        <v>1178</v>
      </c>
      <c r="C838" s="491">
        <f>C828</f>
        <v>43.888814515309463</v>
      </c>
      <c r="D838" s="451"/>
      <c r="E838" s="300" t="s">
        <v>1439</v>
      </c>
      <c r="F838" s="301" t="s">
        <v>1438</v>
      </c>
      <c r="G838" s="302">
        <v>0.27</v>
      </c>
      <c r="H838" s="301">
        <v>0.1</v>
      </c>
      <c r="I838" s="303">
        <f t="shared" si="77"/>
        <v>2.7000000000000003E-2</v>
      </c>
      <c r="J838" s="290" t="s">
        <v>1445</v>
      </c>
      <c r="K838" s="292">
        <v>2</v>
      </c>
      <c r="L838" s="311">
        <v>95</v>
      </c>
      <c r="M838" s="304">
        <v>2</v>
      </c>
      <c r="N838" s="292">
        <v>3.1146400000000001</v>
      </c>
      <c r="O838" s="291"/>
      <c r="P838" s="291"/>
      <c r="Q838" s="291"/>
      <c r="R838" s="291"/>
      <c r="S838" s="291"/>
      <c r="T838" s="291"/>
      <c r="U838" s="291"/>
      <c r="V838" s="291"/>
      <c r="W838" s="291"/>
      <c r="X838" s="291"/>
      <c r="Y838" s="291"/>
      <c r="Z838" s="291"/>
      <c r="AA838" s="440"/>
      <c r="AB838" s="460">
        <v>0.3</v>
      </c>
      <c r="AC838" s="440"/>
      <c r="AD838" s="444"/>
      <c r="AE838" s="444"/>
    </row>
    <row r="839" spans="1:49" x14ac:dyDescent="0.25">
      <c r="A839" s="1126"/>
      <c r="B839" s="452" t="s">
        <v>1179</v>
      </c>
      <c r="C839" s="487">
        <f>C829</f>
        <v>19.495759833054819</v>
      </c>
      <c r="D839" s="451"/>
      <c r="E839" s="300" t="s">
        <v>1440</v>
      </c>
      <c r="F839" s="301" t="s">
        <v>1441</v>
      </c>
      <c r="G839" s="302">
        <v>5.92</v>
      </c>
      <c r="H839" s="471">
        <v>1</v>
      </c>
      <c r="I839" s="303">
        <f t="shared" si="77"/>
        <v>5.92</v>
      </c>
      <c r="J839" s="290" t="s">
        <v>1513</v>
      </c>
      <c r="K839" s="292">
        <v>2</v>
      </c>
      <c r="L839" s="292">
        <v>25</v>
      </c>
      <c r="M839" s="304">
        <v>0.5</v>
      </c>
      <c r="N839" s="292">
        <v>0.13225000000000001</v>
      </c>
      <c r="O839" s="291"/>
      <c r="P839" s="291"/>
      <c r="Q839" s="291"/>
      <c r="R839" s="291"/>
      <c r="S839" s="291"/>
      <c r="T839" s="291"/>
      <c r="U839" s="291"/>
      <c r="V839" s="291"/>
      <c r="W839" s="291"/>
      <c r="X839" s="291"/>
      <c r="Y839" s="291"/>
      <c r="Z839" s="291"/>
      <c r="AA839" s="440"/>
      <c r="AB839" s="460">
        <v>0.3</v>
      </c>
      <c r="AC839" s="440"/>
      <c r="AD839" s="444"/>
      <c r="AE839" s="444"/>
    </row>
    <row r="840" spans="1:49" x14ac:dyDescent="0.25">
      <c r="A840" s="1126"/>
      <c r="B840" s="452" t="s">
        <v>1180</v>
      </c>
      <c r="C840" s="492"/>
      <c r="D840" s="451"/>
      <c r="E840" s="300" t="s">
        <v>1442</v>
      </c>
      <c r="F840" s="301" t="s">
        <v>1443</v>
      </c>
      <c r="G840" s="302">
        <v>419.5</v>
      </c>
      <c r="H840" s="301">
        <v>0.01</v>
      </c>
      <c r="I840" s="303">
        <f t="shared" si="77"/>
        <v>4.1950000000000003</v>
      </c>
      <c r="J840" s="290"/>
      <c r="K840" s="374"/>
      <c r="L840" s="292"/>
      <c r="M840" s="292"/>
      <c r="N840" s="292"/>
      <c r="O840" s="291"/>
      <c r="P840" s="291"/>
      <c r="Q840" s="291"/>
      <c r="R840" s="291"/>
      <c r="S840" s="291"/>
      <c r="T840" s="291"/>
      <c r="U840" s="291"/>
      <c r="V840" s="291"/>
      <c r="W840" s="291"/>
      <c r="X840" s="291"/>
      <c r="Y840" s="291"/>
      <c r="Z840" s="291"/>
      <c r="AA840" s="440"/>
      <c r="AB840" s="460">
        <v>0.3</v>
      </c>
      <c r="AC840" s="440"/>
    </row>
    <row r="841" spans="1:49" x14ac:dyDescent="0.25">
      <c r="A841" s="1126"/>
      <c r="B841" s="469" t="s">
        <v>1178</v>
      </c>
      <c r="C841" s="493">
        <v>0.5</v>
      </c>
      <c r="D841" s="451"/>
      <c r="E841" s="300" t="s">
        <v>1444</v>
      </c>
      <c r="F841" s="301" t="s">
        <v>1443</v>
      </c>
      <c r="G841" s="302">
        <v>872</v>
      </c>
      <c r="H841" s="301">
        <v>5.0000000000000001E-3</v>
      </c>
      <c r="I841" s="303">
        <f t="shared" si="77"/>
        <v>4.3600000000000003</v>
      </c>
      <c r="J841" s="290"/>
      <c r="K841" s="374"/>
      <c r="L841" s="292"/>
      <c r="M841" s="292"/>
      <c r="N841" s="292"/>
      <c r="O841" s="291"/>
      <c r="P841" s="291"/>
      <c r="Q841" s="291"/>
      <c r="R841" s="291"/>
      <c r="S841" s="291"/>
      <c r="T841" s="291"/>
      <c r="U841" s="291"/>
      <c r="V841" s="291"/>
      <c r="W841" s="291"/>
      <c r="X841" s="291"/>
      <c r="Y841" s="291"/>
      <c r="Z841" s="291"/>
      <c r="AA841" s="440"/>
      <c r="AB841" s="460">
        <v>0.3</v>
      </c>
      <c r="AC841" s="440"/>
    </row>
    <row r="842" spans="1:49" x14ac:dyDescent="0.25">
      <c r="A842" s="1126"/>
      <c r="B842" s="452" t="s">
        <v>1179</v>
      </c>
      <c r="C842" s="493">
        <v>0.5</v>
      </c>
      <c r="D842" s="451"/>
      <c r="E842" s="494" t="s">
        <v>13</v>
      </c>
      <c r="F842" s="376" t="s">
        <v>1441</v>
      </c>
      <c r="G842" s="302">
        <v>1.5</v>
      </c>
      <c r="H842" s="301">
        <v>1</v>
      </c>
      <c r="I842" s="303">
        <f t="shared" si="77"/>
        <v>1.5</v>
      </c>
      <c r="J842" s="290"/>
      <c r="K842" s="374"/>
      <c r="L842" s="292"/>
      <c r="M842" s="292"/>
      <c r="N842" s="292"/>
      <c r="O842" s="291"/>
      <c r="P842" s="291"/>
      <c r="Q842" s="291"/>
      <c r="R842" s="291"/>
      <c r="S842" s="291"/>
      <c r="T842" s="291"/>
      <c r="U842" s="291"/>
      <c r="V842" s="291"/>
      <c r="W842" s="291"/>
      <c r="X842" s="291"/>
      <c r="Y842" s="291"/>
      <c r="Z842" s="291"/>
      <c r="AA842" s="440"/>
      <c r="AB842" s="460">
        <v>0.3</v>
      </c>
      <c r="AC842" s="440"/>
    </row>
    <row r="843" spans="1:49" x14ac:dyDescent="0.25">
      <c r="A843" s="1126"/>
      <c r="B843" s="474" t="s">
        <v>1181</v>
      </c>
      <c r="C843" s="487">
        <f>C838*C841+C839*C842</f>
        <v>31.692287174182141</v>
      </c>
      <c r="D843" s="451"/>
      <c r="E843" s="490"/>
      <c r="F843" s="578"/>
      <c r="G843" s="302"/>
      <c r="H843" s="454"/>
      <c r="I843" s="303"/>
      <c r="J843" s="290"/>
      <c r="K843" s="374"/>
      <c r="L843" s="292"/>
      <c r="M843" s="292"/>
      <c r="N843" s="292"/>
      <c r="O843" s="291"/>
      <c r="P843" s="291"/>
      <c r="Q843" s="291"/>
      <c r="R843" s="291"/>
      <c r="S843" s="291"/>
      <c r="T843" s="291"/>
      <c r="U843" s="291"/>
      <c r="V843" s="291"/>
      <c r="W843" s="291"/>
      <c r="X843" s="291"/>
      <c r="Y843" s="291"/>
      <c r="Z843" s="291"/>
      <c r="AA843" s="440"/>
      <c r="AB843" s="460">
        <v>0.3</v>
      </c>
      <c r="AC843" s="440"/>
    </row>
    <row r="844" spans="1:49" x14ac:dyDescent="0.25">
      <c r="A844" s="1126"/>
      <c r="B844" s="474"/>
      <c r="C844" s="493"/>
      <c r="D844" s="475"/>
      <c r="E844" s="490"/>
      <c r="F844" s="578"/>
      <c r="G844" s="302"/>
      <c r="H844" s="454"/>
      <c r="I844" s="303"/>
      <c r="J844" s="290"/>
      <c r="K844" s="374"/>
      <c r="L844" s="292"/>
      <c r="M844" s="292"/>
      <c r="N844" s="292"/>
      <c r="O844" s="291"/>
      <c r="P844" s="291"/>
      <c r="Q844" s="291"/>
      <c r="R844" s="291"/>
      <c r="S844" s="291"/>
      <c r="T844" s="291"/>
      <c r="U844" s="291"/>
      <c r="V844" s="291"/>
      <c r="W844" s="291"/>
      <c r="X844" s="291"/>
      <c r="Y844" s="291"/>
      <c r="Z844" s="291"/>
      <c r="AA844" s="440"/>
      <c r="AB844" s="460">
        <v>0.3</v>
      </c>
      <c r="AC844" s="440"/>
    </row>
    <row r="845" spans="1:49" ht="56.25" customHeight="1" x14ac:dyDescent="0.25">
      <c r="A845" s="1126" t="s">
        <v>1594</v>
      </c>
      <c r="B845" s="439" t="s">
        <v>1661</v>
      </c>
      <c r="C845" s="487"/>
      <c r="D845" s="489"/>
      <c r="E845" s="488" t="s">
        <v>488</v>
      </c>
      <c r="F845" s="442" t="s">
        <v>837</v>
      </c>
      <c r="G845" s="439" t="s">
        <v>489</v>
      </c>
      <c r="H845" s="441" t="s">
        <v>1170</v>
      </c>
      <c r="I845" s="442" t="s">
        <v>838</v>
      </c>
      <c r="J845" s="280" t="s">
        <v>1171</v>
      </c>
      <c r="K845" s="280" t="s">
        <v>490</v>
      </c>
      <c r="L845" s="281" t="s">
        <v>489</v>
      </c>
      <c r="M845" s="280" t="s">
        <v>1172</v>
      </c>
      <c r="N845" s="442" t="s">
        <v>838</v>
      </c>
      <c r="O845" s="280" t="s">
        <v>1171</v>
      </c>
      <c r="P845" s="280" t="s">
        <v>826</v>
      </c>
      <c r="Q845" s="280" t="s">
        <v>1173</v>
      </c>
      <c r="R845" s="280" t="s">
        <v>1174</v>
      </c>
      <c r="S845" s="280" t="s">
        <v>839</v>
      </c>
      <c r="T845" s="280" t="s">
        <v>1171</v>
      </c>
      <c r="U845" s="280" t="s">
        <v>1392</v>
      </c>
      <c r="V845" s="280" t="s">
        <v>841</v>
      </c>
      <c r="W845" s="282" t="s">
        <v>1173</v>
      </c>
      <c r="X845" s="280" t="s">
        <v>1394</v>
      </c>
      <c r="Y845" s="280" t="s">
        <v>839</v>
      </c>
      <c r="Z845" s="283"/>
      <c r="AA845" s="440"/>
      <c r="AB845" s="460">
        <v>0.3</v>
      </c>
      <c r="AC845" s="440"/>
      <c r="AD845" s="444"/>
      <c r="AQ845" s="449"/>
      <c r="AR845" s="449"/>
      <c r="AS845" s="449"/>
    </row>
    <row r="846" spans="1:49" ht="12" customHeight="1" x14ac:dyDescent="0.25">
      <c r="A846" s="1126"/>
      <c r="B846" s="450" t="s">
        <v>1175</v>
      </c>
      <c r="C846" s="487">
        <f>C853</f>
        <v>31.692287174182141</v>
      </c>
      <c r="D846" s="489">
        <f>C846*$D$7</f>
        <v>6.4018420091847927</v>
      </c>
      <c r="E846" s="490" t="s">
        <v>1176</v>
      </c>
      <c r="F846" s="453"/>
      <c r="G846" s="454"/>
      <c r="H846" s="454"/>
      <c r="I846" s="455">
        <f>SUM(I847:I854)</f>
        <v>16.076000000000001</v>
      </c>
      <c r="J846" s="290" t="s">
        <v>1176</v>
      </c>
      <c r="K846" s="357"/>
      <c r="L846" s="291"/>
      <c r="M846" s="291"/>
      <c r="N846" s="292">
        <f>SUM(N847:N854)</f>
        <v>4.4213899999999997</v>
      </c>
      <c r="O846" s="291" t="s">
        <v>1176</v>
      </c>
      <c r="P846" s="291"/>
      <c r="Q846" s="293"/>
      <c r="R846" s="294"/>
      <c r="S846" s="292">
        <f>SUM(S847:S854)</f>
        <v>8.1902000000000008</v>
      </c>
      <c r="T846" s="292"/>
      <c r="U846" s="292"/>
      <c r="V846" s="292"/>
      <c r="W846" s="292"/>
      <c r="X846" s="292"/>
      <c r="Y846" s="292">
        <f>SUM(Y847:Y854)</f>
        <v>9.1999999999999998E-3</v>
      </c>
      <c r="Z846" s="296">
        <f>(C846+D846+I846+N846+S846+Y846)*$Z$7</f>
        <v>86.8407311126645</v>
      </c>
      <c r="AA846" s="459">
        <f>C846+D846+I846+N846+S846+Y846+Z846</f>
        <v>153.63165029603144</v>
      </c>
      <c r="AB846" s="460">
        <v>0.3</v>
      </c>
      <c r="AC846" s="461">
        <f>AA846*(1+AB846)</f>
        <v>199.72114538484087</v>
      </c>
      <c r="AD846" s="448"/>
      <c r="AI846" s="449"/>
      <c r="AJ846" s="462"/>
      <c r="AK846" s="463"/>
      <c r="AM846" s="464"/>
      <c r="AN846" s="143"/>
      <c r="AO846" s="464"/>
      <c r="AP846" s="449"/>
      <c r="AQ846" s="449"/>
      <c r="AR846" s="449"/>
      <c r="AS846" s="449"/>
      <c r="AT846" s="449"/>
      <c r="AU846" s="464"/>
      <c r="AV846" s="464"/>
      <c r="AW846" s="465"/>
    </row>
    <row r="847" spans="1:49" ht="66" x14ac:dyDescent="0.25">
      <c r="A847" s="1126"/>
      <c r="B847" s="466" t="s">
        <v>1177</v>
      </c>
      <c r="C847" s="487"/>
      <c r="D847" s="451"/>
      <c r="E847" s="300" t="s">
        <v>1437</v>
      </c>
      <c r="F847" s="301" t="s">
        <v>1438</v>
      </c>
      <c r="G847" s="302">
        <v>0.74</v>
      </c>
      <c r="H847" s="301">
        <v>0.1</v>
      </c>
      <c r="I847" s="303">
        <f t="shared" ref="I847:I852" si="78">G847*H847</f>
        <v>7.3999999999999996E-2</v>
      </c>
      <c r="J847" s="290" t="s">
        <v>1291</v>
      </c>
      <c r="K847" s="304">
        <v>2</v>
      </c>
      <c r="L847" s="305">
        <v>750</v>
      </c>
      <c r="M847" s="304">
        <v>2</v>
      </c>
      <c r="N847" s="292">
        <v>1.1745000000000001</v>
      </c>
      <c r="O847" s="467" t="s">
        <v>1578</v>
      </c>
      <c r="P847" s="291">
        <v>188900</v>
      </c>
      <c r="Q847" s="372">
        <v>0.19670000000000001</v>
      </c>
      <c r="R847" s="291">
        <f>P847*Q847</f>
        <v>37156.630000000005</v>
      </c>
      <c r="S847" s="291">
        <v>8.1902000000000008</v>
      </c>
      <c r="T847" s="458" t="s">
        <v>1435</v>
      </c>
      <c r="U847" s="456">
        <v>6785401.3499999996</v>
      </c>
      <c r="V847" s="457">
        <v>1.32E-2</v>
      </c>
      <c r="W847" s="458">
        <v>1508.3</v>
      </c>
      <c r="X847" s="292">
        <v>59.38</v>
      </c>
      <c r="Y847" s="291">
        <v>9.1999999999999998E-3</v>
      </c>
      <c r="Z847" s="291"/>
      <c r="AA847" s="440"/>
      <c r="AB847" s="460">
        <v>0.3</v>
      </c>
      <c r="AC847" s="440"/>
      <c r="AD847" s="444"/>
      <c r="AE847" s="444"/>
    </row>
    <row r="848" spans="1:49" x14ac:dyDescent="0.25">
      <c r="A848" s="1126"/>
      <c r="B848" s="469" t="s">
        <v>1178</v>
      </c>
      <c r="C848" s="491">
        <f>C838</f>
        <v>43.888814515309463</v>
      </c>
      <c r="D848" s="451"/>
      <c r="E848" s="300" t="s">
        <v>1439</v>
      </c>
      <c r="F848" s="301" t="s">
        <v>1438</v>
      </c>
      <c r="G848" s="302">
        <v>0.27</v>
      </c>
      <c r="H848" s="301">
        <v>0.1</v>
      </c>
      <c r="I848" s="303">
        <f t="shared" si="78"/>
        <v>2.7000000000000003E-2</v>
      </c>
      <c r="J848" s="290" t="s">
        <v>1445</v>
      </c>
      <c r="K848" s="292">
        <v>2</v>
      </c>
      <c r="L848" s="311">
        <v>95</v>
      </c>
      <c r="M848" s="304">
        <v>2</v>
      </c>
      <c r="N848" s="292">
        <v>3.1146400000000001</v>
      </c>
      <c r="O848" s="291"/>
      <c r="P848" s="291"/>
      <c r="Q848" s="291"/>
      <c r="R848" s="291"/>
      <c r="S848" s="291"/>
      <c r="T848" s="291"/>
      <c r="U848" s="291"/>
      <c r="V848" s="291"/>
      <c r="W848" s="291"/>
      <c r="X848" s="291"/>
      <c r="Y848" s="291"/>
      <c r="Z848" s="291"/>
      <c r="AA848" s="440"/>
      <c r="AB848" s="460">
        <v>0.3</v>
      </c>
      <c r="AC848" s="440"/>
      <c r="AD848" s="444"/>
      <c r="AE848" s="444"/>
    </row>
    <row r="849" spans="1:49" x14ac:dyDescent="0.25">
      <c r="A849" s="1126"/>
      <c r="B849" s="452" t="s">
        <v>1179</v>
      </c>
      <c r="C849" s="487">
        <f>C839</f>
        <v>19.495759833054819</v>
      </c>
      <c r="D849" s="451"/>
      <c r="E849" s="300" t="s">
        <v>1440</v>
      </c>
      <c r="F849" s="301" t="s">
        <v>1441</v>
      </c>
      <c r="G849" s="302">
        <v>5.92</v>
      </c>
      <c r="H849" s="471">
        <v>1</v>
      </c>
      <c r="I849" s="303">
        <f t="shared" si="78"/>
        <v>5.92</v>
      </c>
      <c r="J849" s="290" t="s">
        <v>1513</v>
      </c>
      <c r="K849" s="292">
        <v>2</v>
      </c>
      <c r="L849" s="292">
        <v>25</v>
      </c>
      <c r="M849" s="304">
        <v>0.5</v>
      </c>
      <c r="N849" s="292">
        <v>0.13225000000000001</v>
      </c>
      <c r="O849" s="291"/>
      <c r="P849" s="291"/>
      <c r="Q849" s="291"/>
      <c r="R849" s="291"/>
      <c r="S849" s="291"/>
      <c r="T849" s="291"/>
      <c r="U849" s="291"/>
      <c r="V849" s="291"/>
      <c r="W849" s="291"/>
      <c r="X849" s="291"/>
      <c r="Y849" s="291"/>
      <c r="Z849" s="291"/>
      <c r="AA849" s="440"/>
      <c r="AB849" s="460">
        <v>0.3</v>
      </c>
      <c r="AC849" s="440"/>
      <c r="AD849" s="444"/>
      <c r="AE849" s="444"/>
    </row>
    <row r="850" spans="1:49" x14ac:dyDescent="0.25">
      <c r="A850" s="1126"/>
      <c r="B850" s="452" t="s">
        <v>1180</v>
      </c>
      <c r="C850" s="492"/>
      <c r="D850" s="451"/>
      <c r="E850" s="300" t="s">
        <v>1442</v>
      </c>
      <c r="F850" s="301" t="s">
        <v>1443</v>
      </c>
      <c r="G850" s="302">
        <v>419.5</v>
      </c>
      <c r="H850" s="301">
        <v>0.01</v>
      </c>
      <c r="I850" s="303">
        <f t="shared" si="78"/>
        <v>4.1950000000000003</v>
      </c>
      <c r="J850" s="290"/>
      <c r="K850" s="374"/>
      <c r="L850" s="292"/>
      <c r="M850" s="292"/>
      <c r="N850" s="292"/>
      <c r="O850" s="291"/>
      <c r="P850" s="291"/>
      <c r="Q850" s="291"/>
      <c r="R850" s="291"/>
      <c r="S850" s="291"/>
      <c r="T850" s="291"/>
      <c r="U850" s="291"/>
      <c r="V850" s="291"/>
      <c r="W850" s="291"/>
      <c r="X850" s="291"/>
      <c r="Y850" s="291"/>
      <c r="Z850" s="291"/>
      <c r="AA850" s="440"/>
      <c r="AB850" s="460">
        <v>0.3</v>
      </c>
      <c r="AC850" s="440"/>
    </row>
    <row r="851" spans="1:49" x14ac:dyDescent="0.25">
      <c r="A851" s="1126"/>
      <c r="B851" s="469" t="s">
        <v>1178</v>
      </c>
      <c r="C851" s="493">
        <v>0.5</v>
      </c>
      <c r="D851" s="451"/>
      <c r="E851" s="300" t="s">
        <v>1444</v>
      </c>
      <c r="F851" s="301" t="s">
        <v>1443</v>
      </c>
      <c r="G851" s="302">
        <v>872</v>
      </c>
      <c r="H851" s="301">
        <v>5.0000000000000001E-3</v>
      </c>
      <c r="I851" s="303">
        <f t="shared" si="78"/>
        <v>4.3600000000000003</v>
      </c>
      <c r="J851" s="290"/>
      <c r="K851" s="374"/>
      <c r="L851" s="292"/>
      <c r="M851" s="292"/>
      <c r="N851" s="292"/>
      <c r="O851" s="291"/>
      <c r="P851" s="291"/>
      <c r="Q851" s="291"/>
      <c r="R851" s="291"/>
      <c r="S851" s="291"/>
      <c r="T851" s="291"/>
      <c r="U851" s="291"/>
      <c r="V851" s="291"/>
      <c r="W851" s="291"/>
      <c r="X851" s="291"/>
      <c r="Y851" s="291"/>
      <c r="Z851" s="291"/>
      <c r="AA851" s="440"/>
      <c r="AB851" s="460">
        <v>0.3</v>
      </c>
      <c r="AC851" s="440"/>
    </row>
    <row r="852" spans="1:49" x14ac:dyDescent="0.25">
      <c r="A852" s="1126"/>
      <c r="B852" s="452" t="s">
        <v>1179</v>
      </c>
      <c r="C852" s="493">
        <v>0.5</v>
      </c>
      <c r="D852" s="451"/>
      <c r="E852" s="494" t="s">
        <v>13</v>
      </c>
      <c r="F852" s="376" t="s">
        <v>1441</v>
      </c>
      <c r="G852" s="302">
        <v>1.5</v>
      </c>
      <c r="H852" s="301">
        <v>1</v>
      </c>
      <c r="I852" s="303">
        <f t="shared" si="78"/>
        <v>1.5</v>
      </c>
      <c r="J852" s="290"/>
      <c r="K852" s="374"/>
      <c r="L852" s="292"/>
      <c r="M852" s="292"/>
      <c r="N852" s="292"/>
      <c r="O852" s="291"/>
      <c r="P852" s="291"/>
      <c r="Q852" s="291"/>
      <c r="R852" s="291"/>
      <c r="S852" s="291"/>
      <c r="T852" s="291"/>
      <c r="U852" s="291"/>
      <c r="V852" s="291"/>
      <c r="W852" s="291"/>
      <c r="X852" s="291"/>
      <c r="Y852" s="291"/>
      <c r="Z852" s="291"/>
      <c r="AA852" s="440"/>
      <c r="AB852" s="460">
        <v>0.3</v>
      </c>
      <c r="AC852" s="440"/>
    </row>
    <row r="853" spans="1:49" x14ac:dyDescent="0.25">
      <c r="A853" s="1126"/>
      <c r="B853" s="474" t="s">
        <v>1181</v>
      </c>
      <c r="C853" s="487">
        <f>C848*C851+C849*C852</f>
        <v>31.692287174182141</v>
      </c>
      <c r="D853" s="451"/>
      <c r="E853" s="490"/>
      <c r="F853" s="578"/>
      <c r="G853" s="302"/>
      <c r="H853" s="454"/>
      <c r="I853" s="303"/>
      <c r="J853" s="290"/>
      <c r="K853" s="374"/>
      <c r="L853" s="292"/>
      <c r="M853" s="292"/>
      <c r="N853" s="292"/>
      <c r="O853" s="291"/>
      <c r="P853" s="291"/>
      <c r="Q853" s="291"/>
      <c r="R853" s="291"/>
      <c r="S853" s="291"/>
      <c r="T853" s="291"/>
      <c r="U853" s="291"/>
      <c r="V853" s="291"/>
      <c r="W853" s="291"/>
      <c r="X853" s="291"/>
      <c r="Y853" s="291"/>
      <c r="Z853" s="291"/>
      <c r="AA853" s="440"/>
      <c r="AB853" s="460">
        <v>0.3</v>
      </c>
      <c r="AC853" s="440"/>
    </row>
    <row r="854" spans="1:49" x14ac:dyDescent="0.25">
      <c r="A854" s="1126"/>
      <c r="B854" s="474"/>
      <c r="C854" s="493"/>
      <c r="D854" s="475"/>
      <c r="E854" s="490"/>
      <c r="F854" s="578"/>
      <c r="G854" s="302"/>
      <c r="H854" s="454"/>
      <c r="I854" s="303"/>
      <c r="J854" s="290"/>
      <c r="K854" s="374"/>
      <c r="L854" s="292"/>
      <c r="M854" s="292"/>
      <c r="N854" s="292"/>
      <c r="O854" s="291"/>
      <c r="P854" s="291"/>
      <c r="Q854" s="291"/>
      <c r="R854" s="291"/>
      <c r="S854" s="291"/>
      <c r="T854" s="291"/>
      <c r="U854" s="291"/>
      <c r="V854" s="291"/>
      <c r="W854" s="291"/>
      <c r="X854" s="291"/>
      <c r="Y854" s="291"/>
      <c r="Z854" s="291"/>
      <c r="AA854" s="440"/>
      <c r="AB854" s="460">
        <v>0.3</v>
      </c>
      <c r="AC854" s="440"/>
    </row>
    <row r="855" spans="1:49" ht="56.25" customHeight="1" x14ac:dyDescent="0.25">
      <c r="A855" s="1126" t="s">
        <v>1595</v>
      </c>
      <c r="B855" s="439" t="s">
        <v>1662</v>
      </c>
      <c r="C855" s="487"/>
      <c r="D855" s="489"/>
      <c r="E855" s="488" t="s">
        <v>488</v>
      </c>
      <c r="F855" s="442" t="s">
        <v>837</v>
      </c>
      <c r="G855" s="439" t="s">
        <v>489</v>
      </c>
      <c r="H855" s="441" t="s">
        <v>1170</v>
      </c>
      <c r="I855" s="442" t="s">
        <v>838</v>
      </c>
      <c r="J855" s="280" t="s">
        <v>1171</v>
      </c>
      <c r="K855" s="280" t="s">
        <v>490</v>
      </c>
      <c r="L855" s="281" t="s">
        <v>489</v>
      </c>
      <c r="M855" s="280" t="s">
        <v>1172</v>
      </c>
      <c r="N855" s="442" t="s">
        <v>838</v>
      </c>
      <c r="O855" s="280" t="s">
        <v>1171</v>
      </c>
      <c r="P855" s="280" t="s">
        <v>826</v>
      </c>
      <c r="Q855" s="280" t="s">
        <v>1173</v>
      </c>
      <c r="R855" s="280" t="s">
        <v>1174</v>
      </c>
      <c r="S855" s="280" t="s">
        <v>839</v>
      </c>
      <c r="T855" s="280" t="s">
        <v>1171</v>
      </c>
      <c r="U855" s="280" t="s">
        <v>1392</v>
      </c>
      <c r="V855" s="280" t="s">
        <v>841</v>
      </c>
      <c r="W855" s="282" t="s">
        <v>1173</v>
      </c>
      <c r="X855" s="280" t="s">
        <v>1394</v>
      </c>
      <c r="Y855" s="280" t="s">
        <v>839</v>
      </c>
      <c r="Z855" s="283"/>
      <c r="AA855" s="440"/>
      <c r="AB855" s="460">
        <v>0.3</v>
      </c>
      <c r="AC855" s="440"/>
      <c r="AD855" s="444"/>
      <c r="AQ855" s="449"/>
      <c r="AR855" s="449"/>
      <c r="AS855" s="449"/>
    </row>
    <row r="856" spans="1:49" ht="12" customHeight="1" x14ac:dyDescent="0.25">
      <c r="A856" s="1126"/>
      <c r="B856" s="450" t="s">
        <v>1175</v>
      </c>
      <c r="C856" s="487">
        <f>C863</f>
        <v>31.692287174182141</v>
      </c>
      <c r="D856" s="489">
        <f>C856*$D$7</f>
        <v>6.4018420091847927</v>
      </c>
      <c r="E856" s="490" t="s">
        <v>1176</v>
      </c>
      <c r="F856" s="453"/>
      <c r="G856" s="454"/>
      <c r="H856" s="454"/>
      <c r="I856" s="455">
        <f>SUM(I857:I864)</f>
        <v>16.076000000000001</v>
      </c>
      <c r="J856" s="290" t="s">
        <v>1176</v>
      </c>
      <c r="K856" s="357"/>
      <c r="L856" s="291"/>
      <c r="M856" s="291"/>
      <c r="N856" s="292">
        <f>SUM(N857:N864)</f>
        <v>4.4213899999999997</v>
      </c>
      <c r="O856" s="291" t="s">
        <v>1176</v>
      </c>
      <c r="P856" s="291"/>
      <c r="Q856" s="293"/>
      <c r="R856" s="294"/>
      <c r="S856" s="292">
        <f>SUM(S857:S864)</f>
        <v>8.1902000000000008</v>
      </c>
      <c r="T856" s="292"/>
      <c r="U856" s="292"/>
      <c r="V856" s="292"/>
      <c r="W856" s="292"/>
      <c r="X856" s="292"/>
      <c r="Y856" s="292">
        <f>SUM(Y857:Y864)</f>
        <v>9.1999999999999998E-3</v>
      </c>
      <c r="Z856" s="296">
        <f>(C856+D856+I856+N856+S856+Y856)*$Z$7</f>
        <v>86.8407311126645</v>
      </c>
      <c r="AA856" s="459">
        <f>C856+D856+I856+N856+S856+Y856+Z856</f>
        <v>153.63165029603144</v>
      </c>
      <c r="AB856" s="460">
        <v>0.3</v>
      </c>
      <c r="AC856" s="461">
        <f>AA856*(1+AB856)</f>
        <v>199.72114538484087</v>
      </c>
      <c r="AD856" s="448"/>
      <c r="AI856" s="449"/>
      <c r="AJ856" s="462"/>
      <c r="AK856" s="463"/>
      <c r="AM856" s="464"/>
      <c r="AN856" s="143"/>
      <c r="AO856" s="464"/>
      <c r="AP856" s="449"/>
      <c r="AQ856" s="449"/>
      <c r="AR856" s="449"/>
      <c r="AS856" s="449"/>
      <c r="AT856" s="449"/>
      <c r="AU856" s="464"/>
      <c r="AV856" s="464"/>
      <c r="AW856" s="465"/>
    </row>
    <row r="857" spans="1:49" ht="66" x14ac:dyDescent="0.25">
      <c r="A857" s="1126"/>
      <c r="B857" s="466" t="s">
        <v>1177</v>
      </c>
      <c r="C857" s="487"/>
      <c r="D857" s="451"/>
      <c r="E857" s="300" t="s">
        <v>1437</v>
      </c>
      <c r="F857" s="301" t="s">
        <v>1438</v>
      </c>
      <c r="G857" s="302">
        <v>0.74</v>
      </c>
      <c r="H857" s="301">
        <v>0.1</v>
      </c>
      <c r="I857" s="303">
        <f t="shared" ref="I857:I862" si="79">G857*H857</f>
        <v>7.3999999999999996E-2</v>
      </c>
      <c r="J857" s="290" t="s">
        <v>1291</v>
      </c>
      <c r="K857" s="304">
        <v>2</v>
      </c>
      <c r="L857" s="305">
        <v>750</v>
      </c>
      <c r="M857" s="304">
        <v>2</v>
      </c>
      <c r="N857" s="292">
        <v>1.1745000000000001</v>
      </c>
      <c r="O857" s="467" t="s">
        <v>1578</v>
      </c>
      <c r="P857" s="291">
        <v>188900</v>
      </c>
      <c r="Q857" s="372">
        <v>0.19670000000000001</v>
      </c>
      <c r="R857" s="291">
        <f>P857*Q857</f>
        <v>37156.630000000005</v>
      </c>
      <c r="S857" s="291">
        <v>8.1902000000000008</v>
      </c>
      <c r="T857" s="458" t="s">
        <v>1435</v>
      </c>
      <c r="U857" s="456">
        <v>6785401.3499999996</v>
      </c>
      <c r="V857" s="457">
        <v>1.32E-2</v>
      </c>
      <c r="W857" s="458">
        <v>1508.3</v>
      </c>
      <c r="X857" s="292">
        <v>59.38</v>
      </c>
      <c r="Y857" s="291">
        <v>9.1999999999999998E-3</v>
      </c>
      <c r="Z857" s="291"/>
      <c r="AA857" s="440"/>
      <c r="AB857" s="460">
        <v>0.3</v>
      </c>
      <c r="AC857" s="443"/>
      <c r="AD857" s="444"/>
      <c r="AE857" s="444"/>
    </row>
    <row r="858" spans="1:49" x14ac:dyDescent="0.25">
      <c r="A858" s="1126"/>
      <c r="B858" s="469" t="s">
        <v>1178</v>
      </c>
      <c r="C858" s="491">
        <f>C848</f>
        <v>43.888814515309463</v>
      </c>
      <c r="D858" s="451"/>
      <c r="E858" s="300" t="s">
        <v>1439</v>
      </c>
      <c r="F858" s="301" t="s">
        <v>1438</v>
      </c>
      <c r="G858" s="302">
        <v>0.27</v>
      </c>
      <c r="H858" s="301">
        <v>0.1</v>
      </c>
      <c r="I858" s="303">
        <f t="shared" si="79"/>
        <v>2.7000000000000003E-2</v>
      </c>
      <c r="J858" s="290" t="s">
        <v>1445</v>
      </c>
      <c r="K858" s="292">
        <v>2</v>
      </c>
      <c r="L858" s="311">
        <v>95</v>
      </c>
      <c r="M858" s="304">
        <v>2</v>
      </c>
      <c r="N858" s="292">
        <v>3.1146400000000001</v>
      </c>
      <c r="O858" s="291"/>
      <c r="P858" s="291"/>
      <c r="Q858" s="291"/>
      <c r="R858" s="291"/>
      <c r="S858" s="291"/>
      <c r="T858" s="291"/>
      <c r="U858" s="291"/>
      <c r="V858" s="291"/>
      <c r="W858" s="291"/>
      <c r="X858" s="291"/>
      <c r="Y858" s="291"/>
      <c r="Z858" s="291"/>
      <c r="AA858" s="440"/>
      <c r="AB858" s="460">
        <v>0.3</v>
      </c>
      <c r="AC858" s="443"/>
      <c r="AD858" s="444"/>
      <c r="AE858" s="444"/>
    </row>
    <row r="859" spans="1:49" x14ac:dyDescent="0.25">
      <c r="A859" s="1126"/>
      <c r="B859" s="452" t="s">
        <v>1179</v>
      </c>
      <c r="C859" s="487">
        <f>C849</f>
        <v>19.495759833054819</v>
      </c>
      <c r="D859" s="451"/>
      <c r="E859" s="300" t="s">
        <v>1440</v>
      </c>
      <c r="F859" s="301" t="s">
        <v>1441</v>
      </c>
      <c r="G859" s="302">
        <v>5.92</v>
      </c>
      <c r="H859" s="471">
        <v>1</v>
      </c>
      <c r="I859" s="303">
        <f t="shared" si="79"/>
        <v>5.92</v>
      </c>
      <c r="J859" s="290" t="s">
        <v>1513</v>
      </c>
      <c r="K859" s="292">
        <v>2</v>
      </c>
      <c r="L859" s="292">
        <v>25</v>
      </c>
      <c r="M859" s="304">
        <v>0.5</v>
      </c>
      <c r="N859" s="292">
        <v>0.13225000000000001</v>
      </c>
      <c r="O859" s="291"/>
      <c r="P859" s="291"/>
      <c r="Q859" s="291"/>
      <c r="R859" s="291"/>
      <c r="S859" s="291"/>
      <c r="T859" s="291"/>
      <c r="U859" s="291"/>
      <c r="V859" s="291"/>
      <c r="W859" s="291"/>
      <c r="X859" s="291"/>
      <c r="Y859" s="291"/>
      <c r="Z859" s="291"/>
      <c r="AA859" s="440"/>
      <c r="AB859" s="460">
        <v>0.3</v>
      </c>
      <c r="AC859" s="443"/>
      <c r="AD859" s="444"/>
      <c r="AE859" s="444"/>
    </row>
    <row r="860" spans="1:49" x14ac:dyDescent="0.25">
      <c r="A860" s="1126"/>
      <c r="B860" s="452" t="s">
        <v>1180</v>
      </c>
      <c r="C860" s="492"/>
      <c r="D860" s="451"/>
      <c r="E860" s="300" t="s">
        <v>1442</v>
      </c>
      <c r="F860" s="301" t="s">
        <v>1443</v>
      </c>
      <c r="G860" s="302">
        <v>419.5</v>
      </c>
      <c r="H860" s="301">
        <v>0.01</v>
      </c>
      <c r="I860" s="303">
        <f t="shared" si="79"/>
        <v>4.1950000000000003</v>
      </c>
      <c r="J860" s="290"/>
      <c r="K860" s="374"/>
      <c r="L860" s="292"/>
      <c r="M860" s="292"/>
      <c r="N860" s="292"/>
      <c r="O860" s="291"/>
      <c r="P860" s="291"/>
      <c r="Q860" s="291"/>
      <c r="R860" s="291"/>
      <c r="S860" s="291"/>
      <c r="T860" s="291"/>
      <c r="U860" s="291"/>
      <c r="V860" s="291"/>
      <c r="W860" s="291"/>
      <c r="X860" s="291"/>
      <c r="Y860" s="291"/>
      <c r="Z860" s="291"/>
      <c r="AA860" s="440"/>
      <c r="AB860" s="460">
        <v>0.3</v>
      </c>
      <c r="AC860" s="443"/>
    </row>
    <row r="861" spans="1:49" x14ac:dyDescent="0.25">
      <c r="A861" s="1126"/>
      <c r="B861" s="469" t="s">
        <v>1178</v>
      </c>
      <c r="C861" s="493">
        <v>0.5</v>
      </c>
      <c r="D861" s="451"/>
      <c r="E861" s="300" t="s">
        <v>1444</v>
      </c>
      <c r="F861" s="301" t="s">
        <v>1443</v>
      </c>
      <c r="G861" s="302">
        <v>872</v>
      </c>
      <c r="H861" s="301">
        <v>5.0000000000000001E-3</v>
      </c>
      <c r="I861" s="303">
        <f t="shared" si="79"/>
        <v>4.3600000000000003</v>
      </c>
      <c r="J861" s="290"/>
      <c r="K861" s="374"/>
      <c r="L861" s="292"/>
      <c r="M861" s="292"/>
      <c r="N861" s="292"/>
      <c r="O861" s="291"/>
      <c r="P861" s="291"/>
      <c r="Q861" s="291"/>
      <c r="R861" s="291"/>
      <c r="S861" s="291"/>
      <c r="T861" s="291"/>
      <c r="U861" s="291"/>
      <c r="V861" s="291"/>
      <c r="W861" s="291"/>
      <c r="X861" s="291"/>
      <c r="Y861" s="291"/>
      <c r="Z861" s="291"/>
      <c r="AA861" s="440"/>
      <c r="AB861" s="460">
        <v>0.3</v>
      </c>
      <c r="AC861" s="443"/>
    </row>
    <row r="862" spans="1:49" x14ac:dyDescent="0.25">
      <c r="A862" s="1126"/>
      <c r="B862" s="452" t="s">
        <v>1179</v>
      </c>
      <c r="C862" s="493">
        <v>0.5</v>
      </c>
      <c r="D862" s="451"/>
      <c r="E862" s="494" t="s">
        <v>13</v>
      </c>
      <c r="F862" s="376" t="s">
        <v>1441</v>
      </c>
      <c r="G862" s="302">
        <v>1.5</v>
      </c>
      <c r="H862" s="301">
        <v>1</v>
      </c>
      <c r="I862" s="303">
        <f t="shared" si="79"/>
        <v>1.5</v>
      </c>
      <c r="J862" s="290"/>
      <c r="K862" s="374"/>
      <c r="L862" s="292"/>
      <c r="M862" s="292"/>
      <c r="N862" s="292"/>
      <c r="O862" s="291"/>
      <c r="P862" s="291"/>
      <c r="Q862" s="291"/>
      <c r="R862" s="291"/>
      <c r="S862" s="291"/>
      <c r="T862" s="291"/>
      <c r="U862" s="291"/>
      <c r="V862" s="291"/>
      <c r="W862" s="291"/>
      <c r="X862" s="291"/>
      <c r="Y862" s="291"/>
      <c r="Z862" s="291"/>
      <c r="AA862" s="440"/>
      <c r="AB862" s="460">
        <v>0.3</v>
      </c>
      <c r="AC862" s="443"/>
    </row>
    <row r="863" spans="1:49" x14ac:dyDescent="0.25">
      <c r="A863" s="1126"/>
      <c r="B863" s="474" t="s">
        <v>1181</v>
      </c>
      <c r="C863" s="487">
        <f>C858*C861+C859*C862</f>
        <v>31.692287174182141</v>
      </c>
      <c r="D863" s="451"/>
      <c r="E863" s="490"/>
      <c r="F863" s="578"/>
      <c r="G863" s="302"/>
      <c r="H863" s="454"/>
      <c r="I863" s="303"/>
      <c r="J863" s="290"/>
      <c r="K863" s="374"/>
      <c r="L863" s="292"/>
      <c r="M863" s="292"/>
      <c r="N863" s="292"/>
      <c r="O863" s="291"/>
      <c r="P863" s="291"/>
      <c r="Q863" s="291"/>
      <c r="R863" s="291"/>
      <c r="S863" s="291"/>
      <c r="T863" s="291"/>
      <c r="U863" s="291"/>
      <c r="V863" s="291"/>
      <c r="W863" s="291"/>
      <c r="X863" s="291"/>
      <c r="Y863" s="291"/>
      <c r="Z863" s="291"/>
      <c r="AA863" s="440"/>
      <c r="AB863" s="460">
        <v>0.3</v>
      </c>
      <c r="AC863" s="443"/>
    </row>
    <row r="864" spans="1:49" x14ac:dyDescent="0.25">
      <c r="A864" s="1126"/>
      <c r="B864" s="474"/>
      <c r="C864" s="493"/>
      <c r="D864" s="475"/>
      <c r="E864" s="490"/>
      <c r="F864" s="578"/>
      <c r="G864" s="302"/>
      <c r="H864" s="454"/>
      <c r="I864" s="303"/>
      <c r="J864" s="290"/>
      <c r="K864" s="374"/>
      <c r="L864" s="292"/>
      <c r="M864" s="292"/>
      <c r="N864" s="292"/>
      <c r="O864" s="291"/>
      <c r="P864" s="291"/>
      <c r="Q864" s="291"/>
      <c r="R864" s="291"/>
      <c r="S864" s="291"/>
      <c r="T864" s="291"/>
      <c r="U864" s="291"/>
      <c r="V864" s="291"/>
      <c r="W864" s="291"/>
      <c r="X864" s="291"/>
      <c r="Y864" s="291"/>
      <c r="Z864" s="291"/>
      <c r="AA864" s="440"/>
      <c r="AB864" s="460">
        <v>0.3</v>
      </c>
      <c r="AC864" s="443"/>
    </row>
    <row r="865" spans="1:49" ht="56.25" customHeight="1" x14ac:dyDescent="0.25">
      <c r="A865" s="1126" t="s">
        <v>1596</v>
      </c>
      <c r="B865" s="439" t="s">
        <v>1663</v>
      </c>
      <c r="C865" s="487"/>
      <c r="D865" s="489"/>
      <c r="E865" s="488" t="s">
        <v>488</v>
      </c>
      <c r="F865" s="442" t="s">
        <v>837</v>
      </c>
      <c r="G865" s="439" t="s">
        <v>489</v>
      </c>
      <c r="H865" s="441" t="s">
        <v>1170</v>
      </c>
      <c r="I865" s="442" t="s">
        <v>838</v>
      </c>
      <c r="J865" s="280" t="s">
        <v>1171</v>
      </c>
      <c r="K865" s="280" t="s">
        <v>490</v>
      </c>
      <c r="L865" s="281" t="s">
        <v>489</v>
      </c>
      <c r="M865" s="280" t="s">
        <v>1172</v>
      </c>
      <c r="N865" s="442" t="s">
        <v>838</v>
      </c>
      <c r="O865" s="280" t="s">
        <v>1171</v>
      </c>
      <c r="P865" s="280" t="s">
        <v>826</v>
      </c>
      <c r="Q865" s="280" t="s">
        <v>1173</v>
      </c>
      <c r="R865" s="280" t="s">
        <v>1174</v>
      </c>
      <c r="S865" s="280" t="s">
        <v>839</v>
      </c>
      <c r="T865" s="280" t="s">
        <v>1171</v>
      </c>
      <c r="U865" s="280" t="s">
        <v>1392</v>
      </c>
      <c r="V865" s="280" t="s">
        <v>841</v>
      </c>
      <c r="W865" s="282" t="s">
        <v>1173</v>
      </c>
      <c r="X865" s="280" t="s">
        <v>1394</v>
      </c>
      <c r="Y865" s="280" t="s">
        <v>839</v>
      </c>
      <c r="Z865" s="283"/>
      <c r="AA865" s="440"/>
      <c r="AB865" s="460">
        <v>0.3</v>
      </c>
      <c r="AC865" s="443"/>
      <c r="AD865" s="444"/>
      <c r="AQ865" s="449"/>
      <c r="AR865" s="449"/>
      <c r="AS865" s="449"/>
    </row>
    <row r="866" spans="1:49" ht="12" customHeight="1" x14ac:dyDescent="0.25">
      <c r="A866" s="1126"/>
      <c r="B866" s="450" t="s">
        <v>1175</v>
      </c>
      <c r="C866" s="487">
        <f>C873</f>
        <v>31.692287174182141</v>
      </c>
      <c r="D866" s="489">
        <f>C866*$D$7</f>
        <v>6.4018420091847927</v>
      </c>
      <c r="E866" s="490" t="s">
        <v>1176</v>
      </c>
      <c r="F866" s="453"/>
      <c r="G866" s="454"/>
      <c r="H866" s="454"/>
      <c r="I866" s="455">
        <f>SUM(I867:I874)</f>
        <v>16.984999999999999</v>
      </c>
      <c r="J866" s="290" t="s">
        <v>1176</v>
      </c>
      <c r="K866" s="357"/>
      <c r="L866" s="291"/>
      <c r="M866" s="291"/>
      <c r="N866" s="292">
        <f>SUM(N867:N874)</f>
        <v>4.4213899999999997</v>
      </c>
      <c r="O866" s="291" t="s">
        <v>1176</v>
      </c>
      <c r="P866" s="291"/>
      <c r="Q866" s="293"/>
      <c r="R866" s="294"/>
      <c r="S866" s="292">
        <f>SUM(S867:S874)</f>
        <v>8.1902000000000008</v>
      </c>
      <c r="T866" s="292"/>
      <c r="U866" s="292"/>
      <c r="V866" s="292"/>
      <c r="W866" s="292"/>
      <c r="X866" s="292"/>
      <c r="Y866" s="292">
        <f>SUM(Y867:Y874)</f>
        <v>9.1999999999999998E-3</v>
      </c>
      <c r="Z866" s="296">
        <f>(C866+D866+I866+N866+S866+Y866)*$Z$7</f>
        <v>88.022601725414958</v>
      </c>
      <c r="AA866" s="459">
        <f>C866+D866+I866+N866+S866+Y866+Z866</f>
        <v>155.72252090878192</v>
      </c>
      <c r="AB866" s="460">
        <v>0.3</v>
      </c>
      <c r="AC866" s="461">
        <f>AA866*(1+AB866)</f>
        <v>202.43927718141649</v>
      </c>
      <c r="AD866" s="448"/>
      <c r="AI866" s="449"/>
      <c r="AJ866" s="462"/>
      <c r="AK866" s="463"/>
      <c r="AM866" s="464"/>
      <c r="AN866" s="143"/>
      <c r="AO866" s="464"/>
      <c r="AP866" s="449"/>
      <c r="AQ866" s="449"/>
      <c r="AR866" s="449"/>
      <c r="AS866" s="449"/>
      <c r="AT866" s="449"/>
      <c r="AU866" s="464"/>
      <c r="AV866" s="464"/>
      <c r="AW866" s="465"/>
    </row>
    <row r="867" spans="1:49" ht="66" x14ac:dyDescent="0.25">
      <c r="A867" s="1126"/>
      <c r="B867" s="466" t="s">
        <v>1177</v>
      </c>
      <c r="C867" s="487"/>
      <c r="D867" s="451"/>
      <c r="E867" s="300" t="s">
        <v>1437</v>
      </c>
      <c r="F867" s="301" t="s">
        <v>1438</v>
      </c>
      <c r="G867" s="302">
        <v>0.74</v>
      </c>
      <c r="H867" s="301">
        <v>1</v>
      </c>
      <c r="I867" s="303">
        <f t="shared" ref="I867:I872" si="80">G867*H867</f>
        <v>0.74</v>
      </c>
      <c r="J867" s="290" t="s">
        <v>1291</v>
      </c>
      <c r="K867" s="304">
        <v>2</v>
      </c>
      <c r="L867" s="305">
        <v>750</v>
      </c>
      <c r="M867" s="304">
        <v>2</v>
      </c>
      <c r="N867" s="292">
        <v>1.1745000000000001</v>
      </c>
      <c r="O867" s="467" t="s">
        <v>1578</v>
      </c>
      <c r="P867" s="291">
        <v>188900</v>
      </c>
      <c r="Q867" s="372">
        <v>0.19670000000000001</v>
      </c>
      <c r="R867" s="291">
        <f>P867*Q867</f>
        <v>37156.630000000005</v>
      </c>
      <c r="S867" s="291">
        <v>8.1902000000000008</v>
      </c>
      <c r="T867" s="458" t="s">
        <v>1435</v>
      </c>
      <c r="U867" s="456">
        <v>6785401.3499999996</v>
      </c>
      <c r="V867" s="457">
        <v>1.32E-2</v>
      </c>
      <c r="W867" s="458">
        <v>1508.3</v>
      </c>
      <c r="X867" s="292">
        <v>59.38</v>
      </c>
      <c r="Y867" s="291">
        <v>9.1999999999999998E-3</v>
      </c>
      <c r="Z867" s="291"/>
      <c r="AA867" s="440"/>
      <c r="AB867" s="460">
        <v>0.3</v>
      </c>
      <c r="AC867" s="440"/>
      <c r="AD867" s="444"/>
      <c r="AE867" s="444"/>
    </row>
    <row r="868" spans="1:49" x14ac:dyDescent="0.25">
      <c r="A868" s="1126"/>
      <c r="B868" s="469" t="s">
        <v>1178</v>
      </c>
      <c r="C868" s="491">
        <f>C858</f>
        <v>43.888814515309463</v>
      </c>
      <c r="D868" s="451"/>
      <c r="E868" s="300" t="s">
        <v>1439</v>
      </c>
      <c r="F868" s="301" t="s">
        <v>1438</v>
      </c>
      <c r="G868" s="302">
        <v>0.27</v>
      </c>
      <c r="H868" s="301">
        <v>1</v>
      </c>
      <c r="I868" s="303">
        <f t="shared" si="80"/>
        <v>0.27</v>
      </c>
      <c r="J868" s="290" t="s">
        <v>1445</v>
      </c>
      <c r="K868" s="292">
        <v>2</v>
      </c>
      <c r="L868" s="311">
        <v>95</v>
      </c>
      <c r="M868" s="304">
        <v>2</v>
      </c>
      <c r="N868" s="292">
        <v>3.1146400000000001</v>
      </c>
      <c r="O868" s="291"/>
      <c r="P868" s="291"/>
      <c r="Q868" s="291"/>
      <c r="R868" s="291"/>
      <c r="S868" s="291"/>
      <c r="T868" s="291"/>
      <c r="U868" s="291"/>
      <c r="V868" s="291"/>
      <c r="W868" s="291"/>
      <c r="X868" s="291"/>
      <c r="Y868" s="291"/>
      <c r="Z868" s="291"/>
      <c r="AA868" s="440"/>
      <c r="AB868" s="460">
        <v>0.3</v>
      </c>
      <c r="AC868" s="440"/>
      <c r="AD868" s="444"/>
      <c r="AE868" s="444"/>
    </row>
    <row r="869" spans="1:49" x14ac:dyDescent="0.25">
      <c r="A869" s="1126"/>
      <c r="B869" s="452" t="s">
        <v>1179</v>
      </c>
      <c r="C869" s="487">
        <f>C859</f>
        <v>19.495759833054819</v>
      </c>
      <c r="D869" s="451"/>
      <c r="E869" s="300" t="s">
        <v>1440</v>
      </c>
      <c r="F869" s="301" t="s">
        <v>1441</v>
      </c>
      <c r="G869" s="302">
        <v>5.92</v>
      </c>
      <c r="H869" s="471">
        <v>1</v>
      </c>
      <c r="I869" s="303">
        <f t="shared" si="80"/>
        <v>5.92</v>
      </c>
      <c r="J869" s="290" t="s">
        <v>1513</v>
      </c>
      <c r="K869" s="292">
        <v>2</v>
      </c>
      <c r="L869" s="292">
        <v>25</v>
      </c>
      <c r="M869" s="304">
        <v>0.5</v>
      </c>
      <c r="N869" s="292">
        <v>0.13225000000000001</v>
      </c>
      <c r="O869" s="291"/>
      <c r="P869" s="291"/>
      <c r="Q869" s="291"/>
      <c r="R869" s="291"/>
      <c r="S869" s="291"/>
      <c r="T869" s="291"/>
      <c r="U869" s="291"/>
      <c r="V869" s="291"/>
      <c r="W869" s="291"/>
      <c r="X869" s="291"/>
      <c r="Y869" s="291"/>
      <c r="Z869" s="291"/>
      <c r="AA869" s="440"/>
      <c r="AB869" s="460">
        <v>0.3</v>
      </c>
      <c r="AC869" s="440"/>
      <c r="AD869" s="444"/>
      <c r="AE869" s="444"/>
    </row>
    <row r="870" spans="1:49" x14ac:dyDescent="0.25">
      <c r="A870" s="1126"/>
      <c r="B870" s="452" t="s">
        <v>1180</v>
      </c>
      <c r="C870" s="492"/>
      <c r="D870" s="451"/>
      <c r="E870" s="300" t="s">
        <v>1442</v>
      </c>
      <c r="F870" s="301" t="s">
        <v>1443</v>
      </c>
      <c r="G870" s="302">
        <v>419.5</v>
      </c>
      <c r="H870" s="301">
        <v>0.01</v>
      </c>
      <c r="I870" s="303">
        <f t="shared" si="80"/>
        <v>4.1950000000000003</v>
      </c>
      <c r="J870" s="290"/>
      <c r="K870" s="374"/>
      <c r="L870" s="292"/>
      <c r="M870" s="292"/>
      <c r="N870" s="292"/>
      <c r="O870" s="291"/>
      <c r="P870" s="291"/>
      <c r="Q870" s="291"/>
      <c r="R870" s="291"/>
      <c r="S870" s="291"/>
      <c r="T870" s="291"/>
      <c r="U870" s="291"/>
      <c r="V870" s="291"/>
      <c r="W870" s="291"/>
      <c r="X870" s="291"/>
      <c r="Y870" s="291"/>
      <c r="Z870" s="291"/>
      <c r="AA870" s="440"/>
      <c r="AB870" s="460">
        <v>0.3</v>
      </c>
      <c r="AC870" s="440"/>
    </row>
    <row r="871" spans="1:49" x14ac:dyDescent="0.25">
      <c r="A871" s="1126"/>
      <c r="B871" s="469" t="s">
        <v>1178</v>
      </c>
      <c r="C871" s="493">
        <v>0.5</v>
      </c>
      <c r="D871" s="451"/>
      <c r="E871" s="300" t="s">
        <v>1444</v>
      </c>
      <c r="F871" s="301" t="s">
        <v>1443</v>
      </c>
      <c r="G871" s="302">
        <v>872</v>
      </c>
      <c r="H871" s="301">
        <v>5.0000000000000001E-3</v>
      </c>
      <c r="I871" s="303">
        <f t="shared" si="80"/>
        <v>4.3600000000000003</v>
      </c>
      <c r="J871" s="290"/>
      <c r="K871" s="374"/>
      <c r="L871" s="292"/>
      <c r="M871" s="292"/>
      <c r="N871" s="292"/>
      <c r="O871" s="291"/>
      <c r="P871" s="291"/>
      <c r="Q871" s="291"/>
      <c r="R871" s="291"/>
      <c r="S871" s="291"/>
      <c r="T871" s="291"/>
      <c r="U871" s="291"/>
      <c r="V871" s="291"/>
      <c r="W871" s="291"/>
      <c r="X871" s="291"/>
      <c r="Y871" s="291"/>
      <c r="Z871" s="291"/>
      <c r="AA871" s="440"/>
      <c r="AB871" s="460">
        <v>0.3</v>
      </c>
      <c r="AC871" s="440"/>
    </row>
    <row r="872" spans="1:49" x14ac:dyDescent="0.25">
      <c r="A872" s="1126"/>
      <c r="B872" s="452" t="s">
        <v>1179</v>
      </c>
      <c r="C872" s="493">
        <v>0.5</v>
      </c>
      <c r="D872" s="451"/>
      <c r="E872" s="494" t="s">
        <v>13</v>
      </c>
      <c r="F872" s="376" t="s">
        <v>1441</v>
      </c>
      <c r="G872" s="302">
        <v>1.5</v>
      </c>
      <c r="H872" s="301">
        <v>1</v>
      </c>
      <c r="I872" s="303">
        <f t="shared" si="80"/>
        <v>1.5</v>
      </c>
      <c r="J872" s="290"/>
      <c r="K872" s="374"/>
      <c r="L872" s="292"/>
      <c r="M872" s="292"/>
      <c r="N872" s="292"/>
      <c r="O872" s="291"/>
      <c r="P872" s="291"/>
      <c r="Q872" s="291"/>
      <c r="R872" s="291"/>
      <c r="S872" s="291"/>
      <c r="T872" s="291"/>
      <c r="U872" s="291"/>
      <c r="V872" s="291"/>
      <c r="W872" s="291"/>
      <c r="X872" s="291"/>
      <c r="Y872" s="291"/>
      <c r="Z872" s="291"/>
      <c r="AA872" s="440"/>
      <c r="AB872" s="460">
        <v>0.3</v>
      </c>
      <c r="AC872" s="440"/>
    </row>
    <row r="873" spans="1:49" x14ac:dyDescent="0.25">
      <c r="A873" s="1126"/>
      <c r="B873" s="474" t="s">
        <v>1181</v>
      </c>
      <c r="C873" s="487">
        <f>C868*C871+C869*C872</f>
        <v>31.692287174182141</v>
      </c>
      <c r="D873" s="451"/>
      <c r="E873" s="490"/>
      <c r="F873" s="578"/>
      <c r="G873" s="302"/>
      <c r="H873" s="454"/>
      <c r="I873" s="303"/>
      <c r="J873" s="290"/>
      <c r="K873" s="374"/>
      <c r="L873" s="292"/>
      <c r="M873" s="292"/>
      <c r="N873" s="292"/>
      <c r="O873" s="291"/>
      <c r="P873" s="291"/>
      <c r="Q873" s="291"/>
      <c r="R873" s="291"/>
      <c r="S873" s="291"/>
      <c r="T873" s="291"/>
      <c r="U873" s="291"/>
      <c r="V873" s="291"/>
      <c r="W873" s="291"/>
      <c r="X873" s="291"/>
      <c r="Y873" s="291"/>
      <c r="Z873" s="291"/>
      <c r="AA873" s="440"/>
      <c r="AB873" s="460">
        <v>0.3</v>
      </c>
      <c r="AC873" s="440"/>
    </row>
    <row r="874" spans="1:49" x14ac:dyDescent="0.25">
      <c r="A874" s="1126"/>
      <c r="B874" s="474"/>
      <c r="C874" s="493"/>
      <c r="D874" s="475"/>
      <c r="E874" s="490"/>
      <c r="F874" s="578"/>
      <c r="G874" s="302"/>
      <c r="H874" s="454"/>
      <c r="I874" s="303"/>
      <c r="J874" s="290"/>
      <c r="K874" s="374"/>
      <c r="L874" s="292"/>
      <c r="M874" s="292"/>
      <c r="N874" s="292"/>
      <c r="O874" s="291"/>
      <c r="P874" s="291"/>
      <c r="Q874" s="291"/>
      <c r="R874" s="291"/>
      <c r="S874" s="291"/>
      <c r="T874" s="291"/>
      <c r="U874" s="291"/>
      <c r="V874" s="291"/>
      <c r="W874" s="291"/>
      <c r="X874" s="291"/>
      <c r="Y874" s="291"/>
      <c r="Z874" s="291"/>
      <c r="AA874" s="440"/>
      <c r="AB874" s="460">
        <v>0.3</v>
      </c>
      <c r="AC874" s="440"/>
    </row>
    <row r="875" spans="1:49" ht="56.25" customHeight="1" x14ac:dyDescent="0.25">
      <c r="A875" s="1041" t="s">
        <v>85</v>
      </c>
      <c r="B875" s="439" t="s">
        <v>555</v>
      </c>
      <c r="C875" s="487"/>
      <c r="D875" s="440"/>
      <c r="E875" s="488" t="s">
        <v>488</v>
      </c>
      <c r="F875" s="442" t="s">
        <v>837</v>
      </c>
      <c r="G875" s="439" t="s">
        <v>489</v>
      </c>
      <c r="H875" s="441" t="s">
        <v>1170</v>
      </c>
      <c r="I875" s="442" t="s">
        <v>838</v>
      </c>
      <c r="J875" s="280" t="s">
        <v>1171</v>
      </c>
      <c r="K875" s="280" t="s">
        <v>490</v>
      </c>
      <c r="L875" s="281" t="s">
        <v>489</v>
      </c>
      <c r="M875" s="280" t="s">
        <v>1172</v>
      </c>
      <c r="N875" s="442" t="s">
        <v>838</v>
      </c>
      <c r="O875" s="280" t="s">
        <v>1171</v>
      </c>
      <c r="P875" s="280" t="s">
        <v>826</v>
      </c>
      <c r="Q875" s="280" t="s">
        <v>1173</v>
      </c>
      <c r="R875" s="280" t="s">
        <v>1174</v>
      </c>
      <c r="S875" s="280" t="s">
        <v>839</v>
      </c>
      <c r="T875" s="280" t="s">
        <v>1171</v>
      </c>
      <c r="U875" s="280" t="s">
        <v>1392</v>
      </c>
      <c r="V875" s="280" t="s">
        <v>841</v>
      </c>
      <c r="W875" s="282" t="s">
        <v>1173</v>
      </c>
      <c r="X875" s="280" t="s">
        <v>1394</v>
      </c>
      <c r="Y875" s="280" t="s">
        <v>839</v>
      </c>
      <c r="Z875" s="283"/>
      <c r="AA875" s="440"/>
      <c r="AB875" s="460"/>
      <c r="AC875" s="440"/>
      <c r="AD875" s="444"/>
      <c r="AQ875" s="449"/>
      <c r="AR875" s="449"/>
      <c r="AS875" s="449"/>
    </row>
    <row r="876" spans="1:49" ht="12" customHeight="1" x14ac:dyDescent="0.25">
      <c r="A876" s="1041"/>
      <c r="B876" s="450" t="s">
        <v>1175</v>
      </c>
      <c r="C876" s="439">
        <f>C883</f>
        <v>142.61529228381966</v>
      </c>
      <c r="D876" s="496">
        <f>C876*$D$7</f>
        <v>28.808289041331573</v>
      </c>
      <c r="E876" s="452" t="s">
        <v>1176</v>
      </c>
      <c r="F876" s="498"/>
      <c r="G876" s="454"/>
      <c r="H876" s="454"/>
      <c r="I876" s="455">
        <f>SUM(I877:I884)</f>
        <v>61.477000000000004</v>
      </c>
      <c r="J876" s="290" t="s">
        <v>1176</v>
      </c>
      <c r="K876" s="357"/>
      <c r="L876" s="291"/>
      <c r="M876" s="291"/>
      <c r="N876" s="292">
        <f>SUM(N877:N884)</f>
        <v>4.4213899999999997</v>
      </c>
      <c r="O876" s="291" t="s">
        <v>1176</v>
      </c>
      <c r="P876" s="291"/>
      <c r="Q876" s="293"/>
      <c r="R876" s="294"/>
      <c r="S876" s="292">
        <f>SUM(S877:S884)</f>
        <v>9.9028000000000009</v>
      </c>
      <c r="T876" s="292"/>
      <c r="U876" s="292"/>
      <c r="V876" s="292"/>
      <c r="W876" s="292"/>
      <c r="X876" s="292"/>
      <c r="Y876" s="292">
        <f>SUM(Y877:Y884)</f>
        <v>9.1999999999999998E-3</v>
      </c>
      <c r="Z876" s="296">
        <f>(C876+D876+I876+N876+S876+Y876)*$Z$7</f>
        <v>321.4505667577393</v>
      </c>
      <c r="AA876" s="459">
        <f>C876+D876+I876+N876+S876+Y876+Z876</f>
        <v>568.68453808289053</v>
      </c>
      <c r="AB876" s="460">
        <v>0.3</v>
      </c>
      <c r="AC876" s="461">
        <f>AA876*(1+AB876)</f>
        <v>739.2898995077577</v>
      </c>
      <c r="AD876" s="448"/>
      <c r="AI876" s="449"/>
      <c r="AJ876" s="462"/>
      <c r="AK876" s="463"/>
      <c r="AM876" s="464"/>
      <c r="AN876" s="143"/>
      <c r="AO876" s="464"/>
      <c r="AP876" s="449"/>
      <c r="AQ876" s="449"/>
      <c r="AR876" s="449"/>
      <c r="AS876" s="449"/>
      <c r="AT876" s="449"/>
      <c r="AU876" s="464"/>
      <c r="AV876" s="464"/>
      <c r="AW876" s="465"/>
    </row>
    <row r="877" spans="1:49" ht="24.75" customHeight="1" x14ac:dyDescent="0.25">
      <c r="A877" s="1041"/>
      <c r="B877" s="466" t="s">
        <v>830</v>
      </c>
      <c r="C877" s="487"/>
      <c r="D877" s="451"/>
      <c r="E877" s="300" t="s">
        <v>1437</v>
      </c>
      <c r="F877" s="301" t="s">
        <v>1438</v>
      </c>
      <c r="G877" s="302">
        <v>0.74</v>
      </c>
      <c r="H877" s="301">
        <v>0.1</v>
      </c>
      <c r="I877" s="303">
        <f t="shared" ref="I877:I884" si="81">G877*H877</f>
        <v>7.3999999999999996E-2</v>
      </c>
      <c r="J877" s="290" t="s">
        <v>1291</v>
      </c>
      <c r="K877" s="304">
        <v>2</v>
      </c>
      <c r="L877" s="305">
        <v>750</v>
      </c>
      <c r="M877" s="304">
        <v>2</v>
      </c>
      <c r="N877" s="292">
        <v>1.1745000000000001</v>
      </c>
      <c r="O877" s="467" t="s">
        <v>1578</v>
      </c>
      <c r="P877" s="291">
        <v>188900</v>
      </c>
      <c r="Q877" s="372">
        <v>0.19670000000000001</v>
      </c>
      <c r="R877" s="291">
        <f>P877*Q877</f>
        <v>37156.630000000005</v>
      </c>
      <c r="S877" s="291">
        <v>8.1902000000000008</v>
      </c>
      <c r="T877" s="458" t="s">
        <v>1435</v>
      </c>
      <c r="U877" s="456">
        <v>6785401.3499999996</v>
      </c>
      <c r="V877" s="457">
        <v>1.32E-2</v>
      </c>
      <c r="W877" s="458">
        <v>1508.3</v>
      </c>
      <c r="X877" s="292">
        <v>59.38</v>
      </c>
      <c r="Y877" s="291">
        <v>9.1999999999999998E-3</v>
      </c>
      <c r="Z877" s="291"/>
      <c r="AA877" s="440"/>
      <c r="AB877" s="460"/>
      <c r="AC877" s="440"/>
      <c r="AD877" s="444"/>
      <c r="AF877" s="365"/>
      <c r="AJ877" s="468"/>
      <c r="AT877" s="449"/>
    </row>
    <row r="878" spans="1:49" x14ac:dyDescent="0.25">
      <c r="A878" s="1041"/>
      <c r="B878" s="469" t="s">
        <v>1178</v>
      </c>
      <c r="C878" s="491">
        <f>C868</f>
        <v>43.888814515309463</v>
      </c>
      <c r="D878" s="451"/>
      <c r="E878" s="300" t="s">
        <v>1439</v>
      </c>
      <c r="F878" s="301" t="s">
        <v>1438</v>
      </c>
      <c r="G878" s="302">
        <v>0.27</v>
      </c>
      <c r="H878" s="301">
        <v>0.1</v>
      </c>
      <c r="I878" s="303">
        <f t="shared" si="81"/>
        <v>2.7000000000000003E-2</v>
      </c>
      <c r="J878" s="290" t="s">
        <v>1445</v>
      </c>
      <c r="K878" s="292">
        <v>2</v>
      </c>
      <c r="L878" s="311">
        <v>95</v>
      </c>
      <c r="M878" s="304">
        <v>2</v>
      </c>
      <c r="N878" s="292">
        <v>3.1146400000000001</v>
      </c>
      <c r="O878" s="291" t="s">
        <v>1580</v>
      </c>
      <c r="P878" s="291">
        <v>39500</v>
      </c>
      <c r="Q878" s="372">
        <v>0.19670000000000001</v>
      </c>
      <c r="R878" s="291">
        <f>P878*Q878</f>
        <v>7769.6500000000005</v>
      </c>
      <c r="S878" s="291">
        <v>1.7125999999999999</v>
      </c>
      <c r="T878" s="291"/>
      <c r="U878" s="291"/>
      <c r="V878" s="291"/>
      <c r="W878" s="372"/>
      <c r="X878" s="291"/>
      <c r="Y878" s="291"/>
      <c r="Z878" s="291"/>
      <c r="AA878" s="440"/>
      <c r="AB878" s="460"/>
      <c r="AC878" s="440"/>
      <c r="AD878" s="444"/>
      <c r="AF878" s="365"/>
      <c r="AJ878" s="468"/>
      <c r="AM878" s="465"/>
    </row>
    <row r="879" spans="1:49" ht="12.75" customHeight="1" x14ac:dyDescent="0.25">
      <c r="A879" s="1041"/>
      <c r="B879" s="452" t="s">
        <v>1179</v>
      </c>
      <c r="C879" s="487">
        <f>C869</f>
        <v>19.495759833054819</v>
      </c>
      <c r="D879" s="451"/>
      <c r="E879" s="300" t="s">
        <v>1440</v>
      </c>
      <c r="F879" s="301" t="s">
        <v>1441</v>
      </c>
      <c r="G879" s="302">
        <v>5.92</v>
      </c>
      <c r="H879" s="471">
        <v>1</v>
      </c>
      <c r="I879" s="303">
        <f t="shared" si="81"/>
        <v>5.92</v>
      </c>
      <c r="J879" s="290" t="s">
        <v>1513</v>
      </c>
      <c r="K879" s="292">
        <v>2</v>
      </c>
      <c r="L879" s="292">
        <v>25</v>
      </c>
      <c r="M879" s="304">
        <v>0.5</v>
      </c>
      <c r="N879" s="292">
        <v>0.13225000000000001</v>
      </c>
      <c r="O879" s="291"/>
      <c r="P879" s="291"/>
      <c r="Q879" s="372"/>
      <c r="R879" s="291"/>
      <c r="S879" s="291"/>
      <c r="T879" s="291"/>
      <c r="U879" s="291"/>
      <c r="V879" s="291"/>
      <c r="W879" s="372"/>
      <c r="X879" s="291"/>
      <c r="Y879" s="291"/>
      <c r="Z879" s="291"/>
      <c r="AA879" s="440"/>
      <c r="AB879" s="460"/>
      <c r="AC879" s="440"/>
      <c r="AD879" s="444"/>
      <c r="AF879" s="365"/>
      <c r="AJ879" s="468"/>
    </row>
    <row r="880" spans="1:49" ht="12.75" customHeight="1" x14ac:dyDescent="0.25">
      <c r="A880" s="1041"/>
      <c r="B880" s="452" t="s">
        <v>831</v>
      </c>
      <c r="C880" s="492"/>
      <c r="D880" s="451"/>
      <c r="E880" s="300" t="s">
        <v>1442</v>
      </c>
      <c r="F880" s="301" t="s">
        <v>1443</v>
      </c>
      <c r="G880" s="302">
        <v>419.5</v>
      </c>
      <c r="H880" s="301">
        <v>0.01</v>
      </c>
      <c r="I880" s="303">
        <f t="shared" si="81"/>
        <v>4.1950000000000003</v>
      </c>
      <c r="J880" s="290"/>
      <c r="K880" s="374"/>
      <c r="L880" s="292"/>
      <c r="M880" s="292"/>
      <c r="N880" s="292"/>
      <c r="O880" s="291"/>
      <c r="P880" s="291"/>
      <c r="Q880" s="291"/>
      <c r="R880" s="291"/>
      <c r="S880" s="291"/>
      <c r="T880" s="291"/>
      <c r="U880" s="291"/>
      <c r="V880" s="291"/>
      <c r="W880" s="291"/>
      <c r="X880" s="291"/>
      <c r="Y880" s="291"/>
      <c r="Z880" s="291"/>
      <c r="AA880" s="440"/>
      <c r="AB880" s="460"/>
      <c r="AC880" s="440"/>
      <c r="AD880" s="444"/>
      <c r="AF880" s="365"/>
      <c r="AJ880" s="468"/>
    </row>
    <row r="881" spans="1:49" ht="12.75" customHeight="1" x14ac:dyDescent="0.25">
      <c r="A881" s="1041"/>
      <c r="B881" s="469" t="s">
        <v>1178</v>
      </c>
      <c r="C881" s="493">
        <v>2.25</v>
      </c>
      <c r="D881" s="451"/>
      <c r="E881" s="300" t="s">
        <v>1444</v>
      </c>
      <c r="F881" s="301" t="s">
        <v>1443</v>
      </c>
      <c r="G881" s="302">
        <v>872</v>
      </c>
      <c r="H881" s="301">
        <v>5.0000000000000001E-3</v>
      </c>
      <c r="I881" s="303">
        <f t="shared" si="81"/>
        <v>4.3600000000000003</v>
      </c>
      <c r="J881" s="290"/>
      <c r="K881" s="374"/>
      <c r="L881" s="292"/>
      <c r="M881" s="292"/>
      <c r="N881" s="292"/>
      <c r="O881" s="291"/>
      <c r="P881" s="291"/>
      <c r="Q881" s="291"/>
      <c r="R881" s="291"/>
      <c r="S881" s="291"/>
      <c r="T881" s="291"/>
      <c r="U881" s="291"/>
      <c r="V881" s="291"/>
      <c r="W881" s="291"/>
      <c r="X881" s="291"/>
      <c r="Y881" s="291"/>
      <c r="Z881" s="291"/>
      <c r="AA881" s="440"/>
      <c r="AB881" s="460"/>
      <c r="AC881" s="440"/>
      <c r="AD881" s="444"/>
      <c r="AF881" s="365"/>
      <c r="AJ881" s="472"/>
    </row>
    <row r="882" spans="1:49" ht="12.75" customHeight="1" x14ac:dyDescent="0.25">
      <c r="A882" s="1041"/>
      <c r="B882" s="452" t="s">
        <v>1179</v>
      </c>
      <c r="C882" s="493">
        <v>2.25</v>
      </c>
      <c r="D882" s="451"/>
      <c r="E882" s="559" t="s">
        <v>582</v>
      </c>
      <c r="F882" s="560" t="s">
        <v>1438</v>
      </c>
      <c r="G882" s="543">
        <v>149.77000000000001</v>
      </c>
      <c r="H882" s="542">
        <v>0.3</v>
      </c>
      <c r="I882" s="544">
        <f t="shared" si="81"/>
        <v>44.931000000000004</v>
      </c>
      <c r="J882" s="290"/>
      <c r="K882" s="374"/>
      <c r="L882" s="305"/>
      <c r="M882" s="304"/>
      <c r="N882" s="292"/>
      <c r="O882" s="291"/>
      <c r="P882" s="291"/>
      <c r="Q882" s="291"/>
      <c r="R882" s="291"/>
      <c r="S882" s="291"/>
      <c r="T882" s="291"/>
      <c r="U882" s="291"/>
      <c r="V882" s="291"/>
      <c r="W882" s="291"/>
      <c r="X882" s="291"/>
      <c r="Y882" s="291"/>
      <c r="Z882" s="291"/>
      <c r="AA882" s="440"/>
      <c r="AB882" s="460"/>
      <c r="AC882" s="440"/>
      <c r="AD882" s="444"/>
      <c r="AF882" s="365"/>
      <c r="AJ882" s="472"/>
    </row>
    <row r="883" spans="1:49" ht="12.75" customHeight="1" x14ac:dyDescent="0.25">
      <c r="A883" s="1041"/>
      <c r="B883" s="474" t="s">
        <v>1181</v>
      </c>
      <c r="C883" s="487">
        <f>C878*C881+C879*C882</f>
        <v>142.61529228381966</v>
      </c>
      <c r="D883" s="451"/>
      <c r="E883" s="559" t="s">
        <v>18</v>
      </c>
      <c r="F883" s="560" t="s">
        <v>1438</v>
      </c>
      <c r="G883" s="543">
        <v>0.94</v>
      </c>
      <c r="H883" s="542">
        <v>0.5</v>
      </c>
      <c r="I883" s="544">
        <f t="shared" si="81"/>
        <v>0.47</v>
      </c>
      <c r="J883" s="290"/>
      <c r="K883" s="374"/>
      <c r="L883" s="292"/>
      <c r="M883" s="292"/>
      <c r="N883" s="292"/>
      <c r="O883" s="291"/>
      <c r="P883" s="291"/>
      <c r="Q883" s="291"/>
      <c r="R883" s="291"/>
      <c r="S883" s="291"/>
      <c r="T883" s="291"/>
      <c r="U883" s="291"/>
      <c r="V883" s="291"/>
      <c r="W883" s="291"/>
      <c r="X883" s="291"/>
      <c r="Y883" s="291"/>
      <c r="Z883" s="291"/>
      <c r="AA883" s="440"/>
      <c r="AB883" s="460"/>
      <c r="AC883" s="440"/>
      <c r="AD883" s="444"/>
      <c r="AF883" s="365"/>
      <c r="AJ883" s="468"/>
    </row>
    <row r="884" spans="1:49" ht="12.75" customHeight="1" x14ac:dyDescent="0.25">
      <c r="A884" s="1041"/>
      <c r="B884" s="474"/>
      <c r="C884" s="493"/>
      <c r="D884" s="451"/>
      <c r="E884" s="559" t="s">
        <v>13</v>
      </c>
      <c r="F884" s="560" t="s">
        <v>1441</v>
      </c>
      <c r="G884" s="543">
        <v>1.5</v>
      </c>
      <c r="H884" s="542">
        <v>1</v>
      </c>
      <c r="I884" s="544">
        <f t="shared" si="81"/>
        <v>1.5</v>
      </c>
      <c r="J884" s="290"/>
      <c r="K884" s="374"/>
      <c r="L884" s="292"/>
      <c r="M884" s="292"/>
      <c r="N884" s="292"/>
      <c r="O884" s="291"/>
      <c r="P884" s="291"/>
      <c r="Q884" s="291"/>
      <c r="R884" s="291"/>
      <c r="S884" s="291"/>
      <c r="T884" s="291"/>
      <c r="U884" s="291"/>
      <c r="V884" s="291"/>
      <c r="W884" s="291"/>
      <c r="X884" s="291"/>
      <c r="Y884" s="291"/>
      <c r="Z884" s="291"/>
      <c r="AA884" s="440"/>
      <c r="AB884" s="460"/>
      <c r="AC884" s="440"/>
      <c r="AD884" s="444"/>
      <c r="AF884" s="365"/>
      <c r="AJ884" s="472"/>
    </row>
    <row r="885" spans="1:49" ht="56.25" customHeight="1" x14ac:dyDescent="0.25">
      <c r="A885" s="1041" t="s">
        <v>968</v>
      </c>
      <c r="B885" s="439" t="s">
        <v>557</v>
      </c>
      <c r="C885" s="439"/>
      <c r="D885" s="499"/>
      <c r="E885" s="441" t="s">
        <v>488</v>
      </c>
      <c r="F885" s="442" t="s">
        <v>837</v>
      </c>
      <c r="G885" s="439" t="s">
        <v>489</v>
      </c>
      <c r="H885" s="441" t="s">
        <v>1170</v>
      </c>
      <c r="I885" s="442" t="s">
        <v>838</v>
      </c>
      <c r="J885" s="280" t="s">
        <v>1171</v>
      </c>
      <c r="K885" s="280" t="s">
        <v>490</v>
      </c>
      <c r="L885" s="281" t="s">
        <v>489</v>
      </c>
      <c r="M885" s="280" t="s">
        <v>1172</v>
      </c>
      <c r="N885" s="442" t="s">
        <v>838</v>
      </c>
      <c r="O885" s="280" t="s">
        <v>1171</v>
      </c>
      <c r="P885" s="280" t="s">
        <v>826</v>
      </c>
      <c r="Q885" s="280" t="s">
        <v>1173</v>
      </c>
      <c r="R885" s="280" t="s">
        <v>1174</v>
      </c>
      <c r="S885" s="280" t="s">
        <v>839</v>
      </c>
      <c r="T885" s="280" t="s">
        <v>1171</v>
      </c>
      <c r="U885" s="280" t="s">
        <v>1392</v>
      </c>
      <c r="V885" s="280" t="s">
        <v>841</v>
      </c>
      <c r="W885" s="282" t="s">
        <v>1173</v>
      </c>
      <c r="X885" s="280" t="s">
        <v>1394</v>
      </c>
      <c r="Y885" s="280" t="s">
        <v>839</v>
      </c>
      <c r="Z885" s="283"/>
      <c r="AA885" s="440"/>
      <c r="AB885" s="460"/>
      <c r="AC885" s="440"/>
      <c r="AD885" s="444"/>
      <c r="AQ885" s="449"/>
      <c r="AR885" s="449"/>
      <c r="AS885" s="449"/>
    </row>
    <row r="886" spans="1:49" ht="12" customHeight="1" x14ac:dyDescent="0.25">
      <c r="A886" s="1041"/>
      <c r="B886" s="450" t="s">
        <v>1175</v>
      </c>
      <c r="C886" s="439">
        <f>C893</f>
        <v>177.47680817541999</v>
      </c>
      <c r="D886" s="496">
        <f>C886*$D$7</f>
        <v>35.850315251434843</v>
      </c>
      <c r="E886" s="452" t="s">
        <v>1176</v>
      </c>
      <c r="F886" s="453"/>
      <c r="G886" s="454"/>
      <c r="H886" s="454"/>
      <c r="I886" s="455">
        <f>SUM(I887:I895)</f>
        <v>61.477000000000004</v>
      </c>
      <c r="J886" s="290" t="s">
        <v>1176</v>
      </c>
      <c r="K886" s="357"/>
      <c r="L886" s="291"/>
      <c r="M886" s="291"/>
      <c r="N886" s="292">
        <f>SUM(N887:N895)</f>
        <v>4.4213899999999997</v>
      </c>
      <c r="O886" s="291" t="s">
        <v>1176</v>
      </c>
      <c r="P886" s="291"/>
      <c r="Q886" s="293"/>
      <c r="R886" s="294"/>
      <c r="S886" s="292">
        <f>SUM(S887:S895)</f>
        <v>9.9028000000000009</v>
      </c>
      <c r="T886" s="292"/>
      <c r="U886" s="292"/>
      <c r="V886" s="292"/>
      <c r="W886" s="292"/>
      <c r="X886" s="292"/>
      <c r="Y886" s="292">
        <f>SUM(Y887:Y895)</f>
        <v>9.1999999999999998E-3</v>
      </c>
      <c r="Z886" s="296">
        <f>(C886+D886+I886+N886+S886+Y886)*$Z$7</f>
        <v>375.93303648288224</v>
      </c>
      <c r="AA886" s="459">
        <f>C886+D886+I886+N886+S886+Y886+Z886</f>
        <v>665.07054990973711</v>
      </c>
      <c r="AB886" s="460">
        <v>0.3</v>
      </c>
      <c r="AC886" s="461">
        <f>AA886*(1+AB886)</f>
        <v>864.59171488265827</v>
      </c>
      <c r="AD886" s="448"/>
      <c r="AI886" s="449"/>
      <c r="AJ886" s="462"/>
      <c r="AK886" s="463"/>
      <c r="AM886" s="464"/>
      <c r="AN886" s="143"/>
      <c r="AO886" s="464"/>
      <c r="AP886" s="449"/>
      <c r="AQ886" s="449"/>
      <c r="AR886" s="449"/>
      <c r="AS886" s="449"/>
      <c r="AT886" s="449"/>
      <c r="AU886" s="464"/>
      <c r="AV886" s="464"/>
      <c r="AW886" s="465"/>
    </row>
    <row r="887" spans="1:49" ht="12.75" customHeight="1" x14ac:dyDescent="0.25">
      <c r="A887" s="1041"/>
      <c r="B887" s="466" t="s">
        <v>830</v>
      </c>
      <c r="C887" s="487"/>
      <c r="D887" s="500"/>
      <c r="E887" s="300" t="s">
        <v>1437</v>
      </c>
      <c r="F887" s="301" t="s">
        <v>1438</v>
      </c>
      <c r="G887" s="302">
        <v>0.74</v>
      </c>
      <c r="H887" s="301">
        <v>0.1</v>
      </c>
      <c r="I887" s="303">
        <f t="shared" ref="I887:I894" si="82">G887*H887</f>
        <v>7.3999999999999996E-2</v>
      </c>
      <c r="J887" s="290" t="s">
        <v>1291</v>
      </c>
      <c r="K887" s="304">
        <v>2</v>
      </c>
      <c r="L887" s="305">
        <v>750</v>
      </c>
      <c r="M887" s="304">
        <v>2</v>
      </c>
      <c r="N887" s="292">
        <v>1.1745000000000001</v>
      </c>
      <c r="O887" s="467" t="s">
        <v>1578</v>
      </c>
      <c r="P887" s="291">
        <v>188900</v>
      </c>
      <c r="Q887" s="372">
        <v>0.19670000000000001</v>
      </c>
      <c r="R887" s="291">
        <f>P887*Q887</f>
        <v>37156.630000000005</v>
      </c>
      <c r="S887" s="291">
        <v>8.1902000000000008</v>
      </c>
      <c r="T887" s="458" t="s">
        <v>1435</v>
      </c>
      <c r="U887" s="456">
        <v>6785401.3499999996</v>
      </c>
      <c r="V887" s="457">
        <v>1.32E-2</v>
      </c>
      <c r="W887" s="458">
        <v>1508.3</v>
      </c>
      <c r="X887" s="292">
        <v>59.38</v>
      </c>
      <c r="Y887" s="291">
        <v>9.1999999999999998E-3</v>
      </c>
      <c r="Z887" s="291"/>
      <c r="AA887" s="440"/>
      <c r="AB887" s="460"/>
      <c r="AC887" s="440"/>
      <c r="AD887" s="444"/>
      <c r="AF887" s="365"/>
      <c r="AJ887" s="468"/>
      <c r="AT887" s="449"/>
    </row>
    <row r="888" spans="1:49" x14ac:dyDescent="0.25">
      <c r="A888" s="1041"/>
      <c r="B888" s="469" t="s">
        <v>1178</v>
      </c>
      <c r="C888" s="491">
        <f>C878</f>
        <v>43.888814515309463</v>
      </c>
      <c r="D888" s="451"/>
      <c r="E888" s="300" t="s">
        <v>1439</v>
      </c>
      <c r="F888" s="301" t="s">
        <v>1438</v>
      </c>
      <c r="G888" s="302">
        <v>0.27</v>
      </c>
      <c r="H888" s="301">
        <v>0.1</v>
      </c>
      <c r="I888" s="303">
        <f t="shared" si="82"/>
        <v>2.7000000000000003E-2</v>
      </c>
      <c r="J888" s="290" t="s">
        <v>1445</v>
      </c>
      <c r="K888" s="292">
        <v>2</v>
      </c>
      <c r="L888" s="311">
        <v>95</v>
      </c>
      <c r="M888" s="304">
        <v>2</v>
      </c>
      <c r="N888" s="292">
        <v>3.1146400000000001</v>
      </c>
      <c r="O888" s="291" t="s">
        <v>1580</v>
      </c>
      <c r="P888" s="291">
        <v>39500</v>
      </c>
      <c r="Q888" s="372">
        <v>0.19670000000000001</v>
      </c>
      <c r="R888" s="291">
        <f>P888*Q888</f>
        <v>7769.6500000000005</v>
      </c>
      <c r="S888" s="291">
        <v>1.7125999999999999</v>
      </c>
      <c r="T888" s="291"/>
      <c r="U888" s="291"/>
      <c r="V888" s="291"/>
      <c r="W888" s="372"/>
      <c r="X888" s="291"/>
      <c r="Y888" s="291"/>
      <c r="Z888" s="291"/>
      <c r="AA888" s="440"/>
      <c r="AB888" s="460"/>
      <c r="AC888" s="440"/>
      <c r="AD888" s="444"/>
      <c r="AF888" s="365"/>
      <c r="AJ888" s="468"/>
      <c r="AM888" s="465"/>
    </row>
    <row r="889" spans="1:49" ht="12.75" customHeight="1" x14ac:dyDescent="0.25">
      <c r="A889" s="1041"/>
      <c r="B889" s="452" t="s">
        <v>1179</v>
      </c>
      <c r="C889" s="487">
        <f>C879</f>
        <v>19.495759833054819</v>
      </c>
      <c r="D889" s="451"/>
      <c r="E889" s="300" t="s">
        <v>1440</v>
      </c>
      <c r="F889" s="301" t="s">
        <v>1441</v>
      </c>
      <c r="G889" s="302">
        <v>5.92</v>
      </c>
      <c r="H889" s="471">
        <v>1</v>
      </c>
      <c r="I889" s="303">
        <f t="shared" si="82"/>
        <v>5.92</v>
      </c>
      <c r="J889" s="290" t="s">
        <v>1513</v>
      </c>
      <c r="K889" s="292">
        <v>2</v>
      </c>
      <c r="L889" s="292">
        <v>25</v>
      </c>
      <c r="M889" s="304">
        <v>0.5</v>
      </c>
      <c r="N889" s="292">
        <v>0.13225000000000001</v>
      </c>
      <c r="O889" s="291"/>
      <c r="P889" s="291"/>
      <c r="Q889" s="372"/>
      <c r="R889" s="291"/>
      <c r="S889" s="291"/>
      <c r="T889" s="291"/>
      <c r="U889" s="291"/>
      <c r="V889" s="291"/>
      <c r="W889" s="372"/>
      <c r="X889" s="291"/>
      <c r="Y889" s="291"/>
      <c r="Z889" s="291"/>
      <c r="AA889" s="440"/>
      <c r="AB889" s="460"/>
      <c r="AC889" s="440"/>
      <c r="AD889" s="444"/>
      <c r="AF889" s="365"/>
      <c r="AJ889" s="468"/>
    </row>
    <row r="890" spans="1:49" ht="12.75" customHeight="1" x14ac:dyDescent="0.25">
      <c r="A890" s="1041"/>
      <c r="B890" s="452" t="s">
        <v>831</v>
      </c>
      <c r="C890" s="492"/>
      <c r="D890" s="451"/>
      <c r="E890" s="300" t="s">
        <v>1442</v>
      </c>
      <c r="F890" s="301" t="s">
        <v>1443</v>
      </c>
      <c r="G890" s="302">
        <v>419.5</v>
      </c>
      <c r="H890" s="301">
        <v>0.01</v>
      </c>
      <c r="I890" s="303">
        <f t="shared" si="82"/>
        <v>4.1950000000000003</v>
      </c>
      <c r="J890" s="290"/>
      <c r="K890" s="374"/>
      <c r="L890" s="292"/>
      <c r="M890" s="292"/>
      <c r="N890" s="292"/>
      <c r="O890" s="291"/>
      <c r="P890" s="291"/>
      <c r="Q890" s="291"/>
      <c r="R890" s="291"/>
      <c r="S890" s="291"/>
      <c r="T890" s="291"/>
      <c r="U890" s="291"/>
      <c r="V890" s="291"/>
      <c r="W890" s="291"/>
      <c r="X890" s="291"/>
      <c r="Y890" s="291"/>
      <c r="Z890" s="291"/>
      <c r="AA890" s="440"/>
      <c r="AB890" s="460"/>
      <c r="AC890" s="440"/>
      <c r="AD890" s="444"/>
      <c r="AF890" s="365"/>
      <c r="AJ890" s="468"/>
    </row>
    <row r="891" spans="1:49" ht="12.75" customHeight="1" x14ac:dyDescent="0.25">
      <c r="A891" s="1041"/>
      <c r="B891" s="469" t="s">
        <v>1178</v>
      </c>
      <c r="C891" s="493">
        <v>2.8</v>
      </c>
      <c r="D891" s="451"/>
      <c r="E891" s="300" t="s">
        <v>1444</v>
      </c>
      <c r="F891" s="301" t="s">
        <v>1443</v>
      </c>
      <c r="G891" s="302">
        <v>872</v>
      </c>
      <c r="H891" s="301">
        <v>5.0000000000000001E-3</v>
      </c>
      <c r="I891" s="303">
        <f t="shared" si="82"/>
        <v>4.3600000000000003</v>
      </c>
      <c r="J891" s="290"/>
      <c r="K891" s="374"/>
      <c r="L891" s="292"/>
      <c r="M891" s="292"/>
      <c r="N891" s="292"/>
      <c r="O891" s="291"/>
      <c r="P891" s="291"/>
      <c r="Q891" s="291"/>
      <c r="R891" s="291"/>
      <c r="S891" s="291"/>
      <c r="T891" s="291"/>
      <c r="U891" s="291"/>
      <c r="V891" s="291"/>
      <c r="W891" s="291"/>
      <c r="X891" s="291"/>
      <c r="Y891" s="291"/>
      <c r="Z891" s="291"/>
      <c r="AA891" s="440"/>
      <c r="AB891" s="460"/>
      <c r="AC891" s="440"/>
      <c r="AD891" s="444"/>
      <c r="AF891" s="365"/>
      <c r="AJ891" s="472"/>
    </row>
    <row r="892" spans="1:49" ht="12.75" customHeight="1" x14ac:dyDescent="0.25">
      <c r="A892" s="1041"/>
      <c r="B892" s="452" t="s">
        <v>1179</v>
      </c>
      <c r="C892" s="491">
        <v>2.8</v>
      </c>
      <c r="D892" s="451"/>
      <c r="E892" s="559" t="s">
        <v>582</v>
      </c>
      <c r="F892" s="560" t="s">
        <v>1438</v>
      </c>
      <c r="G892" s="543">
        <v>149.77000000000001</v>
      </c>
      <c r="H892" s="542">
        <v>0.3</v>
      </c>
      <c r="I892" s="544">
        <f t="shared" si="82"/>
        <v>44.931000000000004</v>
      </c>
      <c r="J892" s="290"/>
      <c r="K892" s="374"/>
      <c r="L892" s="305"/>
      <c r="M892" s="304"/>
      <c r="N892" s="292"/>
      <c r="O892" s="291"/>
      <c r="P892" s="291"/>
      <c r="Q892" s="291"/>
      <c r="R892" s="291"/>
      <c r="S892" s="291"/>
      <c r="T892" s="291"/>
      <c r="U892" s="291"/>
      <c r="V892" s="291"/>
      <c r="W892" s="291"/>
      <c r="X892" s="291"/>
      <c r="Y892" s="291"/>
      <c r="Z892" s="291"/>
      <c r="AA892" s="440"/>
      <c r="AB892" s="460"/>
      <c r="AC892" s="440"/>
      <c r="AD892" s="444"/>
      <c r="AF892" s="365"/>
      <c r="AJ892" s="472"/>
    </row>
    <row r="893" spans="1:49" ht="12.75" customHeight="1" x14ac:dyDescent="0.25">
      <c r="A893" s="1041"/>
      <c r="B893" s="474" t="s">
        <v>1181</v>
      </c>
      <c r="C893" s="487">
        <f>C888*C891+C889*C892</f>
        <v>177.47680817541999</v>
      </c>
      <c r="D893" s="451"/>
      <c r="E893" s="559" t="s">
        <v>18</v>
      </c>
      <c r="F893" s="560" t="s">
        <v>1438</v>
      </c>
      <c r="G893" s="543">
        <v>0.94</v>
      </c>
      <c r="H893" s="542">
        <v>0.5</v>
      </c>
      <c r="I893" s="544">
        <f t="shared" si="82"/>
        <v>0.47</v>
      </c>
      <c r="J893" s="290"/>
      <c r="K893" s="374"/>
      <c r="L893" s="292"/>
      <c r="M893" s="292"/>
      <c r="N893" s="292"/>
      <c r="O893" s="291"/>
      <c r="P893" s="291"/>
      <c r="Q893" s="291"/>
      <c r="R893" s="291"/>
      <c r="S893" s="291"/>
      <c r="T893" s="291"/>
      <c r="U893" s="291"/>
      <c r="V893" s="291"/>
      <c r="W893" s="291"/>
      <c r="X893" s="291"/>
      <c r="Y893" s="291"/>
      <c r="Z893" s="291"/>
      <c r="AA893" s="440"/>
      <c r="AB893" s="460"/>
      <c r="AC893" s="440"/>
      <c r="AD893" s="444"/>
      <c r="AF893" s="365"/>
      <c r="AJ893" s="468"/>
    </row>
    <row r="894" spans="1:49" ht="12.75" customHeight="1" x14ac:dyDescent="0.25">
      <c r="A894" s="1041"/>
      <c r="B894" s="474"/>
      <c r="C894" s="487"/>
      <c r="D894" s="451"/>
      <c r="E894" s="559" t="s">
        <v>13</v>
      </c>
      <c r="F894" s="560" t="s">
        <v>1441</v>
      </c>
      <c r="G894" s="543">
        <v>1.5</v>
      </c>
      <c r="H894" s="542">
        <v>1</v>
      </c>
      <c r="I894" s="544">
        <f t="shared" si="82"/>
        <v>1.5</v>
      </c>
      <c r="J894" s="290"/>
      <c r="K894" s="374"/>
      <c r="L894" s="292"/>
      <c r="M894" s="292"/>
      <c r="N894" s="292"/>
      <c r="O894" s="291"/>
      <c r="P894" s="291"/>
      <c r="Q894" s="291"/>
      <c r="R894" s="291"/>
      <c r="S894" s="291"/>
      <c r="T894" s="291"/>
      <c r="U894" s="291"/>
      <c r="V894" s="291"/>
      <c r="W894" s="291"/>
      <c r="X894" s="291"/>
      <c r="Y894" s="291"/>
      <c r="Z894" s="291"/>
      <c r="AA894" s="440"/>
      <c r="AB894" s="460"/>
      <c r="AC894" s="440"/>
      <c r="AD894" s="444"/>
      <c r="AF894" s="365"/>
      <c r="AJ894" s="468"/>
    </row>
    <row r="895" spans="1:49" ht="12.75" customHeight="1" x14ac:dyDescent="0.25">
      <c r="A895" s="1041"/>
      <c r="B895" s="474"/>
      <c r="C895" s="487"/>
      <c r="D895" s="451"/>
      <c r="E895" s="494"/>
      <c r="F895" s="376"/>
      <c r="G895" s="302"/>
      <c r="H895" s="301"/>
      <c r="I895" s="303"/>
      <c r="J895" s="290"/>
      <c r="K895" s="374"/>
      <c r="L895" s="292"/>
      <c r="M895" s="292"/>
      <c r="N895" s="292"/>
      <c r="O895" s="291"/>
      <c r="P895" s="291"/>
      <c r="Q895" s="291"/>
      <c r="R895" s="291"/>
      <c r="S895" s="291"/>
      <c r="T895" s="291"/>
      <c r="U895" s="291"/>
      <c r="V895" s="291"/>
      <c r="W895" s="291"/>
      <c r="X895" s="291"/>
      <c r="Y895" s="291"/>
      <c r="Z895" s="291"/>
      <c r="AA895" s="440"/>
      <c r="AB895" s="460"/>
      <c r="AC895" s="440"/>
      <c r="AD895" s="444"/>
      <c r="AF895" s="365"/>
      <c r="AJ895" s="468"/>
    </row>
    <row r="896" spans="1:49" ht="56.25" customHeight="1" x14ac:dyDescent="0.25">
      <c r="A896" s="1041" t="s">
        <v>969</v>
      </c>
      <c r="B896" s="439" t="s">
        <v>559</v>
      </c>
      <c r="C896" s="439"/>
      <c r="D896" s="499"/>
      <c r="E896" s="441" t="s">
        <v>488</v>
      </c>
      <c r="F896" s="442" t="s">
        <v>837</v>
      </c>
      <c r="G896" s="439" t="s">
        <v>489</v>
      </c>
      <c r="H896" s="441" t="s">
        <v>1170</v>
      </c>
      <c r="I896" s="442" t="s">
        <v>838</v>
      </c>
      <c r="J896" s="280" t="s">
        <v>1171</v>
      </c>
      <c r="K896" s="280" t="s">
        <v>490</v>
      </c>
      <c r="L896" s="281" t="s">
        <v>489</v>
      </c>
      <c r="M896" s="280" t="s">
        <v>1172</v>
      </c>
      <c r="N896" s="442" t="s">
        <v>838</v>
      </c>
      <c r="O896" s="280" t="s">
        <v>1171</v>
      </c>
      <c r="P896" s="280" t="s">
        <v>826</v>
      </c>
      <c r="Q896" s="280" t="s">
        <v>1173</v>
      </c>
      <c r="R896" s="280" t="s">
        <v>1174</v>
      </c>
      <c r="S896" s="280" t="s">
        <v>839</v>
      </c>
      <c r="T896" s="280" t="s">
        <v>1171</v>
      </c>
      <c r="U896" s="280" t="s">
        <v>1392</v>
      </c>
      <c r="V896" s="280" t="s">
        <v>841</v>
      </c>
      <c r="W896" s="282" t="s">
        <v>1173</v>
      </c>
      <c r="X896" s="280" t="s">
        <v>1394</v>
      </c>
      <c r="Y896" s="280" t="s">
        <v>839</v>
      </c>
      <c r="Z896" s="283"/>
      <c r="AA896" s="440"/>
      <c r="AB896" s="460"/>
      <c r="AC896" s="440"/>
      <c r="AD896" s="444"/>
      <c r="AQ896" s="449"/>
      <c r="AR896" s="449"/>
      <c r="AS896" s="449"/>
    </row>
    <row r="897" spans="1:49" ht="12" customHeight="1" x14ac:dyDescent="0.25">
      <c r="A897" s="1041"/>
      <c r="B897" s="450" t="s">
        <v>1175</v>
      </c>
      <c r="C897" s="439">
        <f>C904</f>
        <v>247.19983995862071</v>
      </c>
      <c r="D897" s="489">
        <f>C897*$D$7</f>
        <v>49.93436767164139</v>
      </c>
      <c r="E897" s="452" t="s">
        <v>1176</v>
      </c>
      <c r="F897" s="453"/>
      <c r="G897" s="454"/>
      <c r="H897" s="454"/>
      <c r="I897" s="455">
        <f>SUM(I898:I905)</f>
        <v>61.477000000000004</v>
      </c>
      <c r="J897" s="290" t="s">
        <v>1176</v>
      </c>
      <c r="K897" s="357"/>
      <c r="L897" s="291"/>
      <c r="M897" s="291"/>
      <c r="N897" s="292">
        <f>SUM(N898:N905)</f>
        <v>4.4213899999999997</v>
      </c>
      <c r="O897" s="291" t="s">
        <v>1176</v>
      </c>
      <c r="P897" s="291"/>
      <c r="Q897" s="293"/>
      <c r="R897" s="294"/>
      <c r="S897" s="292">
        <f>SUM(S898:S905)</f>
        <v>9.9028000000000009</v>
      </c>
      <c r="T897" s="292"/>
      <c r="U897" s="292"/>
      <c r="V897" s="292"/>
      <c r="W897" s="292"/>
      <c r="X897" s="292"/>
      <c r="Y897" s="292">
        <f>SUM(Y898:Y905)</f>
        <v>9.1999999999999998E-3</v>
      </c>
      <c r="Z897" s="296">
        <f>(C897+D897+I897+N897+S897+Y897)*$Z$7</f>
        <v>484.89797593316825</v>
      </c>
      <c r="AA897" s="459">
        <f>C897+D897+I897+N897+S897+Y897+Z897</f>
        <v>857.84257356343039</v>
      </c>
      <c r="AB897" s="460">
        <v>0.3</v>
      </c>
      <c r="AC897" s="461">
        <f>AA897*(1+AB897)</f>
        <v>1115.1953456324595</v>
      </c>
      <c r="AD897" s="448"/>
      <c r="AI897" s="449"/>
      <c r="AJ897" s="462"/>
      <c r="AK897" s="463"/>
      <c r="AM897" s="464"/>
      <c r="AN897" s="143"/>
      <c r="AO897" s="464"/>
      <c r="AP897" s="449"/>
      <c r="AQ897" s="449"/>
      <c r="AR897" s="449"/>
      <c r="AS897" s="449"/>
      <c r="AT897" s="449"/>
      <c r="AU897" s="464"/>
      <c r="AV897" s="464"/>
      <c r="AW897" s="465"/>
    </row>
    <row r="898" spans="1:49" ht="12.75" customHeight="1" x14ac:dyDescent="0.25">
      <c r="A898" s="1041"/>
      <c r="B898" s="466" t="s">
        <v>830</v>
      </c>
      <c r="C898" s="439"/>
      <c r="D898" s="451"/>
      <c r="E898" s="300" t="s">
        <v>1437</v>
      </c>
      <c r="F898" s="301" t="s">
        <v>1438</v>
      </c>
      <c r="G898" s="302">
        <v>0.74</v>
      </c>
      <c r="H898" s="301">
        <v>0.1</v>
      </c>
      <c r="I898" s="303">
        <f t="shared" ref="I898:I905" si="83">G898*H898</f>
        <v>7.3999999999999996E-2</v>
      </c>
      <c r="J898" s="290" t="s">
        <v>1291</v>
      </c>
      <c r="K898" s="304">
        <v>2</v>
      </c>
      <c r="L898" s="305">
        <v>750</v>
      </c>
      <c r="M898" s="304">
        <v>2</v>
      </c>
      <c r="N898" s="292">
        <v>1.1745000000000001</v>
      </c>
      <c r="O898" s="467" t="s">
        <v>1578</v>
      </c>
      <c r="P898" s="291">
        <v>188900</v>
      </c>
      <c r="Q898" s="372">
        <v>0.19670000000000001</v>
      </c>
      <c r="R898" s="291">
        <f>P898*Q898</f>
        <v>37156.630000000005</v>
      </c>
      <c r="S898" s="291">
        <v>8.1902000000000008</v>
      </c>
      <c r="T898" s="458" t="s">
        <v>1435</v>
      </c>
      <c r="U898" s="456">
        <v>6785401.3499999996</v>
      </c>
      <c r="V898" s="457">
        <v>1.32E-2</v>
      </c>
      <c r="W898" s="458">
        <v>1508.3</v>
      </c>
      <c r="X898" s="292">
        <v>59.38</v>
      </c>
      <c r="Y898" s="291">
        <v>9.1999999999999998E-3</v>
      </c>
      <c r="Z898" s="291"/>
      <c r="AA898" s="440"/>
      <c r="AB898" s="460"/>
      <c r="AC898" s="440"/>
      <c r="AD898" s="444"/>
      <c r="AF898" s="365"/>
      <c r="AJ898" s="468"/>
      <c r="AT898" s="449"/>
    </row>
    <row r="899" spans="1:49" x14ac:dyDescent="0.25">
      <c r="A899" s="1041"/>
      <c r="B899" s="469" t="s">
        <v>1178</v>
      </c>
      <c r="C899" s="491">
        <f>C888</f>
        <v>43.888814515309463</v>
      </c>
      <c r="D899" s="451"/>
      <c r="E899" s="300" t="s">
        <v>1439</v>
      </c>
      <c r="F899" s="301" t="s">
        <v>1438</v>
      </c>
      <c r="G899" s="302">
        <v>0.27</v>
      </c>
      <c r="H899" s="301">
        <v>0.1</v>
      </c>
      <c r="I899" s="303">
        <f t="shared" si="83"/>
        <v>2.7000000000000003E-2</v>
      </c>
      <c r="J899" s="290" t="s">
        <v>1445</v>
      </c>
      <c r="K899" s="292">
        <v>2</v>
      </c>
      <c r="L899" s="311">
        <v>95</v>
      </c>
      <c r="M899" s="304">
        <v>2</v>
      </c>
      <c r="N899" s="292">
        <v>3.1146400000000001</v>
      </c>
      <c r="O899" s="291" t="s">
        <v>1580</v>
      </c>
      <c r="P899" s="291">
        <v>39500</v>
      </c>
      <c r="Q899" s="372">
        <v>0.19670000000000001</v>
      </c>
      <c r="R899" s="291">
        <f>P899*Q899</f>
        <v>7769.6500000000005</v>
      </c>
      <c r="S899" s="291">
        <v>1.7125999999999999</v>
      </c>
      <c r="T899" s="291"/>
      <c r="U899" s="291"/>
      <c r="V899" s="291"/>
      <c r="W899" s="372"/>
      <c r="X899" s="291"/>
      <c r="Y899" s="291"/>
      <c r="Z899" s="291"/>
      <c r="AA899" s="440"/>
      <c r="AB899" s="460"/>
      <c r="AC899" s="440"/>
      <c r="AD899" s="444"/>
      <c r="AF899" s="365"/>
      <c r="AJ899" s="468"/>
      <c r="AM899" s="465"/>
    </row>
    <row r="900" spans="1:49" ht="12.75" customHeight="1" x14ac:dyDescent="0.25">
      <c r="A900" s="1041"/>
      <c r="B900" s="452" t="s">
        <v>1179</v>
      </c>
      <c r="C900" s="487">
        <f>C889</f>
        <v>19.495759833054819</v>
      </c>
      <c r="D900" s="451"/>
      <c r="E900" s="300" t="s">
        <v>1440</v>
      </c>
      <c r="F900" s="301" t="s">
        <v>1441</v>
      </c>
      <c r="G900" s="302">
        <v>5.92</v>
      </c>
      <c r="H900" s="471">
        <v>1</v>
      </c>
      <c r="I900" s="303">
        <f t="shared" si="83"/>
        <v>5.92</v>
      </c>
      <c r="J900" s="290" t="s">
        <v>1513</v>
      </c>
      <c r="K900" s="292">
        <v>2</v>
      </c>
      <c r="L900" s="292">
        <v>25</v>
      </c>
      <c r="M900" s="304">
        <v>0.5</v>
      </c>
      <c r="N900" s="292">
        <v>0.13225000000000001</v>
      </c>
      <c r="O900" s="291"/>
      <c r="P900" s="291"/>
      <c r="Q900" s="372"/>
      <c r="R900" s="291"/>
      <c r="S900" s="291"/>
      <c r="T900" s="291"/>
      <c r="U900" s="291"/>
      <c r="V900" s="291"/>
      <c r="W900" s="372"/>
      <c r="X900" s="291"/>
      <c r="Y900" s="291"/>
      <c r="Z900" s="291"/>
      <c r="AA900" s="440"/>
      <c r="AB900" s="460"/>
      <c r="AC900" s="440"/>
      <c r="AD900" s="444"/>
      <c r="AF900" s="365"/>
      <c r="AJ900" s="468"/>
    </row>
    <row r="901" spans="1:49" ht="12.75" customHeight="1" x14ac:dyDescent="0.25">
      <c r="A901" s="1041"/>
      <c r="B901" s="452" t="s">
        <v>831</v>
      </c>
      <c r="C901" s="492"/>
      <c r="D901" s="451"/>
      <c r="E901" s="300" t="s">
        <v>1442</v>
      </c>
      <c r="F901" s="301" t="s">
        <v>1443</v>
      </c>
      <c r="G901" s="302">
        <v>419.5</v>
      </c>
      <c r="H901" s="301">
        <v>0.01</v>
      </c>
      <c r="I901" s="303">
        <f t="shared" si="83"/>
        <v>4.1950000000000003</v>
      </c>
      <c r="J901" s="290"/>
      <c r="K901" s="374"/>
      <c r="L901" s="292"/>
      <c r="M901" s="292"/>
      <c r="N901" s="292"/>
      <c r="O901" s="291"/>
      <c r="P901" s="291"/>
      <c r="Q901" s="291"/>
      <c r="R901" s="291"/>
      <c r="S901" s="291"/>
      <c r="T901" s="291"/>
      <c r="U901" s="291"/>
      <c r="V901" s="291"/>
      <c r="W901" s="291"/>
      <c r="X901" s="291"/>
      <c r="Y901" s="291"/>
      <c r="Z901" s="291"/>
      <c r="AA901" s="440"/>
      <c r="AB901" s="460"/>
      <c r="AC901" s="440"/>
      <c r="AD901" s="444"/>
      <c r="AF901" s="365"/>
      <c r="AJ901" s="468"/>
    </row>
    <row r="902" spans="1:49" ht="12.75" customHeight="1" x14ac:dyDescent="0.25">
      <c r="A902" s="1041"/>
      <c r="B902" s="469" t="s">
        <v>1178</v>
      </c>
      <c r="C902" s="493">
        <v>3.9</v>
      </c>
      <c r="D902" s="451"/>
      <c r="E902" s="300" t="s">
        <v>1444</v>
      </c>
      <c r="F902" s="301" t="s">
        <v>1443</v>
      </c>
      <c r="G902" s="302">
        <v>872</v>
      </c>
      <c r="H902" s="301">
        <v>5.0000000000000001E-3</v>
      </c>
      <c r="I902" s="303">
        <f t="shared" si="83"/>
        <v>4.3600000000000003</v>
      </c>
      <c r="J902" s="290"/>
      <c r="K902" s="374"/>
      <c r="L902" s="292"/>
      <c r="M902" s="292"/>
      <c r="N902" s="292"/>
      <c r="O902" s="291"/>
      <c r="P902" s="291"/>
      <c r="Q902" s="291"/>
      <c r="R902" s="291"/>
      <c r="S902" s="291"/>
      <c r="T902" s="291"/>
      <c r="U902" s="291"/>
      <c r="V902" s="291"/>
      <c r="W902" s="291"/>
      <c r="X902" s="291"/>
      <c r="Y902" s="291"/>
      <c r="Z902" s="291"/>
      <c r="AA902" s="440"/>
      <c r="AB902" s="460"/>
      <c r="AC902" s="440"/>
      <c r="AD902" s="444"/>
      <c r="AF902" s="365"/>
      <c r="AJ902" s="472"/>
    </row>
    <row r="903" spans="1:49" ht="12.75" customHeight="1" x14ac:dyDescent="0.25">
      <c r="A903" s="1041"/>
      <c r="B903" s="452" t="s">
        <v>1179</v>
      </c>
      <c r="C903" s="493">
        <v>3.9</v>
      </c>
      <c r="D903" s="451"/>
      <c r="E903" s="559" t="s">
        <v>582</v>
      </c>
      <c r="F903" s="560" t="s">
        <v>1438</v>
      </c>
      <c r="G903" s="543">
        <v>149.77000000000001</v>
      </c>
      <c r="H903" s="542">
        <v>0.3</v>
      </c>
      <c r="I903" s="544">
        <f t="shared" si="83"/>
        <v>44.931000000000004</v>
      </c>
      <c r="J903" s="290"/>
      <c r="K903" s="374"/>
      <c r="L903" s="305"/>
      <c r="M903" s="304"/>
      <c r="N903" s="292"/>
      <c r="O903" s="291"/>
      <c r="P903" s="291"/>
      <c r="Q903" s="291"/>
      <c r="R903" s="291"/>
      <c r="S903" s="291"/>
      <c r="T903" s="291"/>
      <c r="U903" s="291"/>
      <c r="V903" s="291"/>
      <c r="W903" s="291"/>
      <c r="X903" s="291"/>
      <c r="Y903" s="291"/>
      <c r="Z903" s="291"/>
      <c r="AA903" s="440"/>
      <c r="AB903" s="460"/>
      <c r="AC903" s="440"/>
      <c r="AD903" s="444"/>
      <c r="AF903" s="365"/>
      <c r="AJ903" s="472"/>
    </row>
    <row r="904" spans="1:49" ht="12.75" customHeight="1" x14ac:dyDescent="0.25">
      <c r="A904" s="1041"/>
      <c r="B904" s="474" t="s">
        <v>1181</v>
      </c>
      <c r="C904" s="487">
        <f>C899*C902+C900*C903</f>
        <v>247.19983995862071</v>
      </c>
      <c r="D904" s="451"/>
      <c r="E904" s="559" t="s">
        <v>18</v>
      </c>
      <c r="F904" s="560" t="s">
        <v>1438</v>
      </c>
      <c r="G904" s="543">
        <v>0.94</v>
      </c>
      <c r="H904" s="542">
        <v>0.5</v>
      </c>
      <c r="I904" s="544">
        <f t="shared" si="83"/>
        <v>0.47</v>
      </c>
      <c r="J904" s="290"/>
      <c r="K904" s="374"/>
      <c r="L904" s="292"/>
      <c r="M904" s="292"/>
      <c r="N904" s="292"/>
      <c r="O904" s="291"/>
      <c r="P904" s="291"/>
      <c r="Q904" s="291"/>
      <c r="R904" s="291"/>
      <c r="S904" s="291"/>
      <c r="T904" s="291"/>
      <c r="U904" s="291"/>
      <c r="V904" s="291"/>
      <c r="W904" s="291"/>
      <c r="X904" s="291"/>
      <c r="Y904" s="291"/>
      <c r="Z904" s="291"/>
      <c r="AA904" s="440"/>
      <c r="AB904" s="460"/>
      <c r="AC904" s="440"/>
      <c r="AD904" s="444"/>
      <c r="AF904" s="365"/>
      <c r="AJ904" s="468"/>
    </row>
    <row r="905" spans="1:49" ht="12.75" customHeight="1" x14ac:dyDescent="0.25">
      <c r="A905" s="1041"/>
      <c r="B905" s="474"/>
      <c r="C905" s="487"/>
      <c r="D905" s="475"/>
      <c r="E905" s="559" t="s">
        <v>13</v>
      </c>
      <c r="F905" s="560" t="s">
        <v>1441</v>
      </c>
      <c r="G905" s="543">
        <v>1.5</v>
      </c>
      <c r="H905" s="542">
        <v>1</v>
      </c>
      <c r="I905" s="544">
        <f t="shared" si="83"/>
        <v>1.5</v>
      </c>
      <c r="J905" s="290"/>
      <c r="K905" s="374"/>
      <c r="L905" s="292"/>
      <c r="M905" s="292"/>
      <c r="N905" s="292"/>
      <c r="O905" s="291"/>
      <c r="P905" s="291"/>
      <c r="Q905" s="291"/>
      <c r="R905" s="291"/>
      <c r="S905" s="291"/>
      <c r="T905" s="291"/>
      <c r="U905" s="291"/>
      <c r="V905" s="291"/>
      <c r="W905" s="291"/>
      <c r="X905" s="291"/>
      <c r="Y905" s="291"/>
      <c r="Z905" s="291"/>
      <c r="AA905" s="440"/>
      <c r="AB905" s="460"/>
      <c r="AC905" s="440"/>
      <c r="AD905" s="444"/>
      <c r="AF905" s="365"/>
      <c r="AJ905" s="468"/>
    </row>
    <row r="906" spans="1:49" ht="56.25" customHeight="1" x14ac:dyDescent="0.25">
      <c r="A906" s="1148" t="s">
        <v>2092</v>
      </c>
      <c r="B906" s="439" t="s">
        <v>2093</v>
      </c>
      <c r="C906" s="439"/>
      <c r="D906" s="499"/>
      <c r="E906" s="441" t="s">
        <v>488</v>
      </c>
      <c r="F906" s="442" t="s">
        <v>837</v>
      </c>
      <c r="G906" s="439" t="s">
        <v>489</v>
      </c>
      <c r="H906" s="441" t="s">
        <v>1170</v>
      </c>
      <c r="I906" s="442" t="s">
        <v>838</v>
      </c>
      <c r="J906" s="280" t="s">
        <v>1171</v>
      </c>
      <c r="K906" s="280" t="s">
        <v>490</v>
      </c>
      <c r="L906" s="281" t="s">
        <v>489</v>
      </c>
      <c r="M906" s="280" t="s">
        <v>1172</v>
      </c>
      <c r="N906" s="442" t="s">
        <v>838</v>
      </c>
      <c r="O906" s="280" t="s">
        <v>1171</v>
      </c>
      <c r="P906" s="280" t="s">
        <v>826</v>
      </c>
      <c r="Q906" s="280" t="s">
        <v>1173</v>
      </c>
      <c r="R906" s="280" t="s">
        <v>1174</v>
      </c>
      <c r="S906" s="280" t="s">
        <v>839</v>
      </c>
      <c r="T906" s="280" t="s">
        <v>1171</v>
      </c>
      <c r="U906" s="280" t="s">
        <v>1392</v>
      </c>
      <c r="V906" s="280" t="s">
        <v>841</v>
      </c>
      <c r="W906" s="282" t="s">
        <v>1173</v>
      </c>
      <c r="X906" s="280" t="s">
        <v>1394</v>
      </c>
      <c r="Y906" s="280" t="s">
        <v>839</v>
      </c>
      <c r="Z906" s="283"/>
      <c r="AA906" s="440"/>
      <c r="AB906" s="460"/>
      <c r="AC906" s="440"/>
      <c r="AD906" s="444"/>
      <c r="AQ906" s="449"/>
      <c r="AR906" s="449"/>
      <c r="AS906" s="449"/>
    </row>
    <row r="907" spans="1:49" ht="12" customHeight="1" x14ac:dyDescent="0.25">
      <c r="A907" s="1148"/>
      <c r="B907" s="450" t="s">
        <v>1175</v>
      </c>
      <c r="C907" s="439">
        <f>C914</f>
        <v>6.3384574348364282</v>
      </c>
      <c r="D907" s="489">
        <f>C907*$D$7</f>
        <v>1.2803684018369585</v>
      </c>
      <c r="E907" s="452" t="s">
        <v>1176</v>
      </c>
      <c r="F907" s="453"/>
      <c r="G907" s="454"/>
      <c r="H907" s="454"/>
      <c r="I907" s="455">
        <f>SUM(I908:I915)</f>
        <v>0</v>
      </c>
      <c r="J907" s="290" t="s">
        <v>1176</v>
      </c>
      <c r="K907" s="357"/>
      <c r="L907" s="291"/>
      <c r="M907" s="291"/>
      <c r="N907" s="292">
        <f>SUM(N908:N915)</f>
        <v>2.4405961139812228E-2</v>
      </c>
      <c r="O907" s="291" t="s">
        <v>1176</v>
      </c>
      <c r="P907" s="291"/>
      <c r="Q907" s="293"/>
      <c r="R907" s="294"/>
      <c r="S907" s="292">
        <f>SUM(S908:S915)</f>
        <v>0.50181649603493061</v>
      </c>
      <c r="T907" s="292"/>
      <c r="U907" s="292"/>
      <c r="V907" s="292"/>
      <c r="W907" s="292"/>
      <c r="X907" s="292"/>
      <c r="Y907" s="292">
        <f>SUM(Y908:Y915)</f>
        <v>1.0307632433223615</v>
      </c>
      <c r="Z907" s="296">
        <f>(C907+D907+I907+N907+S907+Y907)*$Z$7</f>
        <v>11.930277232033427</v>
      </c>
      <c r="AA907" s="459">
        <f>C907+D907+I907+N907+S907+Y907+Z907</f>
        <v>21.106088769203918</v>
      </c>
      <c r="AB907" s="460">
        <v>0.3</v>
      </c>
      <c r="AC907" s="461">
        <f>AA907*(1+AB907)</f>
        <v>27.437915399965096</v>
      </c>
      <c r="AD907" s="448"/>
      <c r="AI907" s="449"/>
      <c r="AJ907" s="462"/>
      <c r="AK907" s="463"/>
      <c r="AM907" s="464"/>
      <c r="AN907" s="143"/>
      <c r="AO907" s="464"/>
      <c r="AP907" s="449"/>
      <c r="AQ907" s="449"/>
      <c r="AR907" s="449"/>
      <c r="AS907" s="449"/>
      <c r="AT907" s="449"/>
      <c r="AU907" s="464"/>
      <c r="AV907" s="464"/>
      <c r="AW907" s="465"/>
    </row>
    <row r="908" spans="1:49" ht="12.75" customHeight="1" x14ac:dyDescent="0.25">
      <c r="A908" s="1148"/>
      <c r="B908" s="466" t="s">
        <v>830</v>
      </c>
      <c r="C908" s="439"/>
      <c r="D908" s="451"/>
      <c r="E908" s="300" t="s">
        <v>2094</v>
      </c>
      <c r="F908" s="301" t="s">
        <v>1441</v>
      </c>
      <c r="G908" s="302"/>
      <c r="H908" s="301">
        <v>7.0000000000000007E-2</v>
      </c>
      <c r="I908" s="303">
        <f t="shared" ref="I908:I915" si="84">G908*H908</f>
        <v>0</v>
      </c>
      <c r="J908" s="290" t="s">
        <v>1291</v>
      </c>
      <c r="K908" s="304">
        <v>2</v>
      </c>
      <c r="L908" s="305">
        <v>1995</v>
      </c>
      <c r="M908" s="304">
        <v>1</v>
      </c>
      <c r="N908" s="292">
        <f>L908/'Исп. коэффициенты'!E28*'КМУ стом.'!C912</f>
        <v>2.2283703649393773E-2</v>
      </c>
      <c r="O908" s="467" t="s">
        <v>1578</v>
      </c>
      <c r="P908" s="291">
        <v>188900</v>
      </c>
      <c r="Q908" s="372">
        <v>0.19670000000000001</v>
      </c>
      <c r="R908" s="291">
        <f>P908*Q908</f>
        <v>37156.630000000005</v>
      </c>
      <c r="S908" s="291">
        <f>R908/'Исп. коэффициенты'!E28*'КМУ стом.'!C912</f>
        <v>0.41503124387477403</v>
      </c>
      <c r="T908" s="458" t="s">
        <v>1435</v>
      </c>
      <c r="U908" s="456">
        <v>6785401.3499999996</v>
      </c>
      <c r="V908" s="738">
        <v>2978.5</v>
      </c>
      <c r="W908" s="457">
        <v>1.3599999999999999E-2</v>
      </c>
      <c r="X908" s="292">
        <f>U908*W908</f>
        <v>92281.45835999999</v>
      </c>
      <c r="Y908" s="291">
        <f>X908/'Исп. коэффициенты'!E28*'КМУ стом.'!C912</f>
        <v>1.0307632433223615</v>
      </c>
      <c r="Z908" s="291"/>
      <c r="AA908" s="440"/>
      <c r="AB908" s="460"/>
      <c r="AC908" s="440"/>
      <c r="AD908" s="444"/>
      <c r="AF908" s="365"/>
      <c r="AJ908" s="468"/>
      <c r="AT908" s="449"/>
    </row>
    <row r="909" spans="1:49" x14ac:dyDescent="0.25">
      <c r="A909" s="1148"/>
      <c r="B909" s="469" t="s">
        <v>1178</v>
      </c>
      <c r="C909" s="491">
        <f>C2</f>
        <v>43.888814515309463</v>
      </c>
      <c r="D909" s="451"/>
      <c r="E909" s="300" t="s">
        <v>2095</v>
      </c>
      <c r="F909" s="301" t="s">
        <v>1441</v>
      </c>
      <c r="G909" s="302"/>
      <c r="H909" s="301">
        <v>7.0000000000000007E-2</v>
      </c>
      <c r="I909" s="303">
        <f t="shared" si="84"/>
        <v>0</v>
      </c>
      <c r="J909" s="290" t="s">
        <v>1445</v>
      </c>
      <c r="K909" s="292">
        <v>2</v>
      </c>
      <c r="L909" s="311">
        <v>190</v>
      </c>
      <c r="M909" s="304">
        <v>1</v>
      </c>
      <c r="N909" s="292">
        <f>L909/'Исп. коэффициенты'!E28*'КМУ стом.'!C912</f>
        <v>2.1222574904184543E-3</v>
      </c>
      <c r="O909" s="291" t="s">
        <v>1580</v>
      </c>
      <c r="P909" s="291">
        <v>39500</v>
      </c>
      <c r="Q909" s="372">
        <v>0.19670000000000001</v>
      </c>
      <c r="R909" s="291">
        <f>P909*Q909</f>
        <v>7769.6500000000005</v>
      </c>
      <c r="S909" s="291">
        <f>R909/'Исп. коэффициенты'!E28*'КМУ стом.'!C912</f>
        <v>8.6785252160156562E-2</v>
      </c>
      <c r="T909" s="291"/>
      <c r="U909" s="291"/>
      <c r="V909" s="291"/>
      <c r="W909" s="372"/>
      <c r="X909" s="291"/>
      <c r="Y909" s="291"/>
      <c r="Z909" s="291"/>
      <c r="AA909" s="440"/>
      <c r="AB909" s="460"/>
      <c r="AC909" s="440"/>
      <c r="AD909" s="444"/>
      <c r="AF909" s="365"/>
      <c r="AJ909" s="468"/>
      <c r="AM909" s="465"/>
    </row>
    <row r="910" spans="1:49" ht="12.75" customHeight="1" x14ac:dyDescent="0.25">
      <c r="A910" s="1148"/>
      <c r="B910" s="452" t="s">
        <v>1179</v>
      </c>
      <c r="C910" s="487">
        <f>C3</f>
        <v>19.495759833054819</v>
      </c>
      <c r="D910" s="451"/>
      <c r="E910" s="300" t="s">
        <v>2096</v>
      </c>
      <c r="F910" s="301" t="s">
        <v>2097</v>
      </c>
      <c r="G910" s="302"/>
      <c r="H910" s="471">
        <v>0.5</v>
      </c>
      <c r="I910" s="303">
        <f t="shared" si="84"/>
        <v>0</v>
      </c>
      <c r="J910" s="290"/>
      <c r="K910" s="292"/>
      <c r="L910" s="292"/>
      <c r="M910" s="304"/>
      <c r="N910" s="292"/>
      <c r="O910" s="291"/>
      <c r="P910" s="291"/>
      <c r="Q910" s="372"/>
      <c r="R910" s="291"/>
      <c r="S910" s="291"/>
      <c r="T910" s="291"/>
      <c r="U910" s="291"/>
      <c r="V910" s="291"/>
      <c r="W910" s="372"/>
      <c r="X910" s="291"/>
      <c r="Y910" s="291"/>
      <c r="Z910" s="291"/>
      <c r="AA910" s="440"/>
      <c r="AB910" s="460"/>
      <c r="AC910" s="440"/>
      <c r="AD910" s="444"/>
      <c r="AF910" s="365"/>
      <c r="AJ910" s="468"/>
    </row>
    <row r="911" spans="1:49" ht="12.75" customHeight="1" x14ac:dyDescent="0.25">
      <c r="A911" s="1148"/>
      <c r="B911" s="452" t="s">
        <v>831</v>
      </c>
      <c r="C911" s="492"/>
      <c r="D911" s="451"/>
      <c r="E911" s="300"/>
      <c r="F911" s="301"/>
      <c r="G911" s="302"/>
      <c r="H911" s="301"/>
      <c r="I911" s="303">
        <f t="shared" si="84"/>
        <v>0</v>
      </c>
      <c r="J911" s="290"/>
      <c r="K911" s="374"/>
      <c r="L911" s="292"/>
      <c r="M911" s="292"/>
      <c r="N911" s="292"/>
      <c r="O911" s="291"/>
      <c r="P911" s="291"/>
      <c r="Q911" s="291"/>
      <c r="R911" s="291"/>
      <c r="S911" s="291"/>
      <c r="T911" s="291"/>
      <c r="U911" s="291"/>
      <c r="V911" s="291"/>
      <c r="W911" s="291"/>
      <c r="X911" s="291"/>
      <c r="Y911" s="291"/>
      <c r="Z911" s="291"/>
      <c r="AA911" s="440"/>
      <c r="AB911" s="460"/>
      <c r="AC911" s="440"/>
      <c r="AD911" s="444"/>
      <c r="AF911" s="365"/>
      <c r="AJ911" s="468"/>
    </row>
    <row r="912" spans="1:49" ht="12.75" customHeight="1" x14ac:dyDescent="0.25">
      <c r="A912" s="1148"/>
      <c r="B912" s="469" t="s">
        <v>1178</v>
      </c>
      <c r="C912" s="493">
        <v>0.1</v>
      </c>
      <c r="D912" s="451"/>
      <c r="E912" s="300"/>
      <c r="F912" s="301"/>
      <c r="G912" s="302"/>
      <c r="H912" s="301"/>
      <c r="I912" s="303">
        <f t="shared" si="84"/>
        <v>0</v>
      </c>
      <c r="J912" s="290"/>
      <c r="K912" s="374"/>
      <c r="L912" s="292"/>
      <c r="M912" s="292"/>
      <c r="N912" s="292"/>
      <c r="O912" s="291"/>
      <c r="P912" s="291"/>
      <c r="Q912" s="291"/>
      <c r="R912" s="291"/>
      <c r="S912" s="291"/>
      <c r="T912" s="291"/>
      <c r="U912" s="291"/>
      <c r="V912" s="291"/>
      <c r="W912" s="291"/>
      <c r="X912" s="291"/>
      <c r="Y912" s="291"/>
      <c r="Z912" s="291"/>
      <c r="AA912" s="440"/>
      <c r="AB912" s="460"/>
      <c r="AC912" s="440"/>
      <c r="AD912" s="444"/>
      <c r="AF912" s="365"/>
      <c r="AJ912" s="472"/>
    </row>
    <row r="913" spans="1:49" ht="12.75" customHeight="1" x14ac:dyDescent="0.25">
      <c r="A913" s="1148"/>
      <c r="B913" s="452" t="s">
        <v>1179</v>
      </c>
      <c r="C913" s="493">
        <v>0.1</v>
      </c>
      <c r="D913" s="451"/>
      <c r="E913" s="559"/>
      <c r="F913" s="560"/>
      <c r="G913" s="543"/>
      <c r="H913" s="542"/>
      <c r="I913" s="544">
        <f t="shared" si="84"/>
        <v>0</v>
      </c>
      <c r="J913" s="290"/>
      <c r="K913" s="374"/>
      <c r="L913" s="305"/>
      <c r="M913" s="304"/>
      <c r="N913" s="292"/>
      <c r="O913" s="291"/>
      <c r="P913" s="291"/>
      <c r="Q913" s="291"/>
      <c r="R913" s="291"/>
      <c r="S913" s="291"/>
      <c r="T913" s="291"/>
      <c r="U913" s="291"/>
      <c r="V913" s="291"/>
      <c r="W913" s="291"/>
      <c r="X913" s="291"/>
      <c r="Y913" s="291"/>
      <c r="Z913" s="291"/>
      <c r="AA913" s="440"/>
      <c r="AB913" s="460"/>
      <c r="AC913" s="440"/>
      <c r="AD913" s="444"/>
      <c r="AF913" s="365"/>
      <c r="AJ913" s="472"/>
    </row>
    <row r="914" spans="1:49" ht="12.75" customHeight="1" x14ac:dyDescent="0.25">
      <c r="A914" s="1148"/>
      <c r="B914" s="474" t="s">
        <v>1181</v>
      </c>
      <c r="C914" s="487">
        <f>C909*C912+C910*C913</f>
        <v>6.3384574348364282</v>
      </c>
      <c r="D914" s="451"/>
      <c r="E914" s="559"/>
      <c r="F914" s="560"/>
      <c r="G914" s="543"/>
      <c r="H914" s="542"/>
      <c r="I914" s="544">
        <f t="shared" si="84"/>
        <v>0</v>
      </c>
      <c r="J914" s="290"/>
      <c r="K914" s="374"/>
      <c r="L914" s="292"/>
      <c r="M914" s="292"/>
      <c r="N914" s="292"/>
      <c r="O914" s="291"/>
      <c r="P914" s="291"/>
      <c r="Q914" s="291"/>
      <c r="R914" s="291"/>
      <c r="S914" s="291"/>
      <c r="T914" s="291"/>
      <c r="U914" s="291"/>
      <c r="V914" s="291"/>
      <c r="W914" s="291"/>
      <c r="X914" s="291"/>
      <c r="Y914" s="291"/>
      <c r="Z914" s="291"/>
      <c r="AA914" s="440"/>
      <c r="AB914" s="460"/>
      <c r="AC914" s="440"/>
      <c r="AD914" s="444"/>
      <c r="AF914" s="365"/>
      <c r="AJ914" s="468"/>
    </row>
    <row r="915" spans="1:49" ht="12.75" customHeight="1" x14ac:dyDescent="0.25">
      <c r="A915" s="1148"/>
      <c r="B915" s="474"/>
      <c r="C915" s="487"/>
      <c r="D915" s="475"/>
      <c r="E915" s="559"/>
      <c r="F915" s="560"/>
      <c r="G915" s="543"/>
      <c r="H915" s="542"/>
      <c r="I915" s="544">
        <f t="shared" si="84"/>
        <v>0</v>
      </c>
      <c r="J915" s="290"/>
      <c r="K915" s="374"/>
      <c r="L915" s="292"/>
      <c r="M915" s="292"/>
      <c r="N915" s="292"/>
      <c r="O915" s="291"/>
      <c r="P915" s="291"/>
      <c r="Q915" s="291"/>
      <c r="R915" s="291"/>
      <c r="S915" s="291"/>
      <c r="T915" s="291"/>
      <c r="U915" s="291"/>
      <c r="V915" s="291"/>
      <c r="W915" s="291"/>
      <c r="X915" s="291"/>
      <c r="Y915" s="291"/>
      <c r="Z915" s="291"/>
      <c r="AA915" s="440"/>
      <c r="AB915" s="460"/>
      <c r="AC915" s="440"/>
      <c r="AD915" s="444"/>
      <c r="AF915" s="365"/>
      <c r="AJ915" s="468"/>
    </row>
    <row r="916" spans="1:49" ht="56.25" customHeight="1" x14ac:dyDescent="0.25">
      <c r="A916" s="1148" t="s">
        <v>2098</v>
      </c>
      <c r="B916" s="439" t="s">
        <v>2099</v>
      </c>
      <c r="C916" s="439"/>
      <c r="D916" s="499"/>
      <c r="E916" s="441" t="s">
        <v>488</v>
      </c>
      <c r="F916" s="442" t="s">
        <v>837</v>
      </c>
      <c r="G916" s="439" t="s">
        <v>489</v>
      </c>
      <c r="H916" s="441" t="s">
        <v>1170</v>
      </c>
      <c r="I916" s="442" t="s">
        <v>838</v>
      </c>
      <c r="J916" s="280" t="s">
        <v>1171</v>
      </c>
      <c r="K916" s="280" t="s">
        <v>490</v>
      </c>
      <c r="L916" s="281" t="s">
        <v>489</v>
      </c>
      <c r="M916" s="280" t="s">
        <v>1172</v>
      </c>
      <c r="N916" s="442" t="s">
        <v>838</v>
      </c>
      <c r="O916" s="280" t="s">
        <v>1171</v>
      </c>
      <c r="P916" s="280" t="s">
        <v>826</v>
      </c>
      <c r="Q916" s="280" t="s">
        <v>1173</v>
      </c>
      <c r="R916" s="280" t="s">
        <v>1174</v>
      </c>
      <c r="S916" s="280" t="s">
        <v>839</v>
      </c>
      <c r="T916" s="280" t="s">
        <v>1171</v>
      </c>
      <c r="U916" s="280" t="s">
        <v>1392</v>
      </c>
      <c r="V916" s="280" t="s">
        <v>841</v>
      </c>
      <c r="W916" s="282" t="s">
        <v>1173</v>
      </c>
      <c r="X916" s="280" t="s">
        <v>1394</v>
      </c>
      <c r="Y916" s="280" t="s">
        <v>839</v>
      </c>
      <c r="Z916" s="283"/>
      <c r="AA916" s="440"/>
      <c r="AB916" s="460"/>
      <c r="AC916" s="440"/>
      <c r="AD916" s="444"/>
      <c r="AQ916" s="449"/>
      <c r="AR916" s="449"/>
      <c r="AS916" s="449"/>
    </row>
    <row r="917" spans="1:49" ht="12" customHeight="1" x14ac:dyDescent="0.25">
      <c r="A917" s="1148"/>
      <c r="B917" s="450" t="s">
        <v>1175</v>
      </c>
      <c r="C917" s="439">
        <f>C924</f>
        <v>95.076861522546423</v>
      </c>
      <c r="D917" s="489">
        <f>C917*$D$7</f>
        <v>19.205526027554377</v>
      </c>
      <c r="E917" s="452" t="s">
        <v>1176</v>
      </c>
      <c r="F917" s="453"/>
      <c r="G917" s="454"/>
      <c r="H917" s="454"/>
      <c r="I917" s="455">
        <f>SUM(I918:I925)</f>
        <v>0</v>
      </c>
      <c r="J917" s="290" t="s">
        <v>1176</v>
      </c>
      <c r="K917" s="357"/>
      <c r="L917" s="291"/>
      <c r="M917" s="291"/>
      <c r="N917" s="292">
        <f>SUM(N918:N925)</f>
        <v>0.3660894170971834</v>
      </c>
      <c r="O917" s="291" t="s">
        <v>1176</v>
      </c>
      <c r="P917" s="291"/>
      <c r="Q917" s="293"/>
      <c r="R917" s="294"/>
      <c r="S917" s="292">
        <f>SUM(S918:S925)</f>
        <v>7.5272474405239578</v>
      </c>
      <c r="T917" s="292"/>
      <c r="U917" s="292"/>
      <c r="V917" s="292"/>
      <c r="W917" s="292"/>
      <c r="X917" s="292"/>
      <c r="Y917" s="292">
        <f>SUM(Y918:Y925)</f>
        <v>1.0307632433223615</v>
      </c>
      <c r="Z917" s="296">
        <f>(C917+D917+I917+N917+S917+Y917)*$Z$7</f>
        <v>160.19155891635987</v>
      </c>
      <c r="AA917" s="459">
        <f>C917+D917+I917+N917+S917+Y917+Z917</f>
        <v>283.39804656740415</v>
      </c>
      <c r="AB917" s="460">
        <v>0.3</v>
      </c>
      <c r="AC917" s="461">
        <f>AA917*(1+AB917)</f>
        <v>368.4174605376254</v>
      </c>
      <c r="AD917" s="448"/>
      <c r="AI917" s="449"/>
      <c r="AJ917" s="462"/>
      <c r="AK917" s="463"/>
      <c r="AM917" s="464"/>
      <c r="AN917" s="143"/>
      <c r="AO917" s="464"/>
      <c r="AP917" s="449"/>
      <c r="AQ917" s="449"/>
      <c r="AR917" s="449"/>
      <c r="AS917" s="449"/>
      <c r="AT917" s="449"/>
      <c r="AU917" s="464"/>
      <c r="AV917" s="464"/>
      <c r="AW917" s="465"/>
    </row>
    <row r="918" spans="1:49" ht="12.75" customHeight="1" x14ac:dyDescent="0.25">
      <c r="A918" s="1148"/>
      <c r="B918" s="466" t="s">
        <v>830</v>
      </c>
      <c r="C918" s="439"/>
      <c r="D918" s="451"/>
      <c r="E918" s="300" t="s">
        <v>2100</v>
      </c>
      <c r="F918" s="301" t="s">
        <v>1441</v>
      </c>
      <c r="G918" s="302"/>
      <c r="H918" s="301">
        <v>1</v>
      </c>
      <c r="I918" s="303">
        <f t="shared" ref="I918:I925" si="85">G918*H918</f>
        <v>0</v>
      </c>
      <c r="J918" s="290" t="s">
        <v>1291</v>
      </c>
      <c r="K918" s="304">
        <v>2</v>
      </c>
      <c r="L918" s="305">
        <v>1995</v>
      </c>
      <c r="M918" s="304">
        <v>1</v>
      </c>
      <c r="N918" s="292">
        <f>L918/'Исп. коэффициенты'!E28*'КМУ стом.'!C922</f>
        <v>0.33425555474090657</v>
      </c>
      <c r="O918" s="467" t="s">
        <v>1578</v>
      </c>
      <c r="P918" s="291">
        <v>188900</v>
      </c>
      <c r="Q918" s="372">
        <v>0.19670000000000001</v>
      </c>
      <c r="R918" s="291">
        <f>P918*Q918</f>
        <v>37156.630000000005</v>
      </c>
      <c r="S918" s="291">
        <f>R918/'Исп. коэффициенты'!E28*'КМУ стом.'!C922</f>
        <v>6.2254686581216099</v>
      </c>
      <c r="T918" s="458" t="s">
        <v>1435</v>
      </c>
      <c r="U918" s="456">
        <v>6785401.3499999996</v>
      </c>
      <c r="V918" s="738">
        <v>2978.5</v>
      </c>
      <c r="W918" s="457">
        <v>1.3599999999999999E-2</v>
      </c>
      <c r="X918" s="292">
        <f>U918*W918</f>
        <v>92281.45835999999</v>
      </c>
      <c r="Y918" s="291">
        <f>Y908</f>
        <v>1.0307632433223615</v>
      </c>
      <c r="Z918" s="291"/>
      <c r="AA918" s="440"/>
      <c r="AB918" s="460"/>
      <c r="AC918" s="440"/>
      <c r="AD918" s="444"/>
      <c r="AF918" s="365"/>
      <c r="AJ918" s="468"/>
      <c r="AT918" s="449"/>
    </row>
    <row r="919" spans="1:49" x14ac:dyDescent="0.25">
      <c r="A919" s="1148"/>
      <c r="B919" s="469" t="s">
        <v>1178</v>
      </c>
      <c r="C919" s="491">
        <f>C2</f>
        <v>43.888814515309463</v>
      </c>
      <c r="D919" s="451"/>
      <c r="E919" s="300" t="s">
        <v>2101</v>
      </c>
      <c r="F919" s="301" t="s">
        <v>1441</v>
      </c>
      <c r="G919" s="302"/>
      <c r="H919" s="301">
        <v>1</v>
      </c>
      <c r="I919" s="303">
        <f t="shared" si="85"/>
        <v>0</v>
      </c>
      <c r="J919" s="290" t="s">
        <v>1445</v>
      </c>
      <c r="K919" s="292">
        <v>2</v>
      </c>
      <c r="L919" s="311">
        <v>190</v>
      </c>
      <c r="M919" s="304">
        <v>1</v>
      </c>
      <c r="N919" s="292">
        <f>L919/'Исп. коэффициенты'!E28*'КМУ стом.'!C922</f>
        <v>3.1833862356276818E-2</v>
      </c>
      <c r="O919" s="291" t="s">
        <v>1580</v>
      </c>
      <c r="P919" s="291">
        <v>39500</v>
      </c>
      <c r="Q919" s="372">
        <v>0.19670000000000001</v>
      </c>
      <c r="R919" s="291">
        <f>P919*Q919</f>
        <v>7769.6500000000005</v>
      </c>
      <c r="S919" s="291">
        <f>R919/'Исп. коэффициенты'!E28*'КМУ стом.'!C922</f>
        <v>1.3017787824023483</v>
      </c>
      <c r="T919" s="291"/>
      <c r="U919" s="291"/>
      <c r="V919" s="291"/>
      <c r="W919" s="372"/>
      <c r="X919" s="291"/>
      <c r="Y919" s="291"/>
      <c r="Z919" s="291"/>
      <c r="AA919" s="440"/>
      <c r="AB919" s="460"/>
      <c r="AC919" s="440"/>
      <c r="AD919" s="444"/>
      <c r="AF919" s="365"/>
      <c r="AJ919" s="468"/>
      <c r="AM919" s="465"/>
    </row>
    <row r="920" spans="1:49" ht="12.75" customHeight="1" x14ac:dyDescent="0.25">
      <c r="A920" s="1148"/>
      <c r="B920" s="452" t="s">
        <v>1179</v>
      </c>
      <c r="C920" s="487">
        <f>C3</f>
        <v>19.495759833054819</v>
      </c>
      <c r="D920" s="451"/>
      <c r="E920" s="300"/>
      <c r="F920" s="301"/>
      <c r="G920" s="302"/>
      <c r="H920" s="471"/>
      <c r="I920" s="303">
        <f t="shared" si="85"/>
        <v>0</v>
      </c>
      <c r="J920" s="290"/>
      <c r="K920" s="292"/>
      <c r="L920" s="292"/>
      <c r="M920" s="304"/>
      <c r="N920" s="292"/>
      <c r="O920" s="291"/>
      <c r="P920" s="291"/>
      <c r="Q920" s="372"/>
      <c r="R920" s="291"/>
      <c r="S920" s="291"/>
      <c r="T920" s="291"/>
      <c r="U920" s="291"/>
      <c r="V920" s="291"/>
      <c r="W920" s="372"/>
      <c r="X920" s="291"/>
      <c r="Y920" s="291"/>
      <c r="Z920" s="291"/>
      <c r="AA920" s="440"/>
      <c r="AB920" s="460"/>
      <c r="AC920" s="440"/>
      <c r="AD920" s="444"/>
      <c r="AF920" s="365"/>
      <c r="AJ920" s="468"/>
    </row>
    <row r="921" spans="1:49" ht="12.75" customHeight="1" x14ac:dyDescent="0.25">
      <c r="A921" s="1148"/>
      <c r="B921" s="452" t="s">
        <v>831</v>
      </c>
      <c r="C921" s="492"/>
      <c r="D921" s="451"/>
      <c r="E921" s="300"/>
      <c r="F921" s="301"/>
      <c r="G921" s="302"/>
      <c r="H921" s="301"/>
      <c r="I921" s="303">
        <f t="shared" si="85"/>
        <v>0</v>
      </c>
      <c r="J921" s="290"/>
      <c r="K921" s="374"/>
      <c r="L921" s="292"/>
      <c r="M921" s="292"/>
      <c r="N921" s="292"/>
      <c r="O921" s="291"/>
      <c r="P921" s="291"/>
      <c r="Q921" s="291"/>
      <c r="R921" s="291"/>
      <c r="S921" s="291"/>
      <c r="T921" s="291"/>
      <c r="U921" s="291"/>
      <c r="V921" s="291"/>
      <c r="W921" s="291"/>
      <c r="X921" s="291"/>
      <c r="Y921" s="291"/>
      <c r="Z921" s="291"/>
      <c r="AA921" s="440"/>
      <c r="AB921" s="460"/>
      <c r="AC921" s="440"/>
      <c r="AD921" s="444"/>
      <c r="AF921" s="365"/>
      <c r="AJ921" s="468"/>
    </row>
    <row r="922" spans="1:49" ht="12.75" customHeight="1" x14ac:dyDescent="0.25">
      <c r="A922" s="1148"/>
      <c r="B922" s="469" t="s">
        <v>1178</v>
      </c>
      <c r="C922" s="493">
        <v>1.5</v>
      </c>
      <c r="D922" s="451"/>
      <c r="E922" s="300"/>
      <c r="F922" s="301"/>
      <c r="G922" s="302"/>
      <c r="H922" s="301"/>
      <c r="I922" s="303">
        <f t="shared" si="85"/>
        <v>0</v>
      </c>
      <c r="J922" s="290"/>
      <c r="K922" s="374"/>
      <c r="L922" s="292"/>
      <c r="M922" s="292"/>
      <c r="N922" s="292"/>
      <c r="O922" s="291"/>
      <c r="P922" s="291"/>
      <c r="Q922" s="291"/>
      <c r="R922" s="291"/>
      <c r="S922" s="291"/>
      <c r="T922" s="291"/>
      <c r="U922" s="291"/>
      <c r="V922" s="291"/>
      <c r="W922" s="291"/>
      <c r="X922" s="291"/>
      <c r="Y922" s="291"/>
      <c r="Z922" s="291"/>
      <c r="AA922" s="440"/>
      <c r="AB922" s="460"/>
      <c r="AC922" s="440"/>
      <c r="AD922" s="444"/>
      <c r="AF922" s="365"/>
      <c r="AJ922" s="472"/>
    </row>
    <row r="923" spans="1:49" ht="12.75" customHeight="1" x14ac:dyDescent="0.25">
      <c r="A923" s="1148"/>
      <c r="B923" s="452" t="s">
        <v>1179</v>
      </c>
      <c r="C923" s="493">
        <v>1.5</v>
      </c>
      <c r="D923" s="451"/>
      <c r="E923" s="559"/>
      <c r="F923" s="560"/>
      <c r="G923" s="543"/>
      <c r="H923" s="542"/>
      <c r="I923" s="544">
        <f t="shared" si="85"/>
        <v>0</v>
      </c>
      <c r="J923" s="290"/>
      <c r="K923" s="374"/>
      <c r="L923" s="305"/>
      <c r="M923" s="304"/>
      <c r="N923" s="292"/>
      <c r="O923" s="291"/>
      <c r="P923" s="291"/>
      <c r="Q923" s="291"/>
      <c r="R923" s="291"/>
      <c r="S923" s="291"/>
      <c r="T923" s="291"/>
      <c r="U923" s="291"/>
      <c r="V923" s="291"/>
      <c r="W923" s="291"/>
      <c r="X923" s="291"/>
      <c r="Y923" s="291"/>
      <c r="Z923" s="291"/>
      <c r="AA923" s="440"/>
      <c r="AB923" s="460"/>
      <c r="AC923" s="440"/>
      <c r="AD923" s="444"/>
      <c r="AF923" s="365"/>
      <c r="AJ923" s="472"/>
    </row>
    <row r="924" spans="1:49" ht="12.75" customHeight="1" x14ac:dyDescent="0.25">
      <c r="A924" s="1148"/>
      <c r="B924" s="474" t="s">
        <v>1181</v>
      </c>
      <c r="C924" s="487">
        <f>C919*C922+C920*C923</f>
        <v>95.076861522546423</v>
      </c>
      <c r="D924" s="451"/>
      <c r="E924" s="559"/>
      <c r="F924" s="560"/>
      <c r="G924" s="543"/>
      <c r="H924" s="542"/>
      <c r="I924" s="544">
        <f t="shared" si="85"/>
        <v>0</v>
      </c>
      <c r="J924" s="290"/>
      <c r="K924" s="374"/>
      <c r="L924" s="292"/>
      <c r="M924" s="292"/>
      <c r="N924" s="292"/>
      <c r="O924" s="291"/>
      <c r="P924" s="291"/>
      <c r="Q924" s="291"/>
      <c r="R924" s="291"/>
      <c r="S924" s="291"/>
      <c r="T924" s="291"/>
      <c r="U924" s="291"/>
      <c r="V924" s="291"/>
      <c r="W924" s="291"/>
      <c r="X924" s="291"/>
      <c r="Y924" s="291"/>
      <c r="Z924" s="291"/>
      <c r="AA924" s="440"/>
      <c r="AB924" s="460"/>
      <c r="AC924" s="440"/>
      <c r="AD924" s="444"/>
      <c r="AF924" s="365"/>
      <c r="AJ924" s="468"/>
    </row>
    <row r="925" spans="1:49" ht="12.75" customHeight="1" x14ac:dyDescent="0.25">
      <c r="A925" s="1148"/>
      <c r="B925" s="474"/>
      <c r="C925" s="487"/>
      <c r="D925" s="475"/>
      <c r="E925" s="559"/>
      <c r="F925" s="560"/>
      <c r="G925" s="543"/>
      <c r="H925" s="542"/>
      <c r="I925" s="544">
        <f t="shared" si="85"/>
        <v>0</v>
      </c>
      <c r="J925" s="290"/>
      <c r="K925" s="374"/>
      <c r="L925" s="292"/>
      <c r="M925" s="292"/>
      <c r="N925" s="292"/>
      <c r="O925" s="291"/>
      <c r="P925" s="291"/>
      <c r="Q925" s="291"/>
      <c r="R925" s="291"/>
      <c r="S925" s="291"/>
      <c r="T925" s="291"/>
      <c r="U925" s="291"/>
      <c r="V925" s="291"/>
      <c r="W925" s="291"/>
      <c r="X925" s="291"/>
      <c r="Y925" s="291"/>
      <c r="Z925" s="291"/>
      <c r="AA925" s="440"/>
      <c r="AB925" s="460"/>
      <c r="AC925" s="440"/>
      <c r="AD925" s="444"/>
      <c r="AF925" s="365"/>
      <c r="AJ925" s="468"/>
    </row>
    <row r="926" spans="1:49" ht="56.25" customHeight="1" x14ac:dyDescent="0.25">
      <c r="A926" s="1148" t="s">
        <v>2102</v>
      </c>
      <c r="B926" s="439" t="s">
        <v>2103</v>
      </c>
      <c r="C926" s="439"/>
      <c r="D926" s="499"/>
      <c r="E926" s="441" t="s">
        <v>488</v>
      </c>
      <c r="F926" s="442" t="s">
        <v>837</v>
      </c>
      <c r="G926" s="439" t="s">
        <v>489</v>
      </c>
      <c r="H926" s="441" t="s">
        <v>1170</v>
      </c>
      <c r="I926" s="442" t="s">
        <v>838</v>
      </c>
      <c r="J926" s="280" t="s">
        <v>1171</v>
      </c>
      <c r="K926" s="280" t="s">
        <v>490</v>
      </c>
      <c r="L926" s="281" t="s">
        <v>489</v>
      </c>
      <c r="M926" s="280" t="s">
        <v>1172</v>
      </c>
      <c r="N926" s="442" t="s">
        <v>838</v>
      </c>
      <c r="O926" s="280" t="s">
        <v>1171</v>
      </c>
      <c r="P926" s="280" t="s">
        <v>826</v>
      </c>
      <c r="Q926" s="280" t="s">
        <v>1173</v>
      </c>
      <c r="R926" s="280" t="s">
        <v>1174</v>
      </c>
      <c r="S926" s="280" t="s">
        <v>839</v>
      </c>
      <c r="T926" s="280" t="s">
        <v>1171</v>
      </c>
      <c r="U926" s="280" t="s">
        <v>1392</v>
      </c>
      <c r="V926" s="280" t="s">
        <v>841</v>
      </c>
      <c r="W926" s="282" t="s">
        <v>1173</v>
      </c>
      <c r="X926" s="280" t="s">
        <v>1394</v>
      </c>
      <c r="Y926" s="280" t="s">
        <v>839</v>
      </c>
      <c r="Z926" s="283"/>
      <c r="AA926" s="440"/>
      <c r="AB926" s="460"/>
      <c r="AC926" s="440"/>
      <c r="AD926" s="444"/>
      <c r="AQ926" s="449"/>
      <c r="AR926" s="449"/>
      <c r="AS926" s="449"/>
    </row>
    <row r="927" spans="1:49" ht="12" customHeight="1" x14ac:dyDescent="0.25">
      <c r="A927" s="1148"/>
      <c r="B927" s="450" t="s">
        <v>1175</v>
      </c>
      <c r="C927" s="439">
        <f>C934</f>
        <v>47.538430761273212</v>
      </c>
      <c r="D927" s="489">
        <f>C927*$D$7</f>
        <v>9.6027630137771887</v>
      </c>
      <c r="E927" s="452" t="s">
        <v>1176</v>
      </c>
      <c r="F927" s="453"/>
      <c r="G927" s="454"/>
      <c r="H927" s="454"/>
      <c r="I927" s="455">
        <f>SUM(I928:I935)</f>
        <v>0</v>
      </c>
      <c r="J927" s="290" t="s">
        <v>1176</v>
      </c>
      <c r="K927" s="357"/>
      <c r="L927" s="291"/>
      <c r="M927" s="291"/>
      <c r="N927" s="292">
        <f>SUM(N928:N935)</f>
        <v>0.1830447085485917</v>
      </c>
      <c r="O927" s="291" t="s">
        <v>1176</v>
      </c>
      <c r="P927" s="291"/>
      <c r="Q927" s="293"/>
      <c r="R927" s="294"/>
      <c r="S927" s="292">
        <f>SUM(S928:S935)</f>
        <v>3.7636237202619789</v>
      </c>
      <c r="T927" s="292"/>
      <c r="U927" s="292"/>
      <c r="V927" s="292"/>
      <c r="W927" s="292"/>
      <c r="X927" s="292"/>
      <c r="Y927" s="292">
        <f>SUM(Y928:Y935)</f>
        <v>1.0307632433223615</v>
      </c>
      <c r="Z927" s="296">
        <f>(C927+D927+I927+N927+S927+Y927)*$Z$7</f>
        <v>80.765872299756424</v>
      </c>
      <c r="AA927" s="459">
        <f>C927+D927+I927+N927+S927+Y927+Z927</f>
        <v>142.88449774693976</v>
      </c>
      <c r="AB927" s="460">
        <v>0.3</v>
      </c>
      <c r="AC927" s="461">
        <f>AA927*(1+AB927)</f>
        <v>185.74984707102169</v>
      </c>
      <c r="AD927" s="448"/>
      <c r="AI927" s="449"/>
      <c r="AJ927" s="462"/>
      <c r="AK927" s="463"/>
      <c r="AM927" s="464"/>
      <c r="AN927" s="143"/>
      <c r="AO927" s="464"/>
      <c r="AP927" s="449"/>
      <c r="AQ927" s="449"/>
      <c r="AR927" s="449"/>
      <c r="AS927" s="449"/>
      <c r="AT927" s="449"/>
      <c r="AU927" s="464"/>
      <c r="AV927" s="464"/>
      <c r="AW927" s="465"/>
    </row>
    <row r="928" spans="1:49" ht="12.75" customHeight="1" x14ac:dyDescent="0.25">
      <c r="A928" s="1148"/>
      <c r="B928" s="466" t="s">
        <v>830</v>
      </c>
      <c r="C928" s="439"/>
      <c r="D928" s="451"/>
      <c r="E928" s="300"/>
      <c r="F928" s="301" t="s">
        <v>1441</v>
      </c>
      <c r="G928" s="302"/>
      <c r="H928" s="301">
        <v>1</v>
      </c>
      <c r="I928" s="303">
        <f t="shared" ref="I928:I935" si="86">G928*H928</f>
        <v>0</v>
      </c>
      <c r="J928" s="290" t="s">
        <v>1291</v>
      </c>
      <c r="K928" s="304">
        <v>2</v>
      </c>
      <c r="L928" s="305">
        <v>1995</v>
      </c>
      <c r="M928" s="304">
        <v>1</v>
      </c>
      <c r="N928" s="292">
        <f>L928/'Исп. коэффициенты'!E38*'КМУ стом.'!C932</f>
        <v>0.16712777737045328</v>
      </c>
      <c r="O928" s="467" t="s">
        <v>1578</v>
      </c>
      <c r="P928" s="291">
        <v>188900</v>
      </c>
      <c r="Q928" s="372">
        <v>0.19670000000000001</v>
      </c>
      <c r="R928" s="291">
        <f>P928*Q928</f>
        <v>37156.630000000005</v>
      </c>
      <c r="S928" s="291">
        <f>R928/'Исп. коэффициенты'!E38*'КМУ стом.'!C932</f>
        <v>3.1127343290608049</v>
      </c>
      <c r="T928" s="458" t="s">
        <v>1435</v>
      </c>
      <c r="U928" s="456">
        <v>6785401.3499999996</v>
      </c>
      <c r="V928" s="738">
        <v>2978.5</v>
      </c>
      <c r="W928" s="457">
        <v>1.3599999999999999E-2</v>
      </c>
      <c r="X928" s="292">
        <f>U928*W928</f>
        <v>92281.45835999999</v>
      </c>
      <c r="Y928" s="291">
        <f>Y918</f>
        <v>1.0307632433223615</v>
      </c>
      <c r="Z928" s="291"/>
      <c r="AA928" s="440"/>
      <c r="AB928" s="460"/>
      <c r="AC928" s="440"/>
      <c r="AD928" s="444"/>
      <c r="AF928" s="365"/>
      <c r="AJ928" s="468"/>
      <c r="AT928" s="449"/>
    </row>
    <row r="929" spans="1:49" x14ac:dyDescent="0.25">
      <c r="A929" s="1148"/>
      <c r="B929" s="469" t="s">
        <v>1178</v>
      </c>
      <c r="C929" s="491">
        <f>C2</f>
        <v>43.888814515309463</v>
      </c>
      <c r="D929" s="451"/>
      <c r="E929" s="300"/>
      <c r="F929" s="301" t="s">
        <v>1441</v>
      </c>
      <c r="G929" s="302"/>
      <c r="H929" s="301">
        <v>1</v>
      </c>
      <c r="I929" s="303">
        <f t="shared" si="86"/>
        <v>0</v>
      </c>
      <c r="J929" s="290" t="s">
        <v>1445</v>
      </c>
      <c r="K929" s="292">
        <v>2</v>
      </c>
      <c r="L929" s="311">
        <v>190</v>
      </c>
      <c r="M929" s="304">
        <v>1</v>
      </c>
      <c r="N929" s="292">
        <f>L929/'Исп. коэффициенты'!E38*'КМУ стом.'!C932</f>
        <v>1.5916931178138409E-2</v>
      </c>
      <c r="O929" s="291" t="s">
        <v>1580</v>
      </c>
      <c r="P929" s="291">
        <v>39500</v>
      </c>
      <c r="Q929" s="372">
        <v>0.19670000000000001</v>
      </c>
      <c r="R929" s="291">
        <f>P929*Q929</f>
        <v>7769.6500000000005</v>
      </c>
      <c r="S929" s="291">
        <f>R929/'Исп. коэффициенты'!E38*'КМУ стом.'!C932</f>
        <v>0.65088939120117417</v>
      </c>
      <c r="T929" s="291"/>
      <c r="U929" s="291"/>
      <c r="V929" s="291"/>
      <c r="W929" s="372"/>
      <c r="X929" s="291"/>
      <c r="Y929" s="291"/>
      <c r="Z929" s="291"/>
      <c r="AA929" s="440"/>
      <c r="AB929" s="460"/>
      <c r="AC929" s="440"/>
      <c r="AD929" s="444"/>
      <c r="AF929" s="365"/>
      <c r="AJ929" s="468"/>
      <c r="AM929" s="465"/>
    </row>
    <row r="930" spans="1:49" ht="12.75" customHeight="1" x14ac:dyDescent="0.25">
      <c r="A930" s="1148"/>
      <c r="B930" s="452" t="s">
        <v>1179</v>
      </c>
      <c r="C930" s="487">
        <f>C3</f>
        <v>19.495759833054819</v>
      </c>
      <c r="D930" s="451"/>
      <c r="E930" s="300"/>
      <c r="F930" s="301"/>
      <c r="G930" s="302"/>
      <c r="H930" s="471"/>
      <c r="I930" s="303">
        <f t="shared" si="86"/>
        <v>0</v>
      </c>
      <c r="J930" s="290"/>
      <c r="K930" s="292"/>
      <c r="L930" s="292"/>
      <c r="M930" s="304"/>
      <c r="N930" s="292"/>
      <c r="O930" s="291"/>
      <c r="P930" s="291"/>
      <c r="Q930" s="372"/>
      <c r="R930" s="291"/>
      <c r="S930" s="291"/>
      <c r="T930" s="291"/>
      <c r="U930" s="291"/>
      <c r="V930" s="291"/>
      <c r="W930" s="372"/>
      <c r="X930" s="291"/>
      <c r="Y930" s="291"/>
      <c r="Z930" s="291"/>
      <c r="AA930" s="440"/>
      <c r="AB930" s="460"/>
      <c r="AC930" s="440"/>
      <c r="AD930" s="444"/>
      <c r="AF930" s="365"/>
      <c r="AJ930" s="468"/>
    </row>
    <row r="931" spans="1:49" ht="12.75" customHeight="1" x14ac:dyDescent="0.25">
      <c r="A931" s="1148"/>
      <c r="B931" s="452" t="s">
        <v>831</v>
      </c>
      <c r="C931" s="492"/>
      <c r="D931" s="451"/>
      <c r="E931" s="300"/>
      <c r="F931" s="301"/>
      <c r="G931" s="302"/>
      <c r="H931" s="301"/>
      <c r="I931" s="303">
        <f t="shared" si="86"/>
        <v>0</v>
      </c>
      <c r="J931" s="290"/>
      <c r="K931" s="374"/>
      <c r="L931" s="292"/>
      <c r="M931" s="292"/>
      <c r="N931" s="292"/>
      <c r="O931" s="291"/>
      <c r="P931" s="291"/>
      <c r="Q931" s="291"/>
      <c r="R931" s="291"/>
      <c r="S931" s="291"/>
      <c r="T931" s="291"/>
      <c r="U931" s="291"/>
      <c r="V931" s="291"/>
      <c r="W931" s="291"/>
      <c r="X931" s="291"/>
      <c r="Y931" s="291"/>
      <c r="Z931" s="291"/>
      <c r="AA931" s="440"/>
      <c r="AB931" s="460"/>
      <c r="AC931" s="440"/>
      <c r="AD931" s="444"/>
      <c r="AF931" s="365"/>
      <c r="AJ931" s="468"/>
    </row>
    <row r="932" spans="1:49" ht="12.75" customHeight="1" x14ac:dyDescent="0.25">
      <c r="A932" s="1148"/>
      <c r="B932" s="469" t="s">
        <v>1178</v>
      </c>
      <c r="C932" s="491">
        <v>0.75</v>
      </c>
      <c r="D932" s="451"/>
      <c r="E932" s="300"/>
      <c r="F932" s="301"/>
      <c r="G932" s="302"/>
      <c r="H932" s="301"/>
      <c r="I932" s="303">
        <f t="shared" si="86"/>
        <v>0</v>
      </c>
      <c r="J932" s="290"/>
      <c r="K932" s="374"/>
      <c r="L932" s="292"/>
      <c r="M932" s="292"/>
      <c r="N932" s="292"/>
      <c r="O932" s="291"/>
      <c r="P932" s="291"/>
      <c r="Q932" s="291"/>
      <c r="R932" s="291"/>
      <c r="S932" s="291"/>
      <c r="T932" s="291"/>
      <c r="U932" s="291"/>
      <c r="V932" s="291"/>
      <c r="W932" s="291"/>
      <c r="X932" s="291"/>
      <c r="Y932" s="291"/>
      <c r="Z932" s="291"/>
      <c r="AA932" s="440"/>
      <c r="AB932" s="460"/>
      <c r="AC932" s="440"/>
      <c r="AD932" s="444"/>
      <c r="AF932" s="365"/>
      <c r="AJ932" s="472"/>
    </row>
    <row r="933" spans="1:49" ht="12.75" customHeight="1" x14ac:dyDescent="0.25">
      <c r="A933" s="1148"/>
      <c r="B933" s="452" t="s">
        <v>1179</v>
      </c>
      <c r="C933" s="491">
        <v>0.75</v>
      </c>
      <c r="D933" s="451"/>
      <c r="E933" s="559"/>
      <c r="F933" s="560"/>
      <c r="G933" s="543"/>
      <c r="H933" s="542"/>
      <c r="I933" s="544">
        <f t="shared" si="86"/>
        <v>0</v>
      </c>
      <c r="J933" s="290"/>
      <c r="K933" s="374"/>
      <c r="L933" s="305"/>
      <c r="M933" s="304"/>
      <c r="N933" s="292"/>
      <c r="O933" s="291"/>
      <c r="P933" s="291"/>
      <c r="Q933" s="291"/>
      <c r="R933" s="291"/>
      <c r="S933" s="291"/>
      <c r="T933" s="291"/>
      <c r="U933" s="291"/>
      <c r="V933" s="291"/>
      <c r="W933" s="291"/>
      <c r="X933" s="291"/>
      <c r="Y933" s="291"/>
      <c r="Z933" s="291"/>
      <c r="AA933" s="440"/>
      <c r="AB933" s="460"/>
      <c r="AC933" s="440"/>
      <c r="AD933" s="444"/>
      <c r="AF933" s="365"/>
      <c r="AJ933" s="472"/>
    </row>
    <row r="934" spans="1:49" ht="12.75" customHeight="1" x14ac:dyDescent="0.25">
      <c r="A934" s="1148"/>
      <c r="B934" s="474" t="s">
        <v>1181</v>
      </c>
      <c r="C934" s="487">
        <f>C929*C932+C930*C933</f>
        <v>47.538430761273212</v>
      </c>
      <c r="D934" s="451"/>
      <c r="E934" s="559"/>
      <c r="F934" s="560"/>
      <c r="G934" s="543"/>
      <c r="H934" s="542"/>
      <c r="I934" s="544">
        <f t="shared" si="86"/>
        <v>0</v>
      </c>
      <c r="J934" s="290"/>
      <c r="K934" s="374"/>
      <c r="L934" s="292"/>
      <c r="M934" s="292"/>
      <c r="N934" s="292"/>
      <c r="O934" s="291"/>
      <c r="P934" s="291"/>
      <c r="Q934" s="291"/>
      <c r="R934" s="291"/>
      <c r="S934" s="291"/>
      <c r="T934" s="291"/>
      <c r="U934" s="291"/>
      <c r="V934" s="291"/>
      <c r="W934" s="291"/>
      <c r="X934" s="291"/>
      <c r="Y934" s="291"/>
      <c r="Z934" s="291"/>
      <c r="AA934" s="440"/>
      <c r="AB934" s="460"/>
      <c r="AC934" s="440"/>
      <c r="AD934" s="444"/>
      <c r="AF934" s="365"/>
      <c r="AJ934" s="468"/>
    </row>
    <row r="935" spans="1:49" ht="12.75" customHeight="1" x14ac:dyDescent="0.25">
      <c r="A935" s="1148"/>
      <c r="B935" s="474"/>
      <c r="C935" s="487"/>
      <c r="D935" s="475"/>
      <c r="E935" s="559"/>
      <c r="F935" s="560"/>
      <c r="G935" s="543"/>
      <c r="H935" s="542"/>
      <c r="I935" s="544">
        <f t="shared" si="86"/>
        <v>0</v>
      </c>
      <c r="J935" s="290"/>
      <c r="K935" s="374"/>
      <c r="L935" s="292"/>
      <c r="M935" s="292"/>
      <c r="N935" s="292"/>
      <c r="O935" s="291"/>
      <c r="P935" s="291"/>
      <c r="Q935" s="291"/>
      <c r="R935" s="291"/>
      <c r="S935" s="291"/>
      <c r="T935" s="291"/>
      <c r="U935" s="291"/>
      <c r="V935" s="291"/>
      <c r="W935" s="291"/>
      <c r="X935" s="291"/>
      <c r="Y935" s="291"/>
      <c r="Z935" s="291"/>
      <c r="AA935" s="440"/>
      <c r="AB935" s="460"/>
      <c r="AC935" s="440"/>
      <c r="AD935" s="444"/>
      <c r="AF935" s="365"/>
      <c r="AJ935" s="468"/>
    </row>
    <row r="936" spans="1:49" ht="56.25" customHeight="1" x14ac:dyDescent="0.25">
      <c r="A936" s="1148" t="s">
        <v>2104</v>
      </c>
      <c r="B936" s="439" t="s">
        <v>2105</v>
      </c>
      <c r="C936" s="439"/>
      <c r="D936" s="499"/>
      <c r="E936" s="441" t="s">
        <v>488</v>
      </c>
      <c r="F936" s="442" t="s">
        <v>837</v>
      </c>
      <c r="G936" s="439" t="s">
        <v>489</v>
      </c>
      <c r="H936" s="441" t="s">
        <v>1170</v>
      </c>
      <c r="I936" s="442" t="s">
        <v>838</v>
      </c>
      <c r="J936" s="280" t="s">
        <v>1171</v>
      </c>
      <c r="K936" s="280" t="s">
        <v>490</v>
      </c>
      <c r="L936" s="281" t="s">
        <v>489</v>
      </c>
      <c r="M936" s="280" t="s">
        <v>1172</v>
      </c>
      <c r="N936" s="442" t="s">
        <v>838</v>
      </c>
      <c r="O936" s="280" t="s">
        <v>1171</v>
      </c>
      <c r="P936" s="280" t="s">
        <v>826</v>
      </c>
      <c r="Q936" s="280" t="s">
        <v>1173</v>
      </c>
      <c r="R936" s="280" t="s">
        <v>1174</v>
      </c>
      <c r="S936" s="280" t="s">
        <v>839</v>
      </c>
      <c r="T936" s="280" t="s">
        <v>1171</v>
      </c>
      <c r="U936" s="280" t="s">
        <v>1392</v>
      </c>
      <c r="V936" s="280" t="s">
        <v>841</v>
      </c>
      <c r="W936" s="282" t="s">
        <v>1173</v>
      </c>
      <c r="X936" s="280" t="s">
        <v>1394</v>
      </c>
      <c r="Y936" s="280" t="s">
        <v>839</v>
      </c>
      <c r="Z936" s="283"/>
      <c r="AA936" s="440"/>
      <c r="AB936" s="460"/>
      <c r="AC936" s="440"/>
      <c r="AD936" s="444"/>
      <c r="AQ936" s="449"/>
      <c r="AR936" s="449"/>
      <c r="AS936" s="449"/>
    </row>
    <row r="937" spans="1:49" ht="12" customHeight="1" x14ac:dyDescent="0.25">
      <c r="A937" s="1148"/>
      <c r="B937" s="450" t="s">
        <v>1175</v>
      </c>
      <c r="C937" s="439">
        <f>C944</f>
        <v>12.676914869672856</v>
      </c>
      <c r="D937" s="489">
        <f>C937*$D$7</f>
        <v>2.5607368036739171</v>
      </c>
      <c r="E937" s="452" t="s">
        <v>1176</v>
      </c>
      <c r="F937" s="453"/>
      <c r="G937" s="454"/>
      <c r="H937" s="454"/>
      <c r="I937" s="455">
        <f>SUM(I938:I945)</f>
        <v>0</v>
      </c>
      <c r="J937" s="290" t="s">
        <v>1176</v>
      </c>
      <c r="K937" s="357"/>
      <c r="L937" s="291"/>
      <c r="M937" s="291"/>
      <c r="N937" s="292">
        <f>SUM(N938:N945)</f>
        <v>4.8811922279624456E-2</v>
      </c>
      <c r="O937" s="291" t="s">
        <v>1176</v>
      </c>
      <c r="P937" s="291"/>
      <c r="Q937" s="293"/>
      <c r="R937" s="294"/>
      <c r="S937" s="292">
        <f>SUM(S938:S945)</f>
        <v>1.0036329920698612</v>
      </c>
      <c r="T937" s="292"/>
      <c r="U937" s="292"/>
      <c r="V937" s="292"/>
      <c r="W937" s="292"/>
      <c r="X937" s="292"/>
      <c r="Y937" s="292">
        <f>SUM(Y938:Y945)</f>
        <v>2.0615264866447229</v>
      </c>
      <c r="Z937" s="296">
        <f>(C937+D937+I937+N937+S937+Y937)*$Z$7</f>
        <v>23.860554464066855</v>
      </c>
      <c r="AA937" s="459">
        <f>C937+D937+I937+N937+S937+Y937+Z937</f>
        <v>42.212177538407836</v>
      </c>
      <c r="AB937" s="460">
        <v>0.3</v>
      </c>
      <c r="AC937" s="461">
        <f>AA937*(1+AB937)</f>
        <v>54.875830799930192</v>
      </c>
      <c r="AD937" s="448"/>
      <c r="AI937" s="449"/>
      <c r="AJ937" s="462"/>
      <c r="AK937" s="463"/>
      <c r="AM937" s="464"/>
      <c r="AN937" s="143"/>
      <c r="AO937" s="464"/>
      <c r="AP937" s="449"/>
      <c r="AQ937" s="449"/>
      <c r="AR937" s="449"/>
      <c r="AS937" s="449"/>
      <c r="AT937" s="449"/>
      <c r="AU937" s="464"/>
      <c r="AV937" s="464"/>
      <c r="AW937" s="465"/>
    </row>
    <row r="938" spans="1:49" ht="12.75" customHeight="1" x14ac:dyDescent="0.25">
      <c r="A938" s="1148"/>
      <c r="B938" s="466" t="s">
        <v>830</v>
      </c>
      <c r="C938" s="439"/>
      <c r="D938" s="451"/>
      <c r="E938" s="300" t="s">
        <v>2106</v>
      </c>
      <c r="F938" s="301" t="s">
        <v>2097</v>
      </c>
      <c r="G938" s="302"/>
      <c r="H938" s="301">
        <v>0.2</v>
      </c>
      <c r="I938" s="303">
        <f t="shared" ref="I938:I945" si="87">G938*H938</f>
        <v>0</v>
      </c>
      <c r="J938" s="290" t="s">
        <v>1291</v>
      </c>
      <c r="K938" s="304">
        <v>2</v>
      </c>
      <c r="L938" s="305">
        <v>1995</v>
      </c>
      <c r="M938" s="304">
        <v>1</v>
      </c>
      <c r="N938" s="292">
        <f>L938/'Исп. коэффициенты'!E28*'КМУ стом.'!C942</f>
        <v>4.4567407298787547E-2</v>
      </c>
      <c r="O938" s="467" t="s">
        <v>1578</v>
      </c>
      <c r="P938" s="291">
        <v>188900</v>
      </c>
      <c r="Q938" s="372">
        <v>0.19670000000000001</v>
      </c>
      <c r="R938" s="291">
        <f>P938*Q938</f>
        <v>37156.630000000005</v>
      </c>
      <c r="S938" s="291">
        <f>R938/'Исп. коэффициенты'!E28*'КМУ стом.'!C942</f>
        <v>0.83006248774954805</v>
      </c>
      <c r="T938" s="458" t="s">
        <v>1435</v>
      </c>
      <c r="U938" s="456">
        <v>6785401.3499999996</v>
      </c>
      <c r="V938" s="738">
        <v>2978.5</v>
      </c>
      <c r="W938" s="457">
        <v>1.3599999999999999E-2</v>
      </c>
      <c r="X938" s="292">
        <f>U938*W938</f>
        <v>92281.45835999999</v>
      </c>
      <c r="Y938" s="291">
        <f>X938/'Исп. коэффициенты'!E28*'КМУ стом.'!C942</f>
        <v>2.0615264866447229</v>
      </c>
      <c r="Z938" s="291"/>
      <c r="AA938" s="440"/>
      <c r="AB938" s="460"/>
      <c r="AC938" s="440"/>
      <c r="AD938" s="444"/>
      <c r="AF938" s="365"/>
      <c r="AJ938" s="468"/>
      <c r="AT938" s="449"/>
    </row>
    <row r="939" spans="1:49" x14ac:dyDescent="0.25">
      <c r="A939" s="1148"/>
      <c r="B939" s="469" t="s">
        <v>1178</v>
      </c>
      <c r="C939" s="491">
        <f>C2</f>
        <v>43.888814515309463</v>
      </c>
      <c r="D939" s="451"/>
      <c r="E939" s="300"/>
      <c r="F939" s="301"/>
      <c r="G939" s="302"/>
      <c r="H939" s="301"/>
      <c r="I939" s="303">
        <f t="shared" si="87"/>
        <v>0</v>
      </c>
      <c r="J939" s="290" t="s">
        <v>1445</v>
      </c>
      <c r="K939" s="292">
        <v>2</v>
      </c>
      <c r="L939" s="311">
        <v>190</v>
      </c>
      <c r="M939" s="304">
        <v>1</v>
      </c>
      <c r="N939" s="292">
        <f>L939/'Исп. коэффициенты'!E28*'КМУ стом.'!C942</f>
        <v>4.2445149808369087E-3</v>
      </c>
      <c r="O939" s="291" t="s">
        <v>1580</v>
      </c>
      <c r="P939" s="291">
        <v>39500</v>
      </c>
      <c r="Q939" s="372">
        <v>0.19670000000000001</v>
      </c>
      <c r="R939" s="291">
        <f>P939*Q939</f>
        <v>7769.6500000000005</v>
      </c>
      <c r="S939" s="291">
        <f>R939/'Исп. коэффициенты'!E28*'КМУ стом.'!C942</f>
        <v>0.17357050432031312</v>
      </c>
      <c r="T939" s="291"/>
      <c r="U939" s="291"/>
      <c r="V939" s="291"/>
      <c r="W939" s="372"/>
      <c r="X939" s="291"/>
      <c r="Y939" s="291"/>
      <c r="Z939" s="291"/>
      <c r="AA939" s="440"/>
      <c r="AB939" s="460"/>
      <c r="AC939" s="440"/>
      <c r="AD939" s="444"/>
      <c r="AF939" s="365"/>
      <c r="AJ939" s="468"/>
      <c r="AM939" s="465"/>
    </row>
    <row r="940" spans="1:49" ht="12.75" customHeight="1" x14ac:dyDescent="0.25">
      <c r="A940" s="1148"/>
      <c r="B940" s="452" t="s">
        <v>1179</v>
      </c>
      <c r="C940" s="487">
        <f>C3</f>
        <v>19.495759833054819</v>
      </c>
      <c r="D940" s="451"/>
      <c r="E940" s="300"/>
      <c r="F940" s="301"/>
      <c r="G940" s="302"/>
      <c r="H940" s="471"/>
      <c r="I940" s="303">
        <f t="shared" si="87"/>
        <v>0</v>
      </c>
      <c r="J940" s="290"/>
      <c r="K940" s="292"/>
      <c r="L940" s="292"/>
      <c r="M940" s="304"/>
      <c r="N940" s="292"/>
      <c r="O940" s="291"/>
      <c r="P940" s="291"/>
      <c r="Q940" s="372"/>
      <c r="R940" s="291"/>
      <c r="S940" s="291"/>
      <c r="T940" s="291"/>
      <c r="U940" s="291"/>
      <c r="V940" s="291"/>
      <c r="W940" s="372"/>
      <c r="X940" s="291"/>
      <c r="Y940" s="291"/>
      <c r="Z940" s="291"/>
      <c r="AA940" s="440"/>
      <c r="AB940" s="460"/>
      <c r="AC940" s="440"/>
      <c r="AD940" s="444"/>
      <c r="AF940" s="365"/>
      <c r="AJ940" s="468"/>
    </row>
    <row r="941" spans="1:49" ht="12.75" customHeight="1" x14ac:dyDescent="0.25">
      <c r="A941" s="1148"/>
      <c r="B941" s="452" t="s">
        <v>831</v>
      </c>
      <c r="C941" s="492"/>
      <c r="D941" s="451"/>
      <c r="E941" s="300"/>
      <c r="F941" s="301"/>
      <c r="G941" s="302"/>
      <c r="H941" s="301"/>
      <c r="I941" s="303">
        <f t="shared" si="87"/>
        <v>0</v>
      </c>
      <c r="J941" s="290"/>
      <c r="K941" s="374"/>
      <c r="L941" s="292"/>
      <c r="M941" s="292"/>
      <c r="N941" s="292"/>
      <c r="O941" s="291"/>
      <c r="P941" s="291"/>
      <c r="Q941" s="291"/>
      <c r="R941" s="291"/>
      <c r="S941" s="291"/>
      <c r="T941" s="291"/>
      <c r="U941" s="291"/>
      <c r="V941" s="291"/>
      <c r="W941" s="291"/>
      <c r="X941" s="291"/>
      <c r="Y941" s="291"/>
      <c r="Z941" s="291"/>
      <c r="AA941" s="440"/>
      <c r="AB941" s="460"/>
      <c r="AC941" s="440"/>
      <c r="AD941" s="444"/>
      <c r="AF941" s="365"/>
      <c r="AJ941" s="468"/>
    </row>
    <row r="942" spans="1:49" ht="12.75" customHeight="1" x14ac:dyDescent="0.25">
      <c r="A942" s="1148"/>
      <c r="B942" s="469" t="s">
        <v>1178</v>
      </c>
      <c r="C942" s="493">
        <v>0.2</v>
      </c>
      <c r="D942" s="451"/>
      <c r="E942" s="300"/>
      <c r="F942" s="301"/>
      <c r="G942" s="302"/>
      <c r="H942" s="301"/>
      <c r="I942" s="303">
        <f t="shared" si="87"/>
        <v>0</v>
      </c>
      <c r="J942" s="290"/>
      <c r="K942" s="374"/>
      <c r="L942" s="292"/>
      <c r="M942" s="292"/>
      <c r="N942" s="292"/>
      <c r="O942" s="291"/>
      <c r="P942" s="291"/>
      <c r="Q942" s="291"/>
      <c r="R942" s="291"/>
      <c r="S942" s="291"/>
      <c r="T942" s="291"/>
      <c r="U942" s="291"/>
      <c r="V942" s="291"/>
      <c r="W942" s="291"/>
      <c r="X942" s="291"/>
      <c r="Y942" s="291"/>
      <c r="Z942" s="291"/>
      <c r="AA942" s="440"/>
      <c r="AB942" s="460"/>
      <c r="AC942" s="440"/>
      <c r="AD942" s="444"/>
      <c r="AF942" s="365"/>
      <c r="AJ942" s="472"/>
    </row>
    <row r="943" spans="1:49" ht="12.75" customHeight="1" x14ac:dyDescent="0.25">
      <c r="A943" s="1148"/>
      <c r="B943" s="452" t="s">
        <v>1179</v>
      </c>
      <c r="C943" s="493">
        <v>0.2</v>
      </c>
      <c r="D943" s="451"/>
      <c r="E943" s="559"/>
      <c r="F943" s="560"/>
      <c r="G943" s="543"/>
      <c r="H943" s="542"/>
      <c r="I943" s="544">
        <f t="shared" si="87"/>
        <v>0</v>
      </c>
      <c r="J943" s="290"/>
      <c r="K943" s="374"/>
      <c r="L943" s="305"/>
      <c r="M943" s="304"/>
      <c r="N943" s="292"/>
      <c r="O943" s="291"/>
      <c r="P943" s="291"/>
      <c r="Q943" s="291"/>
      <c r="R943" s="291"/>
      <c r="S943" s="291"/>
      <c r="T943" s="291"/>
      <c r="U943" s="291"/>
      <c r="V943" s="291"/>
      <c r="W943" s="291"/>
      <c r="X943" s="291"/>
      <c r="Y943" s="291"/>
      <c r="Z943" s="291"/>
      <c r="AA943" s="440"/>
      <c r="AB943" s="460"/>
      <c r="AC943" s="440"/>
      <c r="AD943" s="444"/>
      <c r="AF943" s="365"/>
      <c r="AJ943" s="472"/>
    </row>
    <row r="944" spans="1:49" ht="12.75" customHeight="1" x14ac:dyDescent="0.25">
      <c r="A944" s="1148"/>
      <c r="B944" s="474" t="s">
        <v>1181</v>
      </c>
      <c r="C944" s="487">
        <f>C939*C942+C940*C943</f>
        <v>12.676914869672856</v>
      </c>
      <c r="D944" s="451"/>
      <c r="E944" s="559"/>
      <c r="F944" s="560"/>
      <c r="G944" s="543"/>
      <c r="H944" s="542"/>
      <c r="I944" s="544">
        <f t="shared" si="87"/>
        <v>0</v>
      </c>
      <c r="J944" s="290"/>
      <c r="K944" s="374"/>
      <c r="L944" s="292"/>
      <c r="M944" s="292"/>
      <c r="N944" s="292"/>
      <c r="O944" s="291"/>
      <c r="P944" s="291"/>
      <c r="Q944" s="291"/>
      <c r="R944" s="291"/>
      <c r="S944" s="291"/>
      <c r="T944" s="291"/>
      <c r="U944" s="291"/>
      <c r="V944" s="291"/>
      <c r="W944" s="291"/>
      <c r="X944" s="291"/>
      <c r="Y944" s="291"/>
      <c r="Z944" s="291"/>
      <c r="AA944" s="440"/>
      <c r="AB944" s="460"/>
      <c r="AC944" s="440"/>
      <c r="AD944" s="444"/>
      <c r="AF944" s="365"/>
      <c r="AJ944" s="468"/>
    </row>
    <row r="945" spans="1:49" ht="12.75" customHeight="1" x14ac:dyDescent="0.25">
      <c r="A945" s="1148"/>
      <c r="B945" s="474"/>
      <c r="C945" s="487"/>
      <c r="D945" s="475"/>
      <c r="E945" s="559"/>
      <c r="F945" s="560"/>
      <c r="G945" s="543"/>
      <c r="H945" s="542"/>
      <c r="I945" s="544">
        <f t="shared" si="87"/>
        <v>0</v>
      </c>
      <c r="J945" s="290"/>
      <c r="K945" s="374"/>
      <c r="L945" s="292"/>
      <c r="M945" s="292"/>
      <c r="N945" s="292"/>
      <c r="O945" s="291"/>
      <c r="P945" s="291"/>
      <c r="Q945" s="291"/>
      <c r="R945" s="291"/>
      <c r="S945" s="291"/>
      <c r="T945" s="291"/>
      <c r="U945" s="291"/>
      <c r="V945" s="291"/>
      <c r="W945" s="291"/>
      <c r="X945" s="291"/>
      <c r="Y945" s="291"/>
      <c r="Z945" s="291"/>
      <c r="AA945" s="440"/>
      <c r="AB945" s="460"/>
      <c r="AC945" s="440"/>
      <c r="AD945" s="444"/>
      <c r="AF945" s="365"/>
      <c r="AJ945" s="468"/>
    </row>
    <row r="946" spans="1:49" ht="56.25" customHeight="1" x14ac:dyDescent="0.25">
      <c r="A946" s="1148" t="s">
        <v>2107</v>
      </c>
      <c r="B946" s="439" t="s">
        <v>2108</v>
      </c>
      <c r="C946" s="439"/>
      <c r="D946" s="499"/>
      <c r="E946" s="441" t="s">
        <v>488</v>
      </c>
      <c r="F946" s="442" t="s">
        <v>837</v>
      </c>
      <c r="G946" s="439" t="s">
        <v>489</v>
      </c>
      <c r="H946" s="441" t="s">
        <v>1170</v>
      </c>
      <c r="I946" s="442" t="s">
        <v>838</v>
      </c>
      <c r="J946" s="280" t="s">
        <v>1171</v>
      </c>
      <c r="K946" s="280" t="s">
        <v>490</v>
      </c>
      <c r="L946" s="281" t="s">
        <v>489</v>
      </c>
      <c r="M946" s="280" t="s">
        <v>1172</v>
      </c>
      <c r="N946" s="442" t="s">
        <v>838</v>
      </c>
      <c r="O946" s="280" t="s">
        <v>1171</v>
      </c>
      <c r="P946" s="280" t="s">
        <v>826</v>
      </c>
      <c r="Q946" s="280" t="s">
        <v>1173</v>
      </c>
      <c r="R946" s="280" t="s">
        <v>1174</v>
      </c>
      <c r="S946" s="280" t="s">
        <v>839</v>
      </c>
      <c r="T946" s="280" t="s">
        <v>1171</v>
      </c>
      <c r="U946" s="280" t="s">
        <v>1392</v>
      </c>
      <c r="V946" s="280" t="s">
        <v>841</v>
      </c>
      <c r="W946" s="282" t="s">
        <v>1173</v>
      </c>
      <c r="X946" s="280" t="s">
        <v>1394</v>
      </c>
      <c r="Y946" s="280" t="s">
        <v>839</v>
      </c>
      <c r="Z946" s="283"/>
      <c r="AA946" s="440"/>
      <c r="AB946" s="460"/>
      <c r="AC946" s="440"/>
      <c r="AD946" s="444"/>
      <c r="AQ946" s="449"/>
      <c r="AR946" s="449"/>
      <c r="AS946" s="449"/>
    </row>
    <row r="947" spans="1:49" ht="12" customHeight="1" x14ac:dyDescent="0.25">
      <c r="A947" s="1148"/>
      <c r="B947" s="450" t="s">
        <v>1175</v>
      </c>
      <c r="C947" s="439">
        <f>C954</f>
        <v>6.3384574348364282</v>
      </c>
      <c r="D947" s="489">
        <f>C947*$D$7</f>
        <v>1.2803684018369585</v>
      </c>
      <c r="E947" s="452" t="s">
        <v>1176</v>
      </c>
      <c r="F947" s="453"/>
      <c r="G947" s="454"/>
      <c r="H947" s="454"/>
      <c r="I947" s="455">
        <f>SUM(I948:I955)</f>
        <v>2.8600000000000003</v>
      </c>
      <c r="J947" s="290" t="s">
        <v>1176</v>
      </c>
      <c r="K947" s="357"/>
      <c r="L947" s="291"/>
      <c r="M947" s="291"/>
      <c r="N947" s="292">
        <f>SUM(N948:N955)</f>
        <v>2.4405961139812228E-2</v>
      </c>
      <c r="O947" s="291" t="s">
        <v>1176</v>
      </c>
      <c r="P947" s="291"/>
      <c r="Q947" s="293"/>
      <c r="R947" s="294"/>
      <c r="S947" s="292">
        <f>SUM(S948:S955)</f>
        <v>0.50181649603493061</v>
      </c>
      <c r="T947" s="292"/>
      <c r="U947" s="292"/>
      <c r="V947" s="292"/>
      <c r="W947" s="292"/>
      <c r="X947" s="292"/>
      <c r="Y947" s="292">
        <f>SUM(Y948:Y955)</f>
        <v>1.0307632433223615</v>
      </c>
      <c r="Z947" s="296">
        <f>(C947+D947+I947+N947+S947+Y947)*$Z$7</f>
        <v>15.648814033426502</v>
      </c>
      <c r="AA947" s="459">
        <f>C947+D947+I947+N947+S947+Y947+Z947</f>
        <v>27.684625570596992</v>
      </c>
      <c r="AB947" s="460">
        <v>0.3</v>
      </c>
      <c r="AC947" s="461">
        <f>AA947*(1+AB947)</f>
        <v>35.99001324177609</v>
      </c>
      <c r="AD947" s="448"/>
      <c r="AI947" s="449"/>
      <c r="AJ947" s="462"/>
      <c r="AK947" s="463"/>
      <c r="AM947" s="464"/>
      <c r="AN947" s="143"/>
      <c r="AO947" s="464"/>
      <c r="AP947" s="449"/>
      <c r="AQ947" s="449"/>
      <c r="AR947" s="449"/>
      <c r="AS947" s="449"/>
      <c r="AT947" s="449"/>
      <c r="AU947" s="464"/>
      <c r="AV947" s="464"/>
      <c r="AW947" s="465"/>
    </row>
    <row r="948" spans="1:49" ht="12.75" customHeight="1" x14ac:dyDescent="0.25">
      <c r="A948" s="1148"/>
      <c r="B948" s="466" t="s">
        <v>830</v>
      </c>
      <c r="C948" s="439"/>
      <c r="D948" s="451"/>
      <c r="E948" s="300" t="s">
        <v>2109</v>
      </c>
      <c r="F948" s="301" t="s">
        <v>1441</v>
      </c>
      <c r="G948" s="302">
        <v>28.6</v>
      </c>
      <c r="H948" s="301">
        <v>0.1</v>
      </c>
      <c r="I948" s="303">
        <f t="shared" ref="I948:I955" si="88">G948*H948</f>
        <v>2.8600000000000003</v>
      </c>
      <c r="J948" s="290" t="s">
        <v>1291</v>
      </c>
      <c r="K948" s="304">
        <v>2</v>
      </c>
      <c r="L948" s="305">
        <v>1995</v>
      </c>
      <c r="M948" s="304">
        <v>1</v>
      </c>
      <c r="N948" s="292">
        <f>L948/'Исп. коэффициенты'!E28*'КМУ стом.'!C952</f>
        <v>2.2283703649393773E-2</v>
      </c>
      <c r="O948" s="467" t="s">
        <v>1578</v>
      </c>
      <c r="P948" s="291">
        <v>188900</v>
      </c>
      <c r="Q948" s="372">
        <v>0.19670000000000001</v>
      </c>
      <c r="R948" s="291">
        <f>P948*Q948</f>
        <v>37156.630000000005</v>
      </c>
      <c r="S948" s="291">
        <f>R948/'Исп. коэффициенты'!E38*'КМУ стом.'!C952</f>
        <v>0.41503124387477403</v>
      </c>
      <c r="T948" s="458" t="s">
        <v>1435</v>
      </c>
      <c r="U948" s="456">
        <v>6785401.3499999996</v>
      </c>
      <c r="V948" s="738">
        <v>2978.5</v>
      </c>
      <c r="W948" s="457">
        <v>1.3599999999999999E-2</v>
      </c>
      <c r="X948" s="292">
        <f>U948*W948</f>
        <v>92281.45835999999</v>
      </c>
      <c r="Y948" s="291">
        <f>X948/'Исп. коэффициенты'!E38*'КМУ стом.'!C952</f>
        <v>1.0307632433223615</v>
      </c>
      <c r="Z948" s="291"/>
      <c r="AA948" s="440"/>
      <c r="AB948" s="460"/>
      <c r="AC948" s="440"/>
      <c r="AD948" s="444"/>
      <c r="AF948" s="365"/>
      <c r="AJ948" s="468"/>
      <c r="AT948" s="449"/>
    </row>
    <row r="949" spans="1:49" x14ac:dyDescent="0.25">
      <c r="A949" s="1148"/>
      <c r="B949" s="469" t="s">
        <v>1178</v>
      </c>
      <c r="C949" s="491">
        <f>C939</f>
        <v>43.888814515309463</v>
      </c>
      <c r="D949" s="451"/>
      <c r="E949" s="300"/>
      <c r="F949" s="301"/>
      <c r="G949" s="302"/>
      <c r="H949" s="301"/>
      <c r="I949" s="303">
        <f t="shared" si="88"/>
        <v>0</v>
      </c>
      <c r="J949" s="290" t="s">
        <v>1445</v>
      </c>
      <c r="K949" s="292">
        <v>2</v>
      </c>
      <c r="L949" s="311">
        <v>190</v>
      </c>
      <c r="M949" s="304">
        <v>1</v>
      </c>
      <c r="N949" s="292">
        <f>L949/'Исп. коэффициенты'!E28*'КМУ стом.'!C952</f>
        <v>2.1222574904184543E-3</v>
      </c>
      <c r="O949" s="291" t="s">
        <v>1580</v>
      </c>
      <c r="P949" s="291">
        <v>39500</v>
      </c>
      <c r="Q949" s="372">
        <v>0.19670000000000001</v>
      </c>
      <c r="R949" s="291">
        <f>P949*Q949</f>
        <v>7769.6500000000005</v>
      </c>
      <c r="S949" s="291">
        <f>R949/'Исп. коэффициенты'!E38*'КМУ стом.'!C952</f>
        <v>8.6785252160156562E-2</v>
      </c>
      <c r="T949" s="291"/>
      <c r="U949" s="291"/>
      <c r="V949" s="291"/>
      <c r="W949" s="372"/>
      <c r="X949" s="291"/>
      <c r="Y949" s="291"/>
      <c r="Z949" s="291"/>
      <c r="AA949" s="440"/>
      <c r="AB949" s="460"/>
      <c r="AC949" s="440"/>
      <c r="AD949" s="444"/>
      <c r="AF949" s="365"/>
      <c r="AJ949" s="468"/>
      <c r="AM949" s="465"/>
    </row>
    <row r="950" spans="1:49" ht="12.75" customHeight="1" x14ac:dyDescent="0.25">
      <c r="A950" s="1148"/>
      <c r="B950" s="452" t="s">
        <v>1179</v>
      </c>
      <c r="C950" s="487">
        <f>C940</f>
        <v>19.495759833054819</v>
      </c>
      <c r="D950" s="451"/>
      <c r="E950" s="300"/>
      <c r="F950" s="301"/>
      <c r="G950" s="302"/>
      <c r="H950" s="471"/>
      <c r="I950" s="303">
        <f t="shared" si="88"/>
        <v>0</v>
      </c>
      <c r="J950" s="290"/>
      <c r="K950" s="292"/>
      <c r="L950" s="292"/>
      <c r="M950" s="304"/>
      <c r="N950" s="292"/>
      <c r="O950" s="291"/>
      <c r="P950" s="291"/>
      <c r="Q950" s="372"/>
      <c r="R950" s="291"/>
      <c r="S950" s="291"/>
      <c r="T950" s="291"/>
      <c r="U950" s="291"/>
      <c r="V950" s="291"/>
      <c r="W950" s="372"/>
      <c r="X950" s="291"/>
      <c r="Y950" s="291"/>
      <c r="Z950" s="291"/>
      <c r="AA950" s="440"/>
      <c r="AB950" s="460"/>
      <c r="AC950" s="440"/>
      <c r="AD950" s="444"/>
      <c r="AF950" s="365"/>
      <c r="AJ950" s="468"/>
    </row>
    <row r="951" spans="1:49" ht="12.75" customHeight="1" x14ac:dyDescent="0.25">
      <c r="A951" s="1148"/>
      <c r="B951" s="452" t="s">
        <v>831</v>
      </c>
      <c r="C951" s="492"/>
      <c r="D951" s="451"/>
      <c r="E951" s="300"/>
      <c r="F951" s="301"/>
      <c r="G951" s="302"/>
      <c r="H951" s="301"/>
      <c r="I951" s="303">
        <f t="shared" si="88"/>
        <v>0</v>
      </c>
      <c r="J951" s="290"/>
      <c r="K951" s="374"/>
      <c r="L951" s="292"/>
      <c r="M951" s="292"/>
      <c r="N951" s="292"/>
      <c r="O951" s="291"/>
      <c r="P951" s="291"/>
      <c r="Q951" s="291"/>
      <c r="R951" s="291"/>
      <c r="S951" s="291"/>
      <c r="T951" s="291"/>
      <c r="U951" s="291"/>
      <c r="V951" s="291"/>
      <c r="W951" s="291"/>
      <c r="X951" s="291"/>
      <c r="Y951" s="291"/>
      <c r="Z951" s="291"/>
      <c r="AA951" s="440"/>
      <c r="AB951" s="460"/>
      <c r="AC951" s="440"/>
      <c r="AD951" s="444"/>
      <c r="AF951" s="365"/>
      <c r="AJ951" s="468"/>
    </row>
    <row r="952" spans="1:49" ht="12.75" customHeight="1" x14ac:dyDescent="0.25">
      <c r="A952" s="1148"/>
      <c r="B952" s="469" t="s">
        <v>1178</v>
      </c>
      <c r="C952" s="493">
        <v>0.1</v>
      </c>
      <c r="D952" s="451"/>
      <c r="E952" s="300"/>
      <c r="F952" s="301"/>
      <c r="G952" s="302"/>
      <c r="H952" s="301"/>
      <c r="I952" s="303">
        <f t="shared" si="88"/>
        <v>0</v>
      </c>
      <c r="J952" s="290"/>
      <c r="K952" s="374"/>
      <c r="L952" s="292"/>
      <c r="M952" s="292"/>
      <c r="N952" s="292"/>
      <c r="O952" s="291"/>
      <c r="P952" s="291"/>
      <c r="Q952" s="291"/>
      <c r="R952" s="291"/>
      <c r="S952" s="291"/>
      <c r="T952" s="291"/>
      <c r="U952" s="291"/>
      <c r="V952" s="291"/>
      <c r="W952" s="291"/>
      <c r="X952" s="291"/>
      <c r="Y952" s="291"/>
      <c r="Z952" s="291"/>
      <c r="AA952" s="440"/>
      <c r="AB952" s="460"/>
      <c r="AC952" s="440"/>
      <c r="AD952" s="444"/>
      <c r="AF952" s="365"/>
      <c r="AJ952" s="472"/>
    </row>
    <row r="953" spans="1:49" ht="12.75" customHeight="1" x14ac:dyDescent="0.25">
      <c r="A953" s="1148"/>
      <c r="B953" s="452" t="s">
        <v>1179</v>
      </c>
      <c r="C953" s="493">
        <v>0.1</v>
      </c>
      <c r="D953" s="451"/>
      <c r="E953" s="559"/>
      <c r="F953" s="560"/>
      <c r="G953" s="543"/>
      <c r="H953" s="542"/>
      <c r="I953" s="544">
        <f t="shared" si="88"/>
        <v>0</v>
      </c>
      <c r="J953" s="290"/>
      <c r="K953" s="374"/>
      <c r="L953" s="305"/>
      <c r="M953" s="304"/>
      <c r="N953" s="292"/>
      <c r="O953" s="291"/>
      <c r="P953" s="291"/>
      <c r="Q953" s="291"/>
      <c r="R953" s="291"/>
      <c r="S953" s="291"/>
      <c r="T953" s="291"/>
      <c r="U953" s="291"/>
      <c r="V953" s="291"/>
      <c r="W953" s="291"/>
      <c r="X953" s="291"/>
      <c r="Y953" s="291"/>
      <c r="Z953" s="291"/>
      <c r="AA953" s="440"/>
      <c r="AB953" s="460"/>
      <c r="AC953" s="440"/>
      <c r="AD953" s="444"/>
      <c r="AF953" s="365"/>
      <c r="AJ953" s="472"/>
    </row>
    <row r="954" spans="1:49" ht="12.75" customHeight="1" x14ac:dyDescent="0.25">
      <c r="A954" s="1148"/>
      <c r="B954" s="474" t="s">
        <v>1181</v>
      </c>
      <c r="C954" s="487">
        <f>C949*C952+C950*C953</f>
        <v>6.3384574348364282</v>
      </c>
      <c r="D954" s="451"/>
      <c r="E954" s="559"/>
      <c r="F954" s="560"/>
      <c r="G954" s="543"/>
      <c r="H954" s="542"/>
      <c r="I954" s="544">
        <f t="shared" si="88"/>
        <v>0</v>
      </c>
      <c r="J954" s="290"/>
      <c r="K954" s="374"/>
      <c r="L954" s="292"/>
      <c r="M954" s="292"/>
      <c r="N954" s="292"/>
      <c r="O954" s="291"/>
      <c r="P954" s="291"/>
      <c r="Q954" s="291"/>
      <c r="R954" s="291"/>
      <c r="S954" s="291"/>
      <c r="T954" s="291"/>
      <c r="U954" s="291"/>
      <c r="V954" s="291"/>
      <c r="W954" s="291"/>
      <c r="X954" s="291"/>
      <c r="Y954" s="291"/>
      <c r="Z954" s="291"/>
      <c r="AA954" s="440"/>
      <c r="AB954" s="460"/>
      <c r="AC954" s="440"/>
      <c r="AD954" s="444"/>
      <c r="AF954" s="365"/>
      <c r="AJ954" s="468"/>
    </row>
    <row r="955" spans="1:49" ht="12.75" customHeight="1" x14ac:dyDescent="0.25">
      <c r="A955" s="1148"/>
      <c r="B955" s="474"/>
      <c r="C955" s="487"/>
      <c r="D955" s="475"/>
      <c r="E955" s="559"/>
      <c r="F955" s="560"/>
      <c r="G955" s="543"/>
      <c r="H955" s="542"/>
      <c r="I955" s="544">
        <f t="shared" si="88"/>
        <v>0</v>
      </c>
      <c r="J955" s="290"/>
      <c r="K955" s="374"/>
      <c r="L955" s="292"/>
      <c r="M955" s="292"/>
      <c r="N955" s="292"/>
      <c r="O955" s="291"/>
      <c r="P955" s="291"/>
      <c r="Q955" s="291"/>
      <c r="R955" s="291"/>
      <c r="S955" s="291"/>
      <c r="T955" s="291"/>
      <c r="U955" s="291"/>
      <c r="V955" s="291"/>
      <c r="W955" s="291"/>
      <c r="X955" s="291"/>
      <c r="Y955" s="291"/>
      <c r="Z955" s="291"/>
      <c r="AA955" s="440"/>
      <c r="AB955" s="460"/>
      <c r="AC955" s="440"/>
      <c r="AD955" s="444"/>
      <c r="AF955" s="365"/>
      <c r="AJ955" s="468"/>
    </row>
  </sheetData>
  <mergeCells count="105">
    <mergeCell ref="A906:A915"/>
    <mergeCell ref="A916:A925"/>
    <mergeCell ref="A926:A935"/>
    <mergeCell ref="A936:A945"/>
    <mergeCell ref="A946:A955"/>
    <mergeCell ref="A725:A734"/>
    <mergeCell ref="A855:A864"/>
    <mergeCell ref="A865:A874"/>
    <mergeCell ref="A805:A814"/>
    <mergeCell ref="A815:A824"/>
    <mergeCell ref="A825:A834"/>
    <mergeCell ref="A835:A844"/>
    <mergeCell ref="A795:A804"/>
    <mergeCell ref="A845:A854"/>
    <mergeCell ref="A775:A784"/>
    <mergeCell ref="A785:A794"/>
    <mergeCell ref="A735:A744"/>
    <mergeCell ref="A745:A754"/>
    <mergeCell ref="A755:A764"/>
    <mergeCell ref="A765:A774"/>
    <mergeCell ref="A885:A895"/>
    <mergeCell ref="A896:A905"/>
    <mergeCell ref="A875:A884"/>
    <mergeCell ref="A675:A684"/>
    <mergeCell ref="A685:A694"/>
    <mergeCell ref="A695:A704"/>
    <mergeCell ref="A705:A714"/>
    <mergeCell ref="A715:A724"/>
    <mergeCell ref="A536:A548"/>
    <mergeCell ref="A665:A674"/>
    <mergeCell ref="A625:A634"/>
    <mergeCell ref="A549:A561"/>
    <mergeCell ref="A562:A574"/>
    <mergeCell ref="A575:A584"/>
    <mergeCell ref="A585:A594"/>
    <mergeCell ref="A635:A644"/>
    <mergeCell ref="A645:A654"/>
    <mergeCell ref="A605:A614"/>
    <mergeCell ref="A615:A624"/>
    <mergeCell ref="A655:A664"/>
    <mergeCell ref="A595:A604"/>
    <mergeCell ref="A1:M1"/>
    <mergeCell ref="A6:A7"/>
    <mergeCell ref="B6:C6"/>
    <mergeCell ref="E6:I7"/>
    <mergeCell ref="J6:N7"/>
    <mergeCell ref="A20:A29"/>
    <mergeCell ref="A60:A69"/>
    <mergeCell ref="A110:A119"/>
    <mergeCell ref="A232:Y232"/>
    <mergeCell ref="A176:A185"/>
    <mergeCell ref="O6:S7"/>
    <mergeCell ref="T6:Y7"/>
    <mergeCell ref="A130:A139"/>
    <mergeCell ref="A149:A157"/>
    <mergeCell ref="A158:A166"/>
    <mergeCell ref="A223:A231"/>
    <mergeCell ref="A167:A175"/>
    <mergeCell ref="A186:A194"/>
    <mergeCell ref="A195:A204"/>
    <mergeCell ref="A523:A535"/>
    <mergeCell ref="AC6:AC7"/>
    <mergeCell ref="A8:AC8"/>
    <mergeCell ref="A9:AC9"/>
    <mergeCell ref="A30:A39"/>
    <mergeCell ref="A294:A303"/>
    <mergeCell ref="A274:A283"/>
    <mergeCell ref="A284:A293"/>
    <mergeCell ref="A234:A243"/>
    <mergeCell ref="A254:A263"/>
    <mergeCell ref="A264:A273"/>
    <mergeCell ref="A40:A49"/>
    <mergeCell ref="A50:A59"/>
    <mergeCell ref="A140:A148"/>
    <mergeCell ref="A70:A79"/>
    <mergeCell ref="A80:A89"/>
    <mergeCell ref="A214:A222"/>
    <mergeCell ref="A510:A522"/>
    <mergeCell ref="A486:A495"/>
    <mergeCell ref="A439:A450"/>
    <mergeCell ref="A244:A253"/>
    <mergeCell ref="A233:AC233"/>
    <mergeCell ref="A304:A315"/>
    <mergeCell ref="A350:A359"/>
    <mergeCell ref="A415:A426"/>
    <mergeCell ref="A404:A414"/>
    <mergeCell ref="A496:A509"/>
    <mergeCell ref="A382:A392"/>
    <mergeCell ref="AA6:AA7"/>
    <mergeCell ref="AB6:AB7"/>
    <mergeCell ref="A10:A19"/>
    <mergeCell ref="A90:A99"/>
    <mergeCell ref="A100:A109"/>
    <mergeCell ref="A120:A129"/>
    <mergeCell ref="A205:A213"/>
    <mergeCell ref="A360:A369"/>
    <mergeCell ref="A316:A327"/>
    <mergeCell ref="A328:A339"/>
    <mergeCell ref="A427:A438"/>
    <mergeCell ref="A451:A462"/>
    <mergeCell ref="A474:A485"/>
    <mergeCell ref="A463:A473"/>
    <mergeCell ref="A370:A381"/>
    <mergeCell ref="A393:A403"/>
    <mergeCell ref="A340:A349"/>
  </mergeCells>
  <phoneticPr fontId="2" type="noConversion"/>
  <pageMargins left="0.74803149606299213" right="0.74803149606299213" top="0.98425196850393704" bottom="0.98425196850393704" header="0.51181102362204722" footer="0.51181102362204722"/>
  <pageSetup paperSize="9" scale="27" fitToWidth="0" fitToHeight="0" orientation="landscape" verticalDpi="200" r:id="rId1"/>
  <headerFooter alignWithMargins="0"/>
  <rowBreaks count="11" manualBreakCount="11">
    <brk id="89" max="16383" man="1"/>
    <brk id="148" max="16383" man="1"/>
    <brk id="231" max="16383" man="1"/>
    <brk id="327" max="16383" man="1"/>
    <brk id="438" max="16383" man="1"/>
    <brk id="561" max="16383" man="1"/>
    <brk id="574" max="52" man="1"/>
    <brk id="644" max="16383" man="1"/>
    <brk id="714" max="16383" man="1"/>
    <brk id="774" max="16383" man="1"/>
    <brk id="834" max="16383" man="1"/>
  </rowBreaks>
  <colBreaks count="1" manualBreakCount="1">
    <brk id="29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</sheetPr>
  <dimension ref="A1:BA387"/>
  <sheetViews>
    <sheetView topLeftCell="A362" workbookViewId="0">
      <selection activeCell="B378" sqref="B378"/>
    </sheetView>
  </sheetViews>
  <sheetFormatPr defaultColWidth="9.109375" defaultRowHeight="13.2" x14ac:dyDescent="0.25"/>
  <cols>
    <col min="1" max="1" width="15" style="34" customWidth="1"/>
    <col min="2" max="2" width="13.109375" style="36" customWidth="1"/>
    <col min="3" max="3" width="8.109375" style="35" customWidth="1"/>
    <col min="4" max="4" width="5.88671875" style="56" customWidth="1"/>
    <col min="5" max="5" width="15.5546875" style="36" customWidth="1"/>
    <col min="6" max="6" width="4.88671875" style="164" customWidth="1"/>
    <col min="7" max="7" width="6.44140625" style="37" customWidth="1"/>
    <col min="8" max="8" width="5.88671875" style="37" customWidth="1"/>
    <col min="9" max="9" width="6.33203125" style="3" customWidth="1"/>
    <col min="10" max="10" width="10.6640625" style="40" customWidth="1"/>
    <col min="11" max="11" width="4.109375" style="168" customWidth="1"/>
    <col min="12" max="12" width="5.5546875" style="38" customWidth="1"/>
    <col min="13" max="13" width="5" style="38" customWidth="1"/>
    <col min="14" max="14" width="5.6640625" style="38" customWidth="1"/>
    <col min="15" max="15" width="13.33203125" style="38" customWidth="1"/>
    <col min="16" max="16" width="9" style="38" customWidth="1"/>
    <col min="17" max="17" width="6" style="38" customWidth="1"/>
    <col min="18" max="18" width="7.109375" style="38" customWidth="1"/>
    <col min="19" max="19" width="8.33203125" style="38" customWidth="1"/>
    <col min="20" max="20" width="16.44140625" style="38" customWidth="1"/>
    <col min="21" max="21" width="10.44140625" style="38" customWidth="1"/>
    <col min="22" max="22" width="10.33203125" style="38" customWidth="1"/>
    <col min="23" max="23" width="6.33203125" style="38" customWidth="1"/>
    <col min="24" max="24" width="7.109375" style="38" customWidth="1"/>
    <col min="25" max="25" width="7.5546875" style="38" customWidth="1"/>
    <col min="26" max="26" width="9.33203125" style="38" customWidth="1"/>
    <col min="27" max="27" width="9.6640625" style="3" hidden="1" customWidth="1"/>
    <col min="28" max="28" width="9.5546875" style="3" hidden="1" customWidth="1"/>
    <col min="29" max="29" width="10.109375" style="3" hidden="1" customWidth="1"/>
    <col min="30" max="30" width="9.109375" style="3"/>
    <col min="31" max="31" width="10.6640625" style="3" customWidth="1"/>
    <col min="32" max="32" width="10.109375" style="81" customWidth="1"/>
    <col min="33" max="33" width="9.109375" style="56"/>
    <col min="34" max="34" width="10.6640625" style="125" customWidth="1"/>
    <col min="35" max="35" width="14.33203125" style="125" customWidth="1"/>
    <col min="36" max="36" width="7.88671875" style="125" customWidth="1"/>
    <col min="37" max="37" width="8.6640625" style="125" customWidth="1"/>
    <col min="38" max="38" width="11.33203125" style="127" customWidth="1"/>
    <col min="39" max="39" width="8" style="125" customWidth="1"/>
    <col min="40" max="40" width="11.109375" style="125" customWidth="1"/>
    <col min="41" max="41" width="8.109375" style="128" customWidth="1"/>
    <col min="42" max="42" width="14" style="125" customWidth="1"/>
    <col min="43" max="43" width="13.88671875" style="125" customWidth="1"/>
    <col min="44" max="44" width="14" style="128" customWidth="1"/>
    <col min="45" max="45" width="15.44140625" style="128" hidden="1" customWidth="1"/>
    <col min="46" max="46" width="11.33203125" style="125" hidden="1" customWidth="1"/>
    <col min="47" max="47" width="12.6640625" style="125" customWidth="1"/>
    <col min="48" max="48" width="13.6640625" style="128" customWidth="1"/>
    <col min="49" max="49" width="6.44140625" style="56" hidden="1" customWidth="1"/>
    <col min="50" max="50" width="9.5546875" style="56" customWidth="1"/>
    <col min="51" max="53" width="9.109375" style="56"/>
    <col min="54" max="16384" width="9.109375" style="3"/>
  </cols>
  <sheetData>
    <row r="1" spans="1:53" ht="22.5" customHeight="1" x14ac:dyDescent="0.3">
      <c r="A1" s="1072" t="s">
        <v>846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AI1" s="126"/>
    </row>
    <row r="2" spans="1:53" ht="12.75" customHeight="1" x14ac:dyDescent="0.25">
      <c r="A2" s="730"/>
      <c r="B2" s="74" t="s">
        <v>1178</v>
      </c>
      <c r="C2" s="436">
        <f>'Заработная плата'!M76</f>
        <v>33.667709452234185</v>
      </c>
    </row>
    <row r="3" spans="1:53" ht="12.75" customHeight="1" x14ac:dyDescent="0.25">
      <c r="B3" s="57" t="s">
        <v>1179</v>
      </c>
      <c r="C3" s="436">
        <f>'Заработная плата'!M97</f>
        <v>19.495759833054819</v>
      </c>
    </row>
    <row r="4" spans="1:53" s="44" customFormat="1" ht="59.25" customHeight="1" x14ac:dyDescent="0.25">
      <c r="A4" s="41"/>
      <c r="B4" s="1073" t="s">
        <v>487</v>
      </c>
      <c r="C4" s="1117"/>
      <c r="D4" s="731" t="s">
        <v>491</v>
      </c>
      <c r="E4" s="1074" t="s">
        <v>1164</v>
      </c>
      <c r="F4" s="1075"/>
      <c r="G4" s="1075"/>
      <c r="H4" s="1075"/>
      <c r="I4" s="1064"/>
      <c r="J4" s="1066" t="s">
        <v>1165</v>
      </c>
      <c r="K4" s="1067"/>
      <c r="L4" s="1067"/>
      <c r="M4" s="1067"/>
      <c r="N4" s="1070"/>
      <c r="O4" s="1066" t="s">
        <v>492</v>
      </c>
      <c r="P4" s="1067"/>
      <c r="Q4" s="1067"/>
      <c r="R4" s="1067"/>
      <c r="S4" s="1067"/>
      <c r="T4" s="1066" t="s">
        <v>840</v>
      </c>
      <c r="U4" s="1067"/>
      <c r="V4" s="1067"/>
      <c r="W4" s="1067"/>
      <c r="X4" s="1067"/>
      <c r="Y4" s="1070"/>
      <c r="Z4" s="156" t="s">
        <v>1166</v>
      </c>
      <c r="AA4" s="1064" t="s">
        <v>827</v>
      </c>
      <c r="AB4" s="1062" t="s">
        <v>1167</v>
      </c>
      <c r="AC4" s="1062" t="s">
        <v>1168</v>
      </c>
      <c r="AD4" s="43"/>
      <c r="AF4" s="149"/>
      <c r="AG4" s="152"/>
      <c r="AH4" s="152"/>
      <c r="AI4" s="129"/>
      <c r="AJ4" s="130"/>
      <c r="AK4" s="129"/>
      <c r="AL4" s="131"/>
      <c r="AM4" s="129"/>
      <c r="AN4" s="129"/>
      <c r="AO4" s="132"/>
      <c r="AP4" s="132"/>
      <c r="AQ4" s="132"/>
      <c r="AR4" s="132"/>
      <c r="AS4" s="132"/>
      <c r="AT4" s="132"/>
      <c r="AU4" s="129"/>
      <c r="AV4" s="129"/>
      <c r="AW4" s="133"/>
      <c r="AX4" s="133"/>
      <c r="AY4" s="133"/>
      <c r="AZ4" s="133"/>
      <c r="BA4" s="133"/>
    </row>
    <row r="5" spans="1:53" s="35" customFormat="1" ht="13.5" customHeight="1" x14ac:dyDescent="0.25">
      <c r="A5" s="45"/>
      <c r="B5" s="46" t="s">
        <v>488</v>
      </c>
      <c r="C5" s="229" t="s">
        <v>1169</v>
      </c>
      <c r="D5" s="230">
        <v>0.20200000000000001</v>
      </c>
      <c r="E5" s="1076"/>
      <c r="F5" s="1077"/>
      <c r="G5" s="1077"/>
      <c r="H5" s="1077"/>
      <c r="I5" s="1065"/>
      <c r="J5" s="1068"/>
      <c r="K5" s="1069"/>
      <c r="L5" s="1069"/>
      <c r="M5" s="1069"/>
      <c r="N5" s="1071"/>
      <c r="O5" s="1068"/>
      <c r="P5" s="1069"/>
      <c r="Q5" s="1069"/>
      <c r="R5" s="1069"/>
      <c r="S5" s="1069"/>
      <c r="T5" s="1068"/>
      <c r="U5" s="1069"/>
      <c r="V5" s="1069"/>
      <c r="W5" s="1069"/>
      <c r="X5" s="1069"/>
      <c r="Y5" s="1071"/>
      <c r="Z5" s="157">
        <f>'Исп. коэффициенты'!C91</f>
        <v>1.3001876927947804</v>
      </c>
      <c r="AA5" s="1065"/>
      <c r="AB5" s="1063"/>
      <c r="AC5" s="1063"/>
      <c r="AD5" s="48"/>
      <c r="AE5" s="49"/>
      <c r="AF5" s="150"/>
      <c r="AG5" s="81"/>
      <c r="AH5" s="134"/>
      <c r="AI5" s="135"/>
      <c r="AJ5" s="136"/>
      <c r="AK5" s="134"/>
      <c r="AL5" s="137"/>
      <c r="AM5" s="129"/>
      <c r="AN5" s="129"/>
      <c r="AO5" s="132"/>
      <c r="AP5" s="132"/>
      <c r="AQ5" s="138"/>
      <c r="AR5" s="138"/>
      <c r="AS5" s="138"/>
      <c r="AT5" s="132"/>
      <c r="AU5" s="129"/>
      <c r="AV5" s="130"/>
      <c r="AW5" s="81"/>
      <c r="AX5" s="81"/>
      <c r="AY5" s="81"/>
      <c r="AZ5" s="81"/>
      <c r="BA5" s="81"/>
    </row>
    <row r="6" spans="1:53" s="35" customFormat="1" ht="17.25" customHeight="1" x14ac:dyDescent="0.25">
      <c r="A6" s="1118" t="s">
        <v>1182</v>
      </c>
      <c r="B6" s="1119"/>
      <c r="C6" s="1119"/>
      <c r="D6" s="1119"/>
      <c r="E6" s="1119"/>
      <c r="F6" s="1119"/>
      <c r="G6" s="1119"/>
      <c r="H6" s="1119"/>
      <c r="I6" s="1119"/>
      <c r="J6" s="1119"/>
      <c r="K6" s="1119"/>
      <c r="L6" s="1119"/>
      <c r="M6" s="1119"/>
      <c r="N6" s="1119"/>
      <c r="O6" s="1119"/>
      <c r="P6" s="1119"/>
      <c r="Q6" s="1119"/>
      <c r="R6" s="1119"/>
      <c r="S6" s="1119"/>
      <c r="T6" s="1120"/>
      <c r="U6" s="1120"/>
      <c r="V6" s="1120"/>
      <c r="W6" s="1120"/>
      <c r="X6" s="1120"/>
      <c r="Y6" s="1120"/>
      <c r="Z6" s="1120"/>
      <c r="AA6" s="1119"/>
      <c r="AB6" s="1119"/>
      <c r="AC6" s="1121"/>
      <c r="AD6" s="48"/>
      <c r="AE6" s="49"/>
      <c r="AF6" s="150"/>
      <c r="AG6" s="81"/>
      <c r="AH6" s="134"/>
      <c r="AI6" s="135"/>
      <c r="AJ6" s="136"/>
      <c r="AK6" s="134"/>
      <c r="AL6" s="137"/>
      <c r="AM6" s="129"/>
      <c r="AN6" s="129"/>
      <c r="AO6" s="132"/>
      <c r="AP6" s="132"/>
      <c r="AQ6" s="138"/>
      <c r="AR6" s="138"/>
      <c r="AS6" s="138"/>
      <c r="AT6" s="132"/>
      <c r="AU6" s="129"/>
      <c r="AV6" s="130"/>
      <c r="AW6" s="81"/>
      <c r="AX6" s="81"/>
      <c r="AY6" s="81"/>
      <c r="AZ6" s="81"/>
      <c r="BA6" s="81"/>
    </row>
    <row r="7" spans="1:53" s="35" customFormat="1" ht="22.5" customHeight="1" x14ac:dyDescent="0.25">
      <c r="A7" s="1059"/>
      <c r="B7" s="1060"/>
      <c r="C7" s="1060"/>
      <c r="D7" s="1060"/>
      <c r="E7" s="1060"/>
      <c r="F7" s="1060"/>
      <c r="G7" s="1060"/>
      <c r="H7" s="1060"/>
      <c r="I7" s="1060"/>
      <c r="J7" s="1060"/>
      <c r="K7" s="1060"/>
      <c r="L7" s="1060"/>
      <c r="M7" s="1060"/>
      <c r="N7" s="1060"/>
      <c r="O7" s="1060"/>
      <c r="P7" s="1060"/>
      <c r="Q7" s="1060"/>
      <c r="R7" s="1060"/>
      <c r="S7" s="1060"/>
      <c r="T7" s="1060"/>
      <c r="U7" s="1060"/>
      <c r="V7" s="1060"/>
      <c r="W7" s="1060"/>
      <c r="X7" s="1060"/>
      <c r="Y7" s="1060"/>
      <c r="Z7" s="1060"/>
      <c r="AA7" s="1060"/>
      <c r="AB7" s="1060"/>
      <c r="AC7" s="1061"/>
      <c r="AD7" s="48"/>
      <c r="AE7" s="49"/>
      <c r="AF7" s="150"/>
      <c r="AG7" s="81"/>
      <c r="AH7" s="134"/>
      <c r="AI7" s="135"/>
      <c r="AJ7" s="136"/>
      <c r="AK7" s="134"/>
      <c r="AL7" s="137"/>
      <c r="AM7" s="129"/>
      <c r="AN7" s="129"/>
      <c r="AO7" s="132"/>
      <c r="AP7" s="132"/>
      <c r="AQ7" s="138"/>
      <c r="AR7" s="138"/>
      <c r="AS7" s="138"/>
      <c r="AT7" s="132"/>
      <c r="AU7" s="129"/>
      <c r="AV7" s="130"/>
      <c r="AW7" s="81"/>
      <c r="AX7" s="81"/>
      <c r="AY7" s="81"/>
      <c r="AZ7" s="81"/>
      <c r="BA7" s="81"/>
    </row>
    <row r="8" spans="1:53" ht="56.25" customHeight="1" x14ac:dyDescent="0.25">
      <c r="A8" s="1012" t="s">
        <v>2110</v>
      </c>
      <c r="B8" s="258" t="s">
        <v>2111</v>
      </c>
      <c r="C8" s="222"/>
      <c r="D8" s="732"/>
      <c r="E8" s="226" t="s">
        <v>488</v>
      </c>
      <c r="F8" s="53" t="s">
        <v>837</v>
      </c>
      <c r="G8" s="735" t="s">
        <v>489</v>
      </c>
      <c r="H8" s="52" t="s">
        <v>1170</v>
      </c>
      <c r="I8" s="53" t="s">
        <v>838</v>
      </c>
      <c r="J8" s="47" t="s">
        <v>1171</v>
      </c>
      <c r="K8" s="47" t="s">
        <v>490</v>
      </c>
      <c r="L8" s="54" t="s">
        <v>489</v>
      </c>
      <c r="M8" s="47" t="s">
        <v>1172</v>
      </c>
      <c r="N8" s="53" t="s">
        <v>838</v>
      </c>
      <c r="O8" s="47" t="s">
        <v>1171</v>
      </c>
      <c r="P8" s="47" t="s">
        <v>826</v>
      </c>
      <c r="Q8" s="47" t="s">
        <v>1173</v>
      </c>
      <c r="R8" s="47" t="s">
        <v>1174</v>
      </c>
      <c r="S8" s="47" t="s">
        <v>839</v>
      </c>
      <c r="T8" s="47" t="s">
        <v>1171</v>
      </c>
      <c r="U8" s="47" t="s">
        <v>1392</v>
      </c>
      <c r="V8" s="47" t="s">
        <v>841</v>
      </c>
      <c r="W8" s="231" t="s">
        <v>1173</v>
      </c>
      <c r="X8" s="47" t="s">
        <v>1394</v>
      </c>
      <c r="Y8" s="47" t="s">
        <v>839</v>
      </c>
      <c r="Z8" s="55"/>
      <c r="AA8" s="1"/>
      <c r="AB8" s="1"/>
      <c r="AC8" s="1"/>
      <c r="AD8" s="56"/>
      <c r="AQ8" s="139"/>
      <c r="AR8" s="139"/>
      <c r="AS8" s="139"/>
    </row>
    <row r="9" spans="1:53" ht="12" customHeight="1" x14ac:dyDescent="0.25">
      <c r="A9" s="1013"/>
      <c r="B9" s="36" t="s">
        <v>1175</v>
      </c>
      <c r="C9" s="222">
        <f>C16</f>
        <v>159.49040785586701</v>
      </c>
      <c r="D9" s="732">
        <f>C9*$D$5</f>
        <v>32.217062386885139</v>
      </c>
      <c r="E9" s="227" t="s">
        <v>1176</v>
      </c>
      <c r="F9" s="165"/>
      <c r="G9" s="58"/>
      <c r="H9" s="58"/>
      <c r="I9" s="2">
        <f>SUM(I10:I17)</f>
        <v>19.86</v>
      </c>
      <c r="J9" s="59" t="s">
        <v>1176</v>
      </c>
      <c r="K9" s="169"/>
      <c r="L9" s="60"/>
      <c r="M9" s="60"/>
      <c r="N9" s="61">
        <f>SUM(N10:N17)</f>
        <v>0.26768736577170882</v>
      </c>
      <c r="O9" s="60" t="s">
        <v>1176</v>
      </c>
      <c r="P9" s="60"/>
      <c r="Q9" s="62"/>
      <c r="R9" s="63"/>
      <c r="S9" s="399">
        <f>SUM(S10:S17)</f>
        <v>2.0042306911257022</v>
      </c>
      <c r="T9" s="61"/>
      <c r="U9" s="61"/>
      <c r="V9" s="61"/>
      <c r="W9" s="61"/>
      <c r="X9" s="61"/>
      <c r="Y9" s="399">
        <f>SUM(Y10:Y17)</f>
        <v>28.393770687310383</v>
      </c>
      <c r="Z9" s="64">
        <f>(C9+D9+I9+N9+S9+Y9)*$Z$5</f>
        <v>314.94857210164673</v>
      </c>
      <c r="AA9" s="65">
        <f>C9+D9+I9+N9+S9+Y9+Z9</f>
        <v>557.18173108860674</v>
      </c>
      <c r="AB9" s="66">
        <v>0.25</v>
      </c>
      <c r="AC9" s="244">
        <f>AA9*(1+AB9)</f>
        <v>696.47716386075842</v>
      </c>
      <c r="AD9" s="67"/>
      <c r="AI9" s="139"/>
      <c r="AJ9" s="140"/>
      <c r="AK9" s="141"/>
      <c r="AM9" s="142"/>
      <c r="AN9" s="143"/>
      <c r="AO9" s="142"/>
      <c r="AP9" s="139"/>
      <c r="AQ9" s="139"/>
      <c r="AR9" s="139"/>
      <c r="AS9" s="139"/>
      <c r="AT9" s="139"/>
      <c r="AU9" s="142"/>
      <c r="AV9" s="142"/>
      <c r="AW9" s="144"/>
    </row>
    <row r="10" spans="1:53" ht="12.75" customHeight="1" x14ac:dyDescent="0.25">
      <c r="A10" s="1013"/>
      <c r="B10" s="50" t="s">
        <v>830</v>
      </c>
      <c r="C10" s="222"/>
      <c r="D10" s="733"/>
      <c r="E10" s="68" t="s">
        <v>1437</v>
      </c>
      <c r="F10" s="69" t="s">
        <v>1438</v>
      </c>
      <c r="G10" s="70">
        <v>0.3</v>
      </c>
      <c r="H10" s="69">
        <v>10</v>
      </c>
      <c r="I10" s="71">
        <f>G10*H10</f>
        <v>3</v>
      </c>
      <c r="J10" s="59" t="s">
        <v>1291</v>
      </c>
      <c r="K10" s="72">
        <v>2</v>
      </c>
      <c r="L10" s="73">
        <v>750</v>
      </c>
      <c r="M10" s="72">
        <v>2</v>
      </c>
      <c r="N10" s="61">
        <f>L10/'Исп. коэффициенты'!E34*C14</f>
        <v>0.23076497049285244</v>
      </c>
      <c r="O10" s="60" t="s">
        <v>2114</v>
      </c>
      <c r="P10" s="60">
        <v>2994195.8</v>
      </c>
      <c r="Q10" s="60">
        <v>19.670000000000002</v>
      </c>
      <c r="R10" s="60">
        <v>6513.87</v>
      </c>
      <c r="S10" s="739">
        <f>R10/'Исп. коэффициенты'!E34*(C14)</f>
        <v>2.0042306911257022</v>
      </c>
      <c r="T10" s="239" t="s">
        <v>1435</v>
      </c>
      <c r="U10" s="240">
        <v>6785401.3499999996</v>
      </c>
      <c r="V10" s="740">
        <f>'Исп. коэффициенты'!E124</f>
        <v>2978.5</v>
      </c>
      <c r="W10" s="241">
        <f>'Исп. коэффициенты'!D124</f>
        <v>1.3599999999999999E-2</v>
      </c>
      <c r="X10" s="61">
        <f>U10*W10</f>
        <v>92281.45835999999</v>
      </c>
      <c r="Y10" s="739">
        <f>X10/'Исп. коэффициенты'!E34*('КМУ УЗИ'!C14)</f>
        <v>28.393770687310383</v>
      </c>
      <c r="Z10" s="60"/>
      <c r="AA10" s="1"/>
      <c r="AB10" s="1"/>
      <c r="AC10" s="245"/>
      <c r="AD10" s="56"/>
      <c r="AF10" s="151"/>
      <c r="AJ10" s="136"/>
    </row>
    <row r="11" spans="1:53" x14ac:dyDescent="0.25">
      <c r="A11" s="1013"/>
      <c r="B11" s="74" t="s">
        <v>1178</v>
      </c>
      <c r="C11" s="223">
        <f>C2</f>
        <v>33.667709452234185</v>
      </c>
      <c r="D11" s="733"/>
      <c r="E11" s="68" t="s">
        <v>2112</v>
      </c>
      <c r="F11" s="69" t="s">
        <v>1</v>
      </c>
      <c r="G11" s="70">
        <v>0.47</v>
      </c>
      <c r="H11" s="69">
        <v>10</v>
      </c>
      <c r="I11" s="242">
        <f>G11*H11</f>
        <v>4.6999999999999993</v>
      </c>
      <c r="J11" s="59" t="s">
        <v>1445</v>
      </c>
      <c r="K11" s="61">
        <v>2</v>
      </c>
      <c r="L11" s="76">
        <v>95</v>
      </c>
      <c r="M11" s="72">
        <v>2</v>
      </c>
      <c r="N11" s="61">
        <f>L11/'Исп. коэффициенты'!E34*C14</f>
        <v>2.9230229595761308E-2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1"/>
      <c r="AB11" s="1"/>
      <c r="AC11" s="245"/>
      <c r="AD11" s="56"/>
      <c r="AF11" s="151"/>
      <c r="AJ11" s="136"/>
      <c r="AM11" s="145"/>
    </row>
    <row r="12" spans="1:53" ht="12.75" customHeight="1" x14ac:dyDescent="0.25">
      <c r="A12" s="1013"/>
      <c r="B12" s="57" t="s">
        <v>1179</v>
      </c>
      <c r="C12" s="222">
        <f>C3</f>
        <v>19.495759833054819</v>
      </c>
      <c r="D12" s="733"/>
      <c r="E12" s="68" t="s">
        <v>1598</v>
      </c>
      <c r="F12" s="69" t="s">
        <v>1441</v>
      </c>
      <c r="G12" s="70">
        <v>5.36</v>
      </c>
      <c r="H12" s="70">
        <v>1</v>
      </c>
      <c r="I12" s="71">
        <f>G12*H12</f>
        <v>5.36</v>
      </c>
      <c r="J12" s="59" t="s">
        <v>1513</v>
      </c>
      <c r="K12" s="61">
        <v>2</v>
      </c>
      <c r="L12" s="61">
        <v>25</v>
      </c>
      <c r="M12" s="72">
        <v>0.5</v>
      </c>
      <c r="N12" s="61">
        <f>L12/'Исп. коэффициенты'!E34*C14</f>
        <v>7.6921656830950813E-3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1"/>
      <c r="AB12" s="1"/>
      <c r="AC12" s="245"/>
      <c r="AD12" s="56"/>
      <c r="AF12" s="151"/>
      <c r="AJ12" s="136"/>
    </row>
    <row r="13" spans="1:53" ht="12.75" customHeight="1" x14ac:dyDescent="0.25">
      <c r="A13" s="1013"/>
      <c r="B13" s="57" t="s">
        <v>831</v>
      </c>
      <c r="C13" s="224"/>
      <c r="D13" s="733"/>
      <c r="E13" s="68" t="s">
        <v>2113</v>
      </c>
      <c r="F13" s="69" t="s">
        <v>1</v>
      </c>
      <c r="G13" s="70">
        <v>0.17</v>
      </c>
      <c r="H13" s="69">
        <v>40</v>
      </c>
      <c r="I13" s="71">
        <f>G13*H13</f>
        <v>6.8000000000000007</v>
      </c>
      <c r="J13" s="59"/>
      <c r="K13" s="61"/>
      <c r="L13" s="61"/>
      <c r="M13" s="61"/>
      <c r="N13" s="6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1"/>
      <c r="AB13" s="1"/>
      <c r="AC13" s="245"/>
      <c r="AD13" s="56"/>
      <c r="AF13" s="151"/>
      <c r="AJ13" s="136"/>
    </row>
    <row r="14" spans="1:53" ht="12.75" customHeight="1" x14ac:dyDescent="0.25">
      <c r="A14" s="1013"/>
      <c r="B14" s="74" t="s">
        <v>1178</v>
      </c>
      <c r="C14" s="225">
        <v>3</v>
      </c>
      <c r="D14" s="733"/>
      <c r="E14" s="68"/>
      <c r="F14" s="69"/>
      <c r="G14" s="70"/>
      <c r="H14" s="69"/>
      <c r="I14" s="71"/>
      <c r="J14" s="59"/>
      <c r="K14" s="61"/>
      <c r="L14" s="61"/>
      <c r="M14" s="61"/>
      <c r="N14" s="61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1"/>
      <c r="AB14" s="1"/>
      <c r="AC14" s="245"/>
      <c r="AD14" s="56"/>
      <c r="AF14" s="151"/>
      <c r="AJ14" s="146"/>
    </row>
    <row r="15" spans="1:53" ht="12.75" customHeight="1" x14ac:dyDescent="0.25">
      <c r="A15" s="1013"/>
      <c r="B15" s="57" t="s">
        <v>1179</v>
      </c>
      <c r="C15" s="225">
        <v>3</v>
      </c>
      <c r="D15" s="733"/>
      <c r="E15" s="68"/>
      <c r="F15" s="69"/>
      <c r="G15" s="70"/>
      <c r="H15" s="69"/>
      <c r="I15" s="71"/>
      <c r="J15" s="59"/>
      <c r="K15" s="61"/>
      <c r="L15" s="61"/>
      <c r="M15" s="61"/>
      <c r="N15" s="61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1"/>
      <c r="AB15" s="1"/>
      <c r="AC15" s="245"/>
      <c r="AD15" s="56"/>
      <c r="AF15" s="151"/>
      <c r="AJ15" s="146"/>
    </row>
    <row r="16" spans="1:53" ht="12.75" customHeight="1" x14ac:dyDescent="0.25">
      <c r="A16" s="1013"/>
      <c r="B16" s="79" t="s">
        <v>1181</v>
      </c>
      <c r="C16" s="222">
        <f>C11*C14+C12*C15</f>
        <v>159.49040785586701</v>
      </c>
      <c r="D16" s="733"/>
      <c r="E16" s="228"/>
      <c r="F16" s="166"/>
      <c r="G16" s="70"/>
      <c r="H16" s="69"/>
      <c r="I16" s="71"/>
      <c r="J16" s="59"/>
      <c r="K16" s="170"/>
      <c r="L16" s="76"/>
      <c r="M16" s="72"/>
      <c r="N16" s="61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1"/>
      <c r="AB16" s="1"/>
      <c r="AC16" s="245"/>
      <c r="AD16" s="56"/>
      <c r="AF16" s="151"/>
      <c r="AJ16" s="136"/>
    </row>
    <row r="17" spans="1:49" s="3" customFormat="1" x14ac:dyDescent="0.25">
      <c r="A17" s="1014"/>
      <c r="B17" s="123"/>
      <c r="C17" s="225"/>
      <c r="D17" s="734"/>
      <c r="E17" s="228"/>
      <c r="F17" s="166"/>
      <c r="G17" s="70"/>
      <c r="H17" s="69"/>
      <c r="I17" s="71"/>
      <c r="J17" s="59"/>
      <c r="K17" s="170"/>
      <c r="L17" s="61"/>
      <c r="M17" s="72"/>
      <c r="N17" s="61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1"/>
      <c r="AB17" s="1"/>
      <c r="AC17" s="245"/>
      <c r="AD17" s="56"/>
      <c r="AF17" s="151"/>
      <c r="AG17" s="56"/>
      <c r="AH17" s="125"/>
      <c r="AI17" s="125"/>
      <c r="AJ17" s="146"/>
      <c r="AK17" s="125"/>
      <c r="AL17" s="127"/>
      <c r="AM17" s="125"/>
      <c r="AN17" s="125"/>
      <c r="AO17" s="128"/>
      <c r="AP17" s="125"/>
      <c r="AQ17" s="125"/>
      <c r="AR17" s="128"/>
      <c r="AS17" s="128"/>
      <c r="AT17" s="125"/>
      <c r="AU17" s="125"/>
      <c r="AV17" s="128"/>
      <c r="AW17" s="56"/>
    </row>
    <row r="18" spans="1:49" s="3" customFormat="1" ht="40.799999999999997" x14ac:dyDescent="0.25">
      <c r="A18" s="1012" t="s">
        <v>2116</v>
      </c>
      <c r="B18" s="258" t="s">
        <v>2119</v>
      </c>
      <c r="C18" s="222"/>
      <c r="D18" s="732"/>
      <c r="E18" s="226" t="s">
        <v>488</v>
      </c>
      <c r="F18" s="53" t="s">
        <v>837</v>
      </c>
      <c r="G18" s="735" t="s">
        <v>489</v>
      </c>
      <c r="H18" s="52" t="s">
        <v>1170</v>
      </c>
      <c r="I18" s="53" t="s">
        <v>838</v>
      </c>
      <c r="J18" s="47" t="s">
        <v>1171</v>
      </c>
      <c r="K18" s="47" t="s">
        <v>490</v>
      </c>
      <c r="L18" s="54" t="s">
        <v>489</v>
      </c>
      <c r="M18" s="47" t="s">
        <v>1172</v>
      </c>
      <c r="N18" s="53" t="s">
        <v>838</v>
      </c>
      <c r="O18" s="47" t="s">
        <v>1171</v>
      </c>
      <c r="P18" s="47" t="s">
        <v>826</v>
      </c>
      <c r="Q18" s="47" t="s">
        <v>1173</v>
      </c>
      <c r="R18" s="47" t="s">
        <v>1174</v>
      </c>
      <c r="S18" s="47" t="s">
        <v>839</v>
      </c>
      <c r="T18" s="47" t="s">
        <v>1171</v>
      </c>
      <c r="U18" s="47" t="s">
        <v>1392</v>
      </c>
      <c r="V18" s="47" t="s">
        <v>841</v>
      </c>
      <c r="W18" s="231" t="s">
        <v>1173</v>
      </c>
      <c r="X18" s="47" t="s">
        <v>1394</v>
      </c>
      <c r="Y18" s="47" t="s">
        <v>839</v>
      </c>
      <c r="Z18" s="55"/>
      <c r="AA18" s="1"/>
      <c r="AB18" s="1"/>
      <c r="AC18" s="1"/>
      <c r="AD18" s="56"/>
      <c r="AF18" s="81"/>
      <c r="AG18" s="56"/>
      <c r="AH18" s="125"/>
      <c r="AI18" s="125"/>
      <c r="AJ18" s="125"/>
      <c r="AK18" s="125"/>
      <c r="AL18" s="127"/>
      <c r="AM18" s="125"/>
      <c r="AN18" s="125"/>
      <c r="AO18" s="128"/>
      <c r="AP18" s="125"/>
      <c r="AQ18" s="139"/>
      <c r="AR18" s="139"/>
      <c r="AS18" s="139"/>
      <c r="AT18" s="125"/>
      <c r="AU18" s="125"/>
      <c r="AV18" s="128"/>
      <c r="AW18" s="56"/>
    </row>
    <row r="19" spans="1:49" s="3" customFormat="1" x14ac:dyDescent="0.25">
      <c r="A19" s="1013"/>
      <c r="B19" s="36" t="s">
        <v>1175</v>
      </c>
      <c r="C19" s="222">
        <f>C26</f>
        <v>106.32693857057801</v>
      </c>
      <c r="D19" s="732">
        <f>C19*$D$5</f>
        <v>21.478041591256758</v>
      </c>
      <c r="E19" s="227" t="s">
        <v>1176</v>
      </c>
      <c r="F19" s="165"/>
      <c r="G19" s="58"/>
      <c r="H19" s="58"/>
      <c r="I19" s="2">
        <f>SUM(I20:I27)</f>
        <v>19.86</v>
      </c>
      <c r="J19" s="59" t="s">
        <v>1176</v>
      </c>
      <c r="K19" s="169"/>
      <c r="L19" s="60"/>
      <c r="M19" s="60"/>
      <c r="N19" s="61">
        <f>SUM(N20:N27)</f>
        <v>0.17845824384780587</v>
      </c>
      <c r="O19" s="60" t="s">
        <v>1176</v>
      </c>
      <c r="P19" s="60"/>
      <c r="Q19" s="62"/>
      <c r="R19" s="63"/>
      <c r="S19" s="399">
        <f>SUM(S20:S27)</f>
        <v>1.3361537940838015</v>
      </c>
      <c r="T19" s="61"/>
      <c r="U19" s="61"/>
      <c r="V19" s="61"/>
      <c r="W19" s="61"/>
      <c r="X19" s="61"/>
      <c r="Y19" s="399">
        <f>SUM(Y20:Y27)</f>
        <v>18.929180458206922</v>
      </c>
      <c r="Z19" s="64">
        <f>(C19+D19+I19+N19+S19+Y19)*$Z$5</f>
        <v>218.57295726073258</v>
      </c>
      <c r="AA19" s="65">
        <f>C19+D19+I19+N19+S19+Y19+Z19</f>
        <v>386.68172991870586</v>
      </c>
      <c r="AB19" s="66">
        <v>0.25</v>
      </c>
      <c r="AC19" s="244">
        <f>AA19*(1+AB19)</f>
        <v>483.35216239838235</v>
      </c>
      <c r="AD19" s="67"/>
      <c r="AF19" s="81"/>
      <c r="AG19" s="56"/>
      <c r="AH19" s="125"/>
      <c r="AI19" s="139"/>
      <c r="AJ19" s="140"/>
      <c r="AK19" s="141"/>
      <c r="AL19" s="127"/>
      <c r="AM19" s="142"/>
      <c r="AN19" s="143"/>
      <c r="AO19" s="142"/>
      <c r="AP19" s="139"/>
      <c r="AQ19" s="139"/>
      <c r="AR19" s="139"/>
      <c r="AS19" s="139"/>
      <c r="AT19" s="139"/>
      <c r="AU19" s="142"/>
      <c r="AV19" s="142"/>
      <c r="AW19" s="144"/>
    </row>
    <row r="20" spans="1:49" s="3" customFormat="1" x14ac:dyDescent="0.25">
      <c r="A20" s="1013"/>
      <c r="B20" s="50" t="s">
        <v>830</v>
      </c>
      <c r="C20" s="222"/>
      <c r="D20" s="733"/>
      <c r="E20" s="68" t="s">
        <v>1437</v>
      </c>
      <c r="F20" s="69" t="s">
        <v>1438</v>
      </c>
      <c r="G20" s="70">
        <v>0.3</v>
      </c>
      <c r="H20" s="69">
        <v>10</v>
      </c>
      <c r="I20" s="71">
        <f>G20*H20</f>
        <v>3</v>
      </c>
      <c r="J20" s="59" t="s">
        <v>1291</v>
      </c>
      <c r="K20" s="72">
        <v>2</v>
      </c>
      <c r="L20" s="73">
        <v>750</v>
      </c>
      <c r="M20" s="72">
        <v>2</v>
      </c>
      <c r="N20" s="61">
        <f>L20/'Исп. коэффициенты'!E34*'КМУ УЗИ'!C24</f>
        <v>0.15384331366190163</v>
      </c>
      <c r="O20" s="60" t="s">
        <v>2114</v>
      </c>
      <c r="P20" s="60">
        <v>2994195.8</v>
      </c>
      <c r="Q20" s="60">
        <v>19.670000000000002</v>
      </c>
      <c r="R20" s="60">
        <v>6513.87</v>
      </c>
      <c r="S20" s="739">
        <f>R20/'Исп. коэффициенты'!E34*(C24)</f>
        <v>1.3361537940838015</v>
      </c>
      <c r="T20" s="239" t="s">
        <v>1435</v>
      </c>
      <c r="U20" s="240">
        <v>6785401.3499999996</v>
      </c>
      <c r="V20" s="740">
        <f>'Исп. коэффициенты'!E124</f>
        <v>2978.5</v>
      </c>
      <c r="W20" s="241">
        <f>'Исп. коэффициенты'!D124</f>
        <v>1.3599999999999999E-2</v>
      </c>
      <c r="X20" s="61">
        <f>U20*W20</f>
        <v>92281.45835999999</v>
      </c>
      <c r="Y20" s="739">
        <f>X20/'Исп. коэффициенты'!E34*'КМУ УЗИ'!C24</f>
        <v>18.929180458206922</v>
      </c>
      <c r="Z20" s="60"/>
      <c r="AA20" s="1"/>
      <c r="AB20" s="1"/>
      <c r="AC20" s="245"/>
      <c r="AD20" s="56"/>
      <c r="AF20" s="151"/>
      <c r="AG20" s="56"/>
      <c r="AH20" s="125"/>
      <c r="AI20" s="125"/>
      <c r="AJ20" s="136"/>
      <c r="AK20" s="125"/>
      <c r="AL20" s="127"/>
      <c r="AM20" s="125"/>
      <c r="AN20" s="125"/>
      <c r="AO20" s="128"/>
      <c r="AP20" s="125"/>
      <c r="AQ20" s="125"/>
      <c r="AR20" s="128"/>
      <c r="AS20" s="128"/>
      <c r="AT20" s="125"/>
      <c r="AU20" s="125"/>
      <c r="AV20" s="128"/>
      <c r="AW20" s="56"/>
    </row>
    <row r="21" spans="1:49" s="3" customFormat="1" x14ac:dyDescent="0.25">
      <c r="A21" s="1013"/>
      <c r="B21" s="74" t="s">
        <v>1178</v>
      </c>
      <c r="C21" s="223">
        <f>C2</f>
        <v>33.667709452234185</v>
      </c>
      <c r="D21" s="733"/>
      <c r="E21" s="68" t="s">
        <v>2112</v>
      </c>
      <c r="F21" s="69" t="s">
        <v>1</v>
      </c>
      <c r="G21" s="70">
        <v>0.47</v>
      </c>
      <c r="H21" s="69">
        <v>10</v>
      </c>
      <c r="I21" s="242">
        <f>G21*H21</f>
        <v>4.6999999999999993</v>
      </c>
      <c r="J21" s="59" t="s">
        <v>1445</v>
      </c>
      <c r="K21" s="61">
        <v>2</v>
      </c>
      <c r="L21" s="76">
        <v>95</v>
      </c>
      <c r="M21" s="72">
        <v>2</v>
      </c>
      <c r="N21" s="61">
        <f>L21/'Исп. коэффициенты'!E34*'КМУ УЗИ'!C24</f>
        <v>1.9486819730507539E-2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1"/>
      <c r="AB21" s="1"/>
      <c r="AC21" s="245"/>
      <c r="AD21" s="56"/>
      <c r="AF21" s="151"/>
      <c r="AG21" s="56"/>
      <c r="AH21" s="125"/>
      <c r="AI21" s="125"/>
      <c r="AJ21" s="136"/>
      <c r="AK21" s="125"/>
      <c r="AL21" s="127"/>
      <c r="AM21" s="145"/>
      <c r="AN21" s="125"/>
      <c r="AO21" s="128"/>
      <c r="AP21" s="125"/>
      <c r="AQ21" s="125"/>
      <c r="AR21" s="128"/>
      <c r="AS21" s="128"/>
      <c r="AT21" s="125"/>
      <c r="AU21" s="125"/>
      <c r="AV21" s="128"/>
      <c r="AW21" s="56"/>
    </row>
    <row r="22" spans="1:49" s="3" customFormat="1" x14ac:dyDescent="0.25">
      <c r="A22" s="1013"/>
      <c r="B22" s="57" t="s">
        <v>1179</v>
      </c>
      <c r="C22" s="222">
        <f>C3</f>
        <v>19.495759833054819</v>
      </c>
      <c r="D22" s="733"/>
      <c r="E22" s="68" t="s">
        <v>1598</v>
      </c>
      <c r="F22" s="69" t="s">
        <v>1441</v>
      </c>
      <c r="G22" s="70">
        <v>5.36</v>
      </c>
      <c r="H22" s="70">
        <v>1</v>
      </c>
      <c r="I22" s="71">
        <f>G22*H22</f>
        <v>5.36</v>
      </c>
      <c r="J22" s="59" t="s">
        <v>1513</v>
      </c>
      <c r="K22" s="61">
        <v>2</v>
      </c>
      <c r="L22" s="61">
        <v>25</v>
      </c>
      <c r="M22" s="72">
        <v>0.5</v>
      </c>
      <c r="N22" s="61">
        <f>L22/'Исп. коэффициенты'!E34*'КМУ УЗИ'!C24</f>
        <v>5.1281104553967212E-3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1"/>
      <c r="AB22" s="1"/>
      <c r="AC22" s="245"/>
      <c r="AD22" s="56"/>
      <c r="AF22" s="151"/>
      <c r="AG22" s="56"/>
      <c r="AH22" s="125"/>
      <c r="AI22" s="125"/>
      <c r="AJ22" s="136"/>
      <c r="AK22" s="125"/>
      <c r="AL22" s="127"/>
      <c r="AM22" s="125"/>
      <c r="AN22" s="125"/>
      <c r="AO22" s="128"/>
      <c r="AP22" s="125"/>
      <c r="AQ22" s="125"/>
      <c r="AR22" s="128"/>
      <c r="AS22" s="128"/>
      <c r="AT22" s="125"/>
      <c r="AU22" s="125"/>
      <c r="AV22" s="128"/>
      <c r="AW22" s="56"/>
    </row>
    <row r="23" spans="1:49" s="3" customFormat="1" x14ac:dyDescent="0.25">
      <c r="A23" s="1013"/>
      <c r="B23" s="57" t="s">
        <v>831</v>
      </c>
      <c r="C23" s="224"/>
      <c r="D23" s="733"/>
      <c r="E23" s="68" t="s">
        <v>2113</v>
      </c>
      <c r="F23" s="69" t="s">
        <v>1</v>
      </c>
      <c r="G23" s="70">
        <v>0.17</v>
      </c>
      <c r="H23" s="69">
        <v>40</v>
      </c>
      <c r="I23" s="71">
        <f>G23*H23</f>
        <v>6.8000000000000007</v>
      </c>
      <c r="J23" s="59"/>
      <c r="K23" s="61"/>
      <c r="L23" s="61"/>
      <c r="M23" s="61"/>
      <c r="N23" s="61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1"/>
      <c r="AB23" s="1"/>
      <c r="AC23" s="245"/>
      <c r="AD23" s="56"/>
      <c r="AF23" s="151"/>
      <c r="AG23" s="56"/>
      <c r="AH23" s="125"/>
      <c r="AI23" s="125"/>
      <c r="AJ23" s="136"/>
      <c r="AK23" s="125"/>
      <c r="AL23" s="127"/>
      <c r="AM23" s="125"/>
      <c r="AN23" s="125"/>
      <c r="AO23" s="128"/>
      <c r="AP23" s="125"/>
      <c r="AQ23" s="125"/>
      <c r="AR23" s="128"/>
      <c r="AS23" s="128"/>
      <c r="AT23" s="125"/>
      <c r="AU23" s="125"/>
      <c r="AV23" s="128"/>
      <c r="AW23" s="56"/>
    </row>
    <row r="24" spans="1:49" s="3" customFormat="1" x14ac:dyDescent="0.25">
      <c r="A24" s="1013"/>
      <c r="B24" s="74" t="s">
        <v>1178</v>
      </c>
      <c r="C24" s="225">
        <v>2</v>
      </c>
      <c r="D24" s="733"/>
      <c r="E24" s="68"/>
      <c r="F24" s="69"/>
      <c r="G24" s="70"/>
      <c r="H24" s="69"/>
      <c r="I24" s="71"/>
      <c r="J24" s="59"/>
      <c r="K24" s="61"/>
      <c r="L24" s="61"/>
      <c r="M24" s="61"/>
      <c r="N24" s="61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1"/>
      <c r="AB24" s="1"/>
      <c r="AC24" s="245"/>
      <c r="AD24" s="56"/>
      <c r="AF24" s="151"/>
      <c r="AG24" s="56"/>
      <c r="AH24" s="125"/>
      <c r="AI24" s="125"/>
      <c r="AJ24" s="146"/>
      <c r="AK24" s="125"/>
      <c r="AL24" s="127"/>
      <c r="AM24" s="125"/>
      <c r="AN24" s="125"/>
      <c r="AO24" s="128"/>
      <c r="AP24" s="125"/>
      <c r="AQ24" s="125"/>
      <c r="AR24" s="128"/>
      <c r="AS24" s="128"/>
      <c r="AT24" s="125"/>
      <c r="AU24" s="125"/>
      <c r="AV24" s="128"/>
      <c r="AW24" s="56"/>
    </row>
    <row r="25" spans="1:49" s="3" customFormat="1" x14ac:dyDescent="0.25">
      <c r="A25" s="1013"/>
      <c r="B25" s="57" t="s">
        <v>1179</v>
      </c>
      <c r="C25" s="225">
        <v>2</v>
      </c>
      <c r="D25" s="733"/>
      <c r="E25" s="68"/>
      <c r="F25" s="69"/>
      <c r="G25" s="70"/>
      <c r="H25" s="69"/>
      <c r="I25" s="71"/>
      <c r="J25" s="59"/>
      <c r="K25" s="61"/>
      <c r="L25" s="61"/>
      <c r="M25" s="61"/>
      <c r="N25" s="61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1"/>
      <c r="AB25" s="1"/>
      <c r="AC25" s="245"/>
      <c r="AD25" s="56"/>
      <c r="AF25" s="151"/>
      <c r="AG25" s="56"/>
      <c r="AH25" s="125"/>
      <c r="AI25" s="125"/>
      <c r="AJ25" s="146"/>
      <c r="AK25" s="125"/>
      <c r="AL25" s="127"/>
      <c r="AM25" s="125"/>
      <c r="AN25" s="125"/>
      <c r="AO25" s="128"/>
      <c r="AP25" s="125"/>
      <c r="AQ25" s="125"/>
      <c r="AR25" s="128"/>
      <c r="AS25" s="128"/>
      <c r="AT25" s="125"/>
      <c r="AU25" s="125"/>
      <c r="AV25" s="128"/>
      <c r="AW25" s="56"/>
    </row>
    <row r="26" spans="1:49" s="3" customFormat="1" x14ac:dyDescent="0.25">
      <c r="A26" s="1013"/>
      <c r="B26" s="79" t="s">
        <v>1181</v>
      </c>
      <c r="C26" s="222">
        <f>C21*C24+C22*C25</f>
        <v>106.32693857057801</v>
      </c>
      <c r="D26" s="733"/>
      <c r="E26" s="228"/>
      <c r="F26" s="166"/>
      <c r="G26" s="70"/>
      <c r="H26" s="69"/>
      <c r="I26" s="71"/>
      <c r="J26" s="59"/>
      <c r="K26" s="170"/>
      <c r="L26" s="76"/>
      <c r="M26" s="72"/>
      <c r="N26" s="61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1"/>
      <c r="AB26" s="1"/>
      <c r="AC26" s="245"/>
      <c r="AD26" s="56"/>
      <c r="AF26" s="151"/>
      <c r="AG26" s="56"/>
      <c r="AH26" s="125"/>
      <c r="AI26" s="125"/>
      <c r="AJ26" s="136"/>
      <c r="AK26" s="125"/>
      <c r="AL26" s="127"/>
      <c r="AM26" s="125"/>
      <c r="AN26" s="125"/>
      <c r="AO26" s="128"/>
      <c r="AP26" s="125"/>
      <c r="AQ26" s="125"/>
      <c r="AR26" s="128"/>
      <c r="AS26" s="128"/>
      <c r="AT26" s="125"/>
      <c r="AU26" s="125"/>
      <c r="AV26" s="128"/>
      <c r="AW26" s="56"/>
    </row>
    <row r="27" spans="1:49" s="3" customFormat="1" x14ac:dyDescent="0.25">
      <c r="A27" s="1014"/>
      <c r="B27" s="123"/>
      <c r="C27" s="225"/>
      <c r="D27" s="734"/>
      <c r="E27" s="228"/>
      <c r="F27" s="166"/>
      <c r="G27" s="70"/>
      <c r="H27" s="69"/>
      <c r="I27" s="71"/>
      <c r="J27" s="59"/>
      <c r="K27" s="170"/>
      <c r="L27" s="61"/>
      <c r="M27" s="72"/>
      <c r="N27" s="61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1"/>
      <c r="AB27" s="1"/>
      <c r="AC27" s="245"/>
      <c r="AD27" s="56"/>
      <c r="AF27" s="151"/>
      <c r="AG27" s="56"/>
      <c r="AH27" s="125"/>
      <c r="AI27" s="125"/>
      <c r="AJ27" s="146"/>
      <c r="AK27" s="125"/>
      <c r="AL27" s="127"/>
      <c r="AM27" s="125"/>
      <c r="AN27" s="125"/>
      <c r="AO27" s="128"/>
      <c r="AP27" s="125"/>
      <c r="AQ27" s="125"/>
      <c r="AR27" s="128"/>
      <c r="AS27" s="128"/>
      <c r="AT27" s="125"/>
      <c r="AU27" s="125"/>
      <c r="AV27" s="128"/>
      <c r="AW27" s="56"/>
    </row>
    <row r="28" spans="1:49" s="3" customFormat="1" ht="40.799999999999997" x14ac:dyDescent="0.25">
      <c r="A28" s="1012" t="s">
        <v>2115</v>
      </c>
      <c r="B28" s="258" t="s">
        <v>2117</v>
      </c>
      <c r="C28" s="222"/>
      <c r="D28" s="732"/>
      <c r="E28" s="226" t="s">
        <v>488</v>
      </c>
      <c r="F28" s="53" t="s">
        <v>837</v>
      </c>
      <c r="G28" s="735" t="s">
        <v>489</v>
      </c>
      <c r="H28" s="52" t="s">
        <v>1170</v>
      </c>
      <c r="I28" s="53" t="s">
        <v>838</v>
      </c>
      <c r="J28" s="47" t="s">
        <v>1171</v>
      </c>
      <c r="K28" s="47" t="s">
        <v>490</v>
      </c>
      <c r="L28" s="54" t="s">
        <v>489</v>
      </c>
      <c r="M28" s="47" t="s">
        <v>1172</v>
      </c>
      <c r="N28" s="53" t="s">
        <v>838</v>
      </c>
      <c r="O28" s="47" t="s">
        <v>1171</v>
      </c>
      <c r="P28" s="47" t="s">
        <v>826</v>
      </c>
      <c r="Q28" s="47" t="s">
        <v>1173</v>
      </c>
      <c r="R28" s="47" t="s">
        <v>1174</v>
      </c>
      <c r="S28" s="47" t="s">
        <v>839</v>
      </c>
      <c r="T28" s="47" t="s">
        <v>1171</v>
      </c>
      <c r="U28" s="47" t="s">
        <v>1392</v>
      </c>
      <c r="V28" s="47" t="s">
        <v>841</v>
      </c>
      <c r="W28" s="231" t="s">
        <v>1173</v>
      </c>
      <c r="X28" s="47" t="s">
        <v>1394</v>
      </c>
      <c r="Y28" s="47" t="s">
        <v>839</v>
      </c>
      <c r="Z28" s="55"/>
      <c r="AA28" s="1"/>
      <c r="AB28" s="1"/>
      <c r="AC28" s="245"/>
      <c r="AD28" s="56"/>
      <c r="AF28" s="81"/>
      <c r="AG28" s="56"/>
      <c r="AH28" s="125"/>
      <c r="AI28" s="125"/>
      <c r="AJ28" s="125"/>
      <c r="AK28" s="125"/>
      <c r="AL28" s="127"/>
      <c r="AM28" s="125"/>
      <c r="AN28" s="125"/>
      <c r="AO28" s="128"/>
      <c r="AP28" s="125"/>
      <c r="AQ28" s="139"/>
      <c r="AR28" s="139"/>
      <c r="AS28" s="139"/>
      <c r="AT28" s="125"/>
      <c r="AU28" s="125"/>
      <c r="AV28" s="128"/>
      <c r="AW28" s="56"/>
    </row>
    <row r="29" spans="1:49" s="3" customFormat="1" x14ac:dyDescent="0.25">
      <c r="A29" s="1013"/>
      <c r="B29" s="36" t="s">
        <v>1175</v>
      </c>
      <c r="C29" s="222">
        <f>C36</f>
        <v>159.49040785586701</v>
      </c>
      <c r="D29" s="732">
        <f>C29*$D$5</f>
        <v>32.217062386885139</v>
      </c>
      <c r="E29" s="227" t="s">
        <v>1176</v>
      </c>
      <c r="F29" s="165"/>
      <c r="G29" s="58"/>
      <c r="H29" s="58"/>
      <c r="I29" s="2">
        <f>SUM(I30:I37)</f>
        <v>19.86</v>
      </c>
      <c r="J29" s="59" t="s">
        <v>1176</v>
      </c>
      <c r="K29" s="169"/>
      <c r="L29" s="60"/>
      <c r="M29" s="60"/>
      <c r="N29" s="61">
        <f>SUM(N30:N37)</f>
        <v>0.26768736577170882</v>
      </c>
      <c r="O29" s="60" t="s">
        <v>1176</v>
      </c>
      <c r="P29" s="60"/>
      <c r="Q29" s="62"/>
      <c r="R29" s="63"/>
      <c r="S29" s="399">
        <f>SUM(S30:S37)</f>
        <v>2.0042306911257022</v>
      </c>
      <c r="T29" s="61"/>
      <c r="U29" s="61"/>
      <c r="V29" s="61"/>
      <c r="W29" s="61"/>
      <c r="X29" s="61"/>
      <c r="Y29" s="399">
        <f>SUM(Y30:Y37)</f>
        <v>28.393770687310383</v>
      </c>
      <c r="Z29" s="64">
        <f>(C29+D29+I29+N29+S29+Y29)*$Z$5</f>
        <v>314.94857210164673</v>
      </c>
      <c r="AA29" s="65">
        <f>C29+D29+I29+N29+S29+Y29+Z29</f>
        <v>557.18173108860674</v>
      </c>
      <c r="AB29" s="66">
        <v>0.25</v>
      </c>
      <c r="AC29" s="244">
        <f>AA29*(1+AB29)</f>
        <v>696.47716386075842</v>
      </c>
      <c r="AD29" s="67"/>
      <c r="AF29" s="81"/>
      <c r="AG29" s="56"/>
      <c r="AH29" s="125"/>
      <c r="AI29" s="139"/>
      <c r="AJ29" s="140"/>
      <c r="AK29" s="141"/>
      <c r="AL29" s="127"/>
      <c r="AM29" s="142"/>
      <c r="AN29" s="143"/>
      <c r="AO29" s="142"/>
      <c r="AP29" s="139"/>
      <c r="AQ29" s="139"/>
      <c r="AR29" s="139"/>
      <c r="AS29" s="139"/>
      <c r="AT29" s="139"/>
      <c r="AU29" s="142"/>
      <c r="AV29" s="142"/>
      <c r="AW29" s="144"/>
    </row>
    <row r="30" spans="1:49" s="3" customFormat="1" x14ac:dyDescent="0.25">
      <c r="A30" s="1013"/>
      <c r="B30" s="50" t="s">
        <v>830</v>
      </c>
      <c r="C30" s="222"/>
      <c r="D30" s="733"/>
      <c r="E30" s="68" t="s">
        <v>1437</v>
      </c>
      <c r="F30" s="69" t="s">
        <v>1438</v>
      </c>
      <c r="G30" s="70">
        <v>0.3</v>
      </c>
      <c r="H30" s="69">
        <v>10</v>
      </c>
      <c r="I30" s="71">
        <f>G30*H30</f>
        <v>3</v>
      </c>
      <c r="J30" s="59" t="s">
        <v>1291</v>
      </c>
      <c r="K30" s="72">
        <v>2</v>
      </c>
      <c r="L30" s="73">
        <v>750</v>
      </c>
      <c r="M30" s="72">
        <v>2</v>
      </c>
      <c r="N30" s="61">
        <f>L30/'Исп. коэффициенты'!E34*C34</f>
        <v>0.23076497049285244</v>
      </c>
      <c r="O30" s="60" t="s">
        <v>2114</v>
      </c>
      <c r="P30" s="60">
        <v>2994195.8</v>
      </c>
      <c r="Q30" s="60">
        <v>19.670000000000002</v>
      </c>
      <c r="R30" s="60">
        <v>6513.87</v>
      </c>
      <c r="S30" s="739">
        <f>R30/'Исп. коэффициенты'!E34*+('КМУ УЗИ'!C34)</f>
        <v>2.0042306911257022</v>
      </c>
      <c r="T30" s="239" t="s">
        <v>1435</v>
      </c>
      <c r="U30" s="240">
        <v>6785401.3499999996</v>
      </c>
      <c r="V30" s="740">
        <f>'Исп. коэффициенты'!E124</f>
        <v>2978.5</v>
      </c>
      <c r="W30" s="241">
        <f>'Исп. коэффициенты'!D124</f>
        <v>1.3599999999999999E-2</v>
      </c>
      <c r="X30" s="61">
        <f>U30*W30</f>
        <v>92281.45835999999</v>
      </c>
      <c r="Y30" s="739">
        <f>X30/'Исп. коэффициенты'!E34*'КМУ УЗИ'!C34</f>
        <v>28.393770687310383</v>
      </c>
      <c r="Z30" s="60"/>
      <c r="AA30" s="1"/>
      <c r="AB30" s="1"/>
      <c r="AC30" s="1"/>
      <c r="AD30" s="56"/>
      <c r="AF30" s="151"/>
      <c r="AG30" s="56"/>
      <c r="AH30" s="125"/>
      <c r="AI30" s="125"/>
      <c r="AJ30" s="136"/>
      <c r="AK30" s="125"/>
      <c r="AL30" s="127"/>
      <c r="AM30" s="125"/>
      <c r="AN30" s="125"/>
      <c r="AO30" s="128"/>
      <c r="AP30" s="125"/>
      <c r="AQ30" s="125"/>
      <c r="AR30" s="128"/>
      <c r="AS30" s="128"/>
      <c r="AT30" s="125"/>
      <c r="AU30" s="125"/>
      <c r="AV30" s="128"/>
      <c r="AW30" s="56"/>
    </row>
    <row r="31" spans="1:49" s="3" customFormat="1" x14ac:dyDescent="0.25">
      <c r="A31" s="1013"/>
      <c r="B31" s="74" t="s">
        <v>1178</v>
      </c>
      <c r="C31" s="223">
        <f>C11</f>
        <v>33.667709452234185</v>
      </c>
      <c r="D31" s="733"/>
      <c r="E31" s="68" t="s">
        <v>2112</v>
      </c>
      <c r="F31" s="69" t="s">
        <v>1</v>
      </c>
      <c r="G31" s="70">
        <v>0.47</v>
      </c>
      <c r="H31" s="69">
        <v>10</v>
      </c>
      <c r="I31" s="242">
        <f>G31*H31</f>
        <v>4.6999999999999993</v>
      </c>
      <c r="J31" s="59" t="s">
        <v>1445</v>
      </c>
      <c r="K31" s="61">
        <v>2</v>
      </c>
      <c r="L31" s="76">
        <v>95</v>
      </c>
      <c r="M31" s="72">
        <v>2</v>
      </c>
      <c r="N31" s="61">
        <f>L31/'Исп. коэффициенты'!E34*C34</f>
        <v>2.9230229595761308E-2</v>
      </c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1"/>
      <c r="AB31" s="1"/>
      <c r="AC31" s="1"/>
      <c r="AD31" s="56"/>
      <c r="AF31" s="151"/>
      <c r="AG31" s="56"/>
      <c r="AH31" s="125"/>
      <c r="AI31" s="125"/>
      <c r="AJ31" s="136"/>
      <c r="AK31" s="125"/>
      <c r="AL31" s="127"/>
      <c r="AM31" s="145"/>
      <c r="AN31" s="125"/>
      <c r="AO31" s="128"/>
      <c r="AP31" s="125"/>
      <c r="AQ31" s="125"/>
      <c r="AR31" s="128"/>
      <c r="AS31" s="128"/>
      <c r="AT31" s="125"/>
      <c r="AU31" s="125"/>
      <c r="AV31" s="128"/>
      <c r="AW31" s="56"/>
    </row>
    <row r="32" spans="1:49" s="3" customFormat="1" x14ac:dyDescent="0.25">
      <c r="A32" s="1013"/>
      <c r="B32" s="57" t="s">
        <v>1179</v>
      </c>
      <c r="C32" s="222">
        <f>C12</f>
        <v>19.495759833054819</v>
      </c>
      <c r="D32" s="733"/>
      <c r="E32" s="68" t="s">
        <v>1598</v>
      </c>
      <c r="F32" s="69" t="s">
        <v>1441</v>
      </c>
      <c r="G32" s="70">
        <v>5.36</v>
      </c>
      <c r="H32" s="70">
        <v>1</v>
      </c>
      <c r="I32" s="71">
        <f>G32*H32</f>
        <v>5.36</v>
      </c>
      <c r="J32" s="59" t="s">
        <v>1513</v>
      </c>
      <c r="K32" s="61">
        <v>2</v>
      </c>
      <c r="L32" s="61">
        <v>25</v>
      </c>
      <c r="M32" s="72">
        <v>0.5</v>
      </c>
      <c r="N32" s="61">
        <f>L32/'Исп. коэффициенты'!E34*C34</f>
        <v>7.6921656830950813E-3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1"/>
      <c r="AB32" s="1"/>
      <c r="AC32" s="1"/>
      <c r="AD32" s="56"/>
      <c r="AF32" s="151"/>
      <c r="AG32" s="56"/>
      <c r="AH32" s="125"/>
      <c r="AI32" s="125"/>
      <c r="AJ32" s="136"/>
      <c r="AK32" s="125"/>
      <c r="AL32" s="127"/>
      <c r="AM32" s="125"/>
      <c r="AN32" s="125"/>
      <c r="AO32" s="128"/>
      <c r="AP32" s="125"/>
      <c r="AQ32" s="125"/>
      <c r="AR32" s="128"/>
      <c r="AS32" s="128"/>
      <c r="AT32" s="125"/>
      <c r="AU32" s="125"/>
      <c r="AV32" s="128"/>
      <c r="AW32" s="56"/>
    </row>
    <row r="33" spans="1:53" x14ac:dyDescent="0.25">
      <c r="A33" s="1013"/>
      <c r="B33" s="57" t="s">
        <v>831</v>
      </c>
      <c r="C33" s="224"/>
      <c r="D33" s="733"/>
      <c r="E33" s="68" t="s">
        <v>2113</v>
      </c>
      <c r="F33" s="69" t="s">
        <v>1</v>
      </c>
      <c r="G33" s="70">
        <v>0.17</v>
      </c>
      <c r="H33" s="69">
        <v>40</v>
      </c>
      <c r="I33" s="71">
        <f>G33*H33</f>
        <v>6.8000000000000007</v>
      </c>
      <c r="J33" s="59"/>
      <c r="K33" s="61"/>
      <c r="L33" s="61"/>
      <c r="M33" s="61"/>
      <c r="N33" s="61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1"/>
      <c r="AB33" s="1"/>
      <c r="AC33" s="1"/>
      <c r="AD33" s="56"/>
      <c r="AF33" s="151"/>
      <c r="AJ33" s="136"/>
      <c r="AX33" s="3"/>
      <c r="AY33" s="3"/>
      <c r="AZ33" s="3"/>
      <c r="BA33" s="3"/>
    </row>
    <row r="34" spans="1:53" x14ac:dyDescent="0.25">
      <c r="A34" s="1013"/>
      <c r="B34" s="74" t="s">
        <v>1178</v>
      </c>
      <c r="C34" s="225">
        <v>3</v>
      </c>
      <c r="D34" s="733"/>
      <c r="E34" s="68"/>
      <c r="F34" s="69"/>
      <c r="G34" s="70"/>
      <c r="H34" s="69"/>
      <c r="I34" s="71"/>
      <c r="J34" s="59"/>
      <c r="K34" s="61"/>
      <c r="L34" s="61"/>
      <c r="M34" s="61"/>
      <c r="N34" s="61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1"/>
      <c r="AB34" s="1"/>
      <c r="AC34" s="1"/>
      <c r="AD34" s="56"/>
      <c r="AF34" s="151"/>
      <c r="AJ34" s="146"/>
      <c r="AX34" s="3"/>
      <c r="AY34" s="3"/>
      <c r="AZ34" s="3"/>
      <c r="BA34" s="3"/>
    </row>
    <row r="35" spans="1:53" x14ac:dyDescent="0.25">
      <c r="A35" s="1013"/>
      <c r="B35" s="57" t="s">
        <v>1179</v>
      </c>
      <c r="C35" s="225">
        <v>3</v>
      </c>
      <c r="D35" s="733"/>
      <c r="E35" s="68"/>
      <c r="F35" s="69"/>
      <c r="G35" s="70"/>
      <c r="H35" s="69"/>
      <c r="I35" s="71"/>
      <c r="J35" s="59"/>
      <c r="K35" s="61"/>
      <c r="L35" s="61"/>
      <c r="M35" s="61"/>
      <c r="N35" s="61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1"/>
      <c r="AB35" s="1"/>
      <c r="AC35" s="1"/>
      <c r="AD35" s="56"/>
      <c r="AF35" s="151"/>
      <c r="AJ35" s="146"/>
      <c r="AX35" s="3"/>
      <c r="AY35" s="3"/>
      <c r="AZ35" s="3"/>
      <c r="BA35" s="3"/>
    </row>
    <row r="36" spans="1:53" x14ac:dyDescent="0.25">
      <c r="A36" s="1013"/>
      <c r="B36" s="79" t="s">
        <v>1181</v>
      </c>
      <c r="C36" s="222">
        <f>C31*C34+C32*C35</f>
        <v>159.49040785586701</v>
      </c>
      <c r="D36" s="733"/>
      <c r="E36" s="228"/>
      <c r="F36" s="166"/>
      <c r="G36" s="70"/>
      <c r="H36" s="69"/>
      <c r="I36" s="71"/>
      <c r="J36" s="59"/>
      <c r="K36" s="170"/>
      <c r="L36" s="76"/>
      <c r="M36" s="72"/>
      <c r="N36" s="61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1"/>
      <c r="AB36" s="1"/>
      <c r="AC36" s="1"/>
      <c r="AD36" s="56"/>
      <c r="AF36" s="151"/>
      <c r="AJ36" s="136"/>
      <c r="AX36" s="3"/>
      <c r="AY36" s="3"/>
      <c r="AZ36" s="3"/>
      <c r="BA36" s="3"/>
    </row>
    <row r="37" spans="1:53" x14ac:dyDescent="0.25">
      <c r="A37" s="1014"/>
      <c r="B37" s="123"/>
      <c r="C37" s="225"/>
      <c r="D37" s="734"/>
      <c r="E37" s="228"/>
      <c r="F37" s="166"/>
      <c r="G37" s="70"/>
      <c r="H37" s="69"/>
      <c r="I37" s="71"/>
      <c r="J37" s="59"/>
      <c r="K37" s="170"/>
      <c r="L37" s="61"/>
      <c r="M37" s="72"/>
      <c r="N37" s="61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1"/>
      <c r="AB37" s="1"/>
      <c r="AC37" s="1"/>
      <c r="AD37" s="56"/>
      <c r="AF37" s="151"/>
      <c r="AJ37" s="146"/>
      <c r="AX37" s="3"/>
      <c r="AY37" s="3"/>
      <c r="AZ37" s="3"/>
      <c r="BA37" s="3"/>
    </row>
    <row r="38" spans="1:53" ht="40.799999999999997" x14ac:dyDescent="0.25">
      <c r="A38" s="1012" t="s">
        <v>2118</v>
      </c>
      <c r="B38" s="258" t="s">
        <v>2120</v>
      </c>
      <c r="C38" s="222"/>
      <c r="D38" s="732"/>
      <c r="E38" s="226" t="s">
        <v>488</v>
      </c>
      <c r="F38" s="53" t="s">
        <v>837</v>
      </c>
      <c r="G38" s="735" t="s">
        <v>489</v>
      </c>
      <c r="H38" s="52" t="s">
        <v>1170</v>
      </c>
      <c r="I38" s="53" t="s">
        <v>838</v>
      </c>
      <c r="J38" s="47" t="s">
        <v>1171</v>
      </c>
      <c r="K38" s="47" t="s">
        <v>490</v>
      </c>
      <c r="L38" s="54" t="s">
        <v>489</v>
      </c>
      <c r="M38" s="47" t="s">
        <v>1172</v>
      </c>
      <c r="N38" s="53" t="s">
        <v>838</v>
      </c>
      <c r="O38" s="47" t="s">
        <v>1171</v>
      </c>
      <c r="P38" s="47" t="s">
        <v>826</v>
      </c>
      <c r="Q38" s="47" t="s">
        <v>1173</v>
      </c>
      <c r="R38" s="47" t="s">
        <v>1174</v>
      </c>
      <c r="S38" s="47" t="s">
        <v>839</v>
      </c>
      <c r="T38" s="47" t="s">
        <v>1171</v>
      </c>
      <c r="U38" s="47" t="s">
        <v>1392</v>
      </c>
      <c r="V38" s="47" t="s">
        <v>841</v>
      </c>
      <c r="W38" s="231" t="s">
        <v>1173</v>
      </c>
      <c r="X38" s="47" t="s">
        <v>1394</v>
      </c>
      <c r="Y38" s="47" t="s">
        <v>839</v>
      </c>
      <c r="Z38" s="55"/>
      <c r="AA38" s="1"/>
      <c r="AB38" s="1"/>
      <c r="AC38" s="245"/>
      <c r="AD38" s="56"/>
      <c r="AQ38" s="139"/>
      <c r="AR38" s="139"/>
      <c r="AS38" s="139"/>
      <c r="AX38" s="3"/>
      <c r="AY38" s="3"/>
      <c r="AZ38" s="3"/>
      <c r="BA38" s="3"/>
    </row>
    <row r="39" spans="1:53" x14ac:dyDescent="0.25">
      <c r="A39" s="1013"/>
      <c r="B39" s="36" t="s">
        <v>1175</v>
      </c>
      <c r="C39" s="222">
        <f>C46</f>
        <v>159.49040785586701</v>
      </c>
      <c r="D39" s="732">
        <f>C39*$D$5</f>
        <v>32.217062386885139</v>
      </c>
      <c r="E39" s="227" t="s">
        <v>1176</v>
      </c>
      <c r="F39" s="165"/>
      <c r="G39" s="58"/>
      <c r="H39" s="58"/>
      <c r="I39" s="2">
        <f>SUM(I40:I47)</f>
        <v>26.72</v>
      </c>
      <c r="J39" s="59" t="s">
        <v>1176</v>
      </c>
      <c r="K39" s="169"/>
      <c r="L39" s="60"/>
      <c r="M39" s="60"/>
      <c r="N39" s="61">
        <f>SUM(N40:N47)</f>
        <v>0.26768736577170882</v>
      </c>
      <c r="O39" s="60" t="s">
        <v>1176</v>
      </c>
      <c r="P39" s="60"/>
      <c r="Q39" s="62"/>
      <c r="R39" s="63"/>
      <c r="S39" s="399">
        <f>SUM(S40:S47)</f>
        <v>2.0042306911257022</v>
      </c>
      <c r="T39" s="61"/>
      <c r="U39" s="61"/>
      <c r="V39" s="61"/>
      <c r="W39" s="61"/>
      <c r="X39" s="61"/>
      <c r="Y39" s="399">
        <f>SUM(Y40:Y47)</f>
        <v>28.393770687310383</v>
      </c>
      <c r="Z39" s="64">
        <f>(C39+D39+I39+N39+S39+Y39)*$Z$5</f>
        <v>323.86785967421889</v>
      </c>
      <c r="AA39" s="65">
        <f>C39+D39+I39+N39+S39+Y39+Z39</f>
        <v>572.96101866117885</v>
      </c>
      <c r="AB39" s="66">
        <v>0.25</v>
      </c>
      <c r="AC39" s="244">
        <f>AA39*(1+AB39)</f>
        <v>716.2012733264736</v>
      </c>
      <c r="AD39" s="67"/>
      <c r="AI39" s="139"/>
      <c r="AJ39" s="140"/>
      <c r="AK39" s="141"/>
      <c r="AM39" s="142"/>
      <c r="AN39" s="143"/>
      <c r="AO39" s="142"/>
      <c r="AP39" s="139"/>
      <c r="AQ39" s="139"/>
      <c r="AR39" s="139"/>
      <c r="AS39" s="139"/>
      <c r="AT39" s="139"/>
      <c r="AU39" s="142"/>
      <c r="AV39" s="142"/>
      <c r="AW39" s="144"/>
      <c r="AX39" s="3"/>
      <c r="AY39" s="3"/>
      <c r="AZ39" s="3"/>
      <c r="BA39" s="3"/>
    </row>
    <row r="40" spans="1:53" x14ac:dyDescent="0.25">
      <c r="A40" s="1013"/>
      <c r="B40" s="50" t="s">
        <v>830</v>
      </c>
      <c r="C40" s="222"/>
      <c r="D40" s="733"/>
      <c r="E40" s="68" t="s">
        <v>1437</v>
      </c>
      <c r="F40" s="69" t="s">
        <v>1438</v>
      </c>
      <c r="G40" s="70">
        <v>0.3</v>
      </c>
      <c r="H40" s="69">
        <v>10</v>
      </c>
      <c r="I40" s="71">
        <f>G40*H40</f>
        <v>3</v>
      </c>
      <c r="J40" s="59" t="s">
        <v>1291</v>
      </c>
      <c r="K40" s="72">
        <v>2</v>
      </c>
      <c r="L40" s="73">
        <v>750</v>
      </c>
      <c r="M40" s="72">
        <v>2</v>
      </c>
      <c r="N40" s="61">
        <f>L40/'Исп. коэффициенты'!E34*C44</f>
        <v>0.23076497049285244</v>
      </c>
      <c r="O40" s="60" t="s">
        <v>2114</v>
      </c>
      <c r="P40" s="60">
        <v>2994195.8</v>
      </c>
      <c r="Q40" s="60">
        <v>19.670000000000002</v>
      </c>
      <c r="R40" s="60">
        <v>6513.87</v>
      </c>
      <c r="S40" s="739">
        <f>R40/'Исп. коэффициенты'!E34*+('КМУ УЗИ'!C44)</f>
        <v>2.0042306911257022</v>
      </c>
      <c r="T40" s="239" t="s">
        <v>1435</v>
      </c>
      <c r="U40" s="240">
        <v>6785401.3499999996</v>
      </c>
      <c r="V40" s="740">
        <f>'Исп. коэффициенты'!E124</f>
        <v>2978.5</v>
      </c>
      <c r="W40" s="241">
        <f>'Исп. коэффициенты'!D124</f>
        <v>1.3599999999999999E-2</v>
      </c>
      <c r="X40" s="61">
        <f>U40*W40</f>
        <v>92281.45835999999</v>
      </c>
      <c r="Y40" s="739">
        <f>X40/'Исп. коэффициенты'!E34*'КМУ УЗИ'!C44</f>
        <v>28.393770687310383</v>
      </c>
      <c r="Z40" s="60"/>
      <c r="AA40" s="1"/>
      <c r="AB40" s="1"/>
      <c r="AC40" s="1"/>
      <c r="AD40" s="56"/>
      <c r="AF40" s="151"/>
      <c r="AJ40" s="136"/>
      <c r="AX40" s="3"/>
      <c r="AY40" s="3"/>
      <c r="AZ40" s="3"/>
      <c r="BA40" s="3"/>
    </row>
    <row r="41" spans="1:53" x14ac:dyDescent="0.25">
      <c r="A41" s="1013"/>
      <c r="B41" s="74" t="s">
        <v>1178</v>
      </c>
      <c r="C41" s="223">
        <f>C21</f>
        <v>33.667709452234185</v>
      </c>
      <c r="D41" s="733"/>
      <c r="E41" s="68" t="s">
        <v>2112</v>
      </c>
      <c r="F41" s="69" t="s">
        <v>1</v>
      </c>
      <c r="G41" s="70">
        <v>0.47</v>
      </c>
      <c r="H41" s="69">
        <v>10</v>
      </c>
      <c r="I41" s="242">
        <f>G41*H41</f>
        <v>4.6999999999999993</v>
      </c>
      <c r="J41" s="59" t="s">
        <v>1445</v>
      </c>
      <c r="K41" s="61">
        <v>2</v>
      </c>
      <c r="L41" s="76">
        <v>95</v>
      </c>
      <c r="M41" s="72">
        <v>2</v>
      </c>
      <c r="N41" s="61">
        <f>L41/'Исп. коэффициенты'!E34*C44</f>
        <v>2.9230229595761308E-2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1"/>
      <c r="AB41" s="1"/>
      <c r="AC41" s="1"/>
      <c r="AD41" s="56"/>
      <c r="AF41" s="151"/>
      <c r="AJ41" s="136"/>
      <c r="AM41" s="145"/>
      <c r="AX41" s="3"/>
      <c r="AY41" s="3"/>
      <c r="AZ41" s="3"/>
      <c r="BA41" s="3"/>
    </row>
    <row r="42" spans="1:53" x14ac:dyDescent="0.25">
      <c r="A42" s="1013"/>
      <c r="B42" s="57" t="s">
        <v>1179</v>
      </c>
      <c r="C42" s="222">
        <f>C22</f>
        <v>19.495759833054819</v>
      </c>
      <c r="D42" s="733"/>
      <c r="E42" s="68" t="s">
        <v>1598</v>
      </c>
      <c r="F42" s="69" t="s">
        <v>1441</v>
      </c>
      <c r="G42" s="70">
        <v>5.36</v>
      </c>
      <c r="H42" s="70">
        <v>1</v>
      </c>
      <c r="I42" s="71">
        <f>G42*H42</f>
        <v>5.36</v>
      </c>
      <c r="J42" s="59" t="s">
        <v>1513</v>
      </c>
      <c r="K42" s="61">
        <v>2</v>
      </c>
      <c r="L42" s="61">
        <v>25</v>
      </c>
      <c r="M42" s="72">
        <v>0.5</v>
      </c>
      <c r="N42" s="61">
        <f>L42/'Исп. коэффициенты'!E34*C44</f>
        <v>7.6921656830950813E-3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1"/>
      <c r="AB42" s="1"/>
      <c r="AC42" s="1"/>
      <c r="AD42" s="56"/>
      <c r="AF42" s="151"/>
      <c r="AJ42" s="136"/>
      <c r="AX42" s="3"/>
      <c r="AY42" s="3"/>
      <c r="AZ42" s="3"/>
      <c r="BA42" s="3"/>
    </row>
    <row r="43" spans="1:53" x14ac:dyDescent="0.25">
      <c r="A43" s="1013"/>
      <c r="B43" s="57" t="s">
        <v>831</v>
      </c>
      <c r="C43" s="224"/>
      <c r="D43" s="733"/>
      <c r="E43" s="68" t="s">
        <v>2113</v>
      </c>
      <c r="F43" s="69" t="s">
        <v>1</v>
      </c>
      <c r="G43" s="70">
        <v>0.17</v>
      </c>
      <c r="H43" s="69">
        <v>40</v>
      </c>
      <c r="I43" s="71">
        <f>G43*H43</f>
        <v>6.8000000000000007</v>
      </c>
      <c r="J43" s="59"/>
      <c r="K43" s="61"/>
      <c r="L43" s="61"/>
      <c r="M43" s="61"/>
      <c r="N43" s="61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1"/>
      <c r="AB43" s="1"/>
      <c r="AC43" s="1"/>
      <c r="AD43" s="56"/>
      <c r="AF43" s="151"/>
      <c r="AJ43" s="136"/>
      <c r="AX43" s="3"/>
      <c r="AY43" s="3"/>
      <c r="AZ43" s="3"/>
      <c r="BA43" s="3"/>
    </row>
    <row r="44" spans="1:53" x14ac:dyDescent="0.25">
      <c r="A44" s="1013"/>
      <c r="B44" s="74" t="s">
        <v>1178</v>
      </c>
      <c r="C44" s="225">
        <v>3</v>
      </c>
      <c r="D44" s="733"/>
      <c r="E44" s="68" t="s">
        <v>2122</v>
      </c>
      <c r="F44" s="69" t="s">
        <v>1441</v>
      </c>
      <c r="G44" s="70">
        <v>6.86</v>
      </c>
      <c r="H44" s="69">
        <v>1</v>
      </c>
      <c r="I44" s="71">
        <f>G44*H44</f>
        <v>6.86</v>
      </c>
      <c r="J44" s="59"/>
      <c r="K44" s="61"/>
      <c r="L44" s="61"/>
      <c r="M44" s="61"/>
      <c r="N44" s="61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1"/>
      <c r="AB44" s="1"/>
      <c r="AC44" s="1"/>
      <c r="AD44" s="56"/>
      <c r="AF44" s="151"/>
      <c r="AJ44" s="146"/>
      <c r="AX44" s="3"/>
      <c r="AY44" s="3"/>
      <c r="AZ44" s="3"/>
      <c r="BA44" s="3"/>
    </row>
    <row r="45" spans="1:53" x14ac:dyDescent="0.25">
      <c r="A45" s="1013"/>
      <c r="B45" s="57" t="s">
        <v>1179</v>
      </c>
      <c r="C45" s="225">
        <v>3</v>
      </c>
      <c r="D45" s="733"/>
      <c r="E45" s="68"/>
      <c r="F45" s="69"/>
      <c r="G45" s="70"/>
      <c r="H45" s="69"/>
      <c r="I45" s="71"/>
      <c r="J45" s="59"/>
      <c r="K45" s="61"/>
      <c r="L45" s="61"/>
      <c r="M45" s="61"/>
      <c r="N45" s="61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1"/>
      <c r="AB45" s="1"/>
      <c r="AC45" s="1"/>
      <c r="AD45" s="56"/>
      <c r="AF45" s="151"/>
      <c r="AJ45" s="146"/>
      <c r="AX45" s="3"/>
      <c r="AY45" s="3"/>
      <c r="AZ45" s="3"/>
      <c r="BA45" s="3"/>
    </row>
    <row r="46" spans="1:53" x14ac:dyDescent="0.25">
      <c r="A46" s="1013"/>
      <c r="B46" s="79" t="s">
        <v>1181</v>
      </c>
      <c r="C46" s="222">
        <f>C41*C44+C42*C45</f>
        <v>159.49040785586701</v>
      </c>
      <c r="D46" s="733"/>
      <c r="E46" s="228"/>
      <c r="F46" s="166"/>
      <c r="G46" s="70"/>
      <c r="H46" s="69"/>
      <c r="I46" s="71"/>
      <c r="J46" s="59"/>
      <c r="K46" s="170"/>
      <c r="L46" s="76"/>
      <c r="M46" s="72"/>
      <c r="N46" s="61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1"/>
      <c r="AB46" s="1"/>
      <c r="AC46" s="1"/>
      <c r="AD46" s="56"/>
      <c r="AF46" s="151"/>
      <c r="AJ46" s="136"/>
      <c r="AX46" s="3"/>
      <c r="AY46" s="3"/>
      <c r="AZ46" s="3"/>
      <c r="BA46" s="3"/>
    </row>
    <row r="47" spans="1:53" x14ac:dyDescent="0.25">
      <c r="A47" s="1014"/>
      <c r="B47" s="123"/>
      <c r="C47" s="225"/>
      <c r="D47" s="734"/>
      <c r="E47" s="228"/>
      <c r="F47" s="166"/>
      <c r="G47" s="70"/>
      <c r="H47" s="69"/>
      <c r="I47" s="71"/>
      <c r="J47" s="59"/>
      <c r="K47" s="170"/>
      <c r="L47" s="61"/>
      <c r="M47" s="72"/>
      <c r="N47" s="61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1"/>
      <c r="AB47" s="1"/>
      <c r="AC47" s="1"/>
      <c r="AD47" s="56"/>
      <c r="AF47" s="151"/>
      <c r="AJ47" s="146"/>
      <c r="AX47" s="3"/>
      <c r="AY47" s="3"/>
      <c r="AZ47" s="3"/>
      <c r="BA47" s="3"/>
    </row>
    <row r="48" spans="1:53" ht="56.25" customHeight="1" x14ac:dyDescent="0.25">
      <c r="A48" s="1012" t="s">
        <v>2123</v>
      </c>
      <c r="B48" s="258" t="s">
        <v>2121</v>
      </c>
      <c r="C48" s="222"/>
      <c r="D48" s="732"/>
      <c r="E48" s="226" t="s">
        <v>488</v>
      </c>
      <c r="F48" s="53" t="s">
        <v>837</v>
      </c>
      <c r="G48" s="735" t="s">
        <v>489</v>
      </c>
      <c r="H48" s="52" t="s">
        <v>1170</v>
      </c>
      <c r="I48" s="53" t="s">
        <v>838</v>
      </c>
      <c r="J48" s="47" t="s">
        <v>1171</v>
      </c>
      <c r="K48" s="47" t="s">
        <v>490</v>
      </c>
      <c r="L48" s="54" t="s">
        <v>489</v>
      </c>
      <c r="M48" s="47" t="s">
        <v>1172</v>
      </c>
      <c r="N48" s="53" t="s">
        <v>838</v>
      </c>
      <c r="O48" s="47" t="s">
        <v>1171</v>
      </c>
      <c r="P48" s="47" t="s">
        <v>826</v>
      </c>
      <c r="Q48" s="47" t="s">
        <v>1173</v>
      </c>
      <c r="R48" s="47" t="s">
        <v>1174</v>
      </c>
      <c r="S48" s="47" t="s">
        <v>839</v>
      </c>
      <c r="T48" s="47" t="s">
        <v>1171</v>
      </c>
      <c r="U48" s="47" t="s">
        <v>1392</v>
      </c>
      <c r="V48" s="47" t="s">
        <v>841</v>
      </c>
      <c r="W48" s="231" t="s">
        <v>1173</v>
      </c>
      <c r="X48" s="47" t="s">
        <v>1394</v>
      </c>
      <c r="Y48" s="47" t="s">
        <v>839</v>
      </c>
      <c r="Z48" s="55"/>
      <c r="AA48" s="1"/>
      <c r="AB48" s="1"/>
      <c r="AC48" s="245"/>
      <c r="AD48" s="56"/>
      <c r="AQ48" s="139"/>
      <c r="AR48" s="139"/>
      <c r="AS48" s="139"/>
      <c r="AX48" s="3"/>
      <c r="AY48" s="3"/>
      <c r="AZ48" s="3"/>
      <c r="BA48" s="3"/>
    </row>
    <row r="49" spans="1:53" ht="12.75" customHeight="1" x14ac:dyDescent="0.25">
      <c r="A49" s="1013"/>
      <c r="B49" s="36" t="s">
        <v>1175</v>
      </c>
      <c r="C49" s="222">
        <f>C56</f>
        <v>132.90867321322253</v>
      </c>
      <c r="D49" s="732">
        <f>C49*$D$5</f>
        <v>26.847551989070951</v>
      </c>
      <c r="E49" s="227" t="s">
        <v>1176</v>
      </c>
      <c r="F49" s="165"/>
      <c r="G49" s="58"/>
      <c r="H49" s="58"/>
      <c r="I49" s="2">
        <f>SUM(I50:I57)</f>
        <v>19.86</v>
      </c>
      <c r="J49" s="59" t="s">
        <v>1176</v>
      </c>
      <c r="K49" s="169"/>
      <c r="L49" s="60"/>
      <c r="M49" s="60"/>
      <c r="N49" s="61">
        <f>SUM(N50:N57)</f>
        <v>0.22307280480975736</v>
      </c>
      <c r="O49" s="60" t="s">
        <v>1176</v>
      </c>
      <c r="P49" s="60"/>
      <c r="Q49" s="62"/>
      <c r="R49" s="63"/>
      <c r="S49" s="399">
        <f>SUM(S50:S57)</f>
        <v>1.670192242604752</v>
      </c>
      <c r="T49" s="61"/>
      <c r="U49" s="61"/>
      <c r="V49" s="61"/>
      <c r="W49" s="61"/>
      <c r="X49" s="61"/>
      <c r="Y49" s="399">
        <f>SUM(Y50:Y57)</f>
        <v>23.661475572758654</v>
      </c>
      <c r="Z49" s="64">
        <f>(C49+D49+I49+N49+S49+Y49)*$Z$5</f>
        <v>266.76076468118964</v>
      </c>
      <c r="AA49" s="65">
        <f>C49+D49+I49+N49+S49+Y49+Z49</f>
        <v>471.9317305036563</v>
      </c>
      <c r="AB49" s="66">
        <v>0.25</v>
      </c>
      <c r="AC49" s="244">
        <f>AA49*(1+AB49)</f>
        <v>589.91466312957039</v>
      </c>
      <c r="AD49" s="67"/>
      <c r="AI49" s="139"/>
      <c r="AJ49" s="140"/>
      <c r="AK49" s="141"/>
      <c r="AM49" s="142"/>
      <c r="AN49" s="143"/>
      <c r="AO49" s="142"/>
      <c r="AP49" s="139"/>
      <c r="AQ49" s="139"/>
      <c r="AR49" s="139"/>
      <c r="AS49" s="139"/>
      <c r="AT49" s="139"/>
      <c r="AU49" s="142"/>
      <c r="AV49" s="142"/>
      <c r="AW49" s="144"/>
      <c r="AX49" s="3"/>
      <c r="AY49" s="3"/>
      <c r="AZ49" s="3"/>
      <c r="BA49" s="3"/>
    </row>
    <row r="50" spans="1:53" x14ac:dyDescent="0.25">
      <c r="A50" s="1013"/>
      <c r="B50" s="50" t="s">
        <v>830</v>
      </c>
      <c r="C50" s="222"/>
      <c r="D50" s="733"/>
      <c r="E50" s="68" t="s">
        <v>1437</v>
      </c>
      <c r="F50" s="69" t="s">
        <v>1438</v>
      </c>
      <c r="G50" s="70">
        <v>0.3</v>
      </c>
      <c r="H50" s="69">
        <v>10</v>
      </c>
      <c r="I50" s="71">
        <f>G50*H50</f>
        <v>3</v>
      </c>
      <c r="J50" s="59" t="s">
        <v>1291</v>
      </c>
      <c r="K50" s="72">
        <v>2</v>
      </c>
      <c r="L50" s="73">
        <v>750</v>
      </c>
      <c r="M50" s="72">
        <v>2</v>
      </c>
      <c r="N50" s="61">
        <f>L50/'Исп. коэффициенты'!E34*C54</f>
        <v>0.19230414207737703</v>
      </c>
      <c r="O50" s="60" t="s">
        <v>2114</v>
      </c>
      <c r="P50" s="60">
        <v>2994195.8</v>
      </c>
      <c r="Q50" s="60">
        <v>19.670000000000002</v>
      </c>
      <c r="R50" s="60">
        <v>6513.87</v>
      </c>
      <c r="S50" s="739">
        <f>R50/'Исп. коэффициенты'!E34*+('КМУ УЗИ'!C54)</f>
        <v>1.670192242604752</v>
      </c>
      <c r="T50" s="239" t="s">
        <v>1435</v>
      </c>
      <c r="U50" s="240">
        <v>6785401.3499999996</v>
      </c>
      <c r="V50" s="740">
        <f>'Исп. коэффициенты'!E124</f>
        <v>2978.5</v>
      </c>
      <c r="W50" s="241">
        <f>'Исп. коэффициенты'!D124</f>
        <v>1.3599999999999999E-2</v>
      </c>
      <c r="X50" s="61">
        <f>U50*W50</f>
        <v>92281.45835999999</v>
      </c>
      <c r="Y50" s="739">
        <f>X50/'Исп. коэффициенты'!E34*'КМУ УЗИ'!C54</f>
        <v>23.661475572758654</v>
      </c>
      <c r="Z50" s="60"/>
      <c r="AA50" s="1"/>
      <c r="AB50" s="1"/>
      <c r="AC50" s="1"/>
      <c r="AD50" s="56"/>
      <c r="AF50" s="151"/>
      <c r="AJ50" s="136"/>
      <c r="AX50" s="3"/>
      <c r="AY50" s="3"/>
      <c r="AZ50" s="3"/>
      <c r="BA50" s="3"/>
    </row>
    <row r="51" spans="1:53" x14ac:dyDescent="0.25">
      <c r="A51" s="1013"/>
      <c r="B51" s="74" t="s">
        <v>1178</v>
      </c>
      <c r="C51" s="223">
        <f>C31</f>
        <v>33.667709452234185</v>
      </c>
      <c r="D51" s="733"/>
      <c r="E51" s="68" t="s">
        <v>2112</v>
      </c>
      <c r="F51" s="69" t="s">
        <v>1</v>
      </c>
      <c r="G51" s="70">
        <v>0.47</v>
      </c>
      <c r="H51" s="69">
        <v>10</v>
      </c>
      <c r="I51" s="242">
        <f>G51*H51</f>
        <v>4.6999999999999993</v>
      </c>
      <c r="J51" s="59" t="s">
        <v>1445</v>
      </c>
      <c r="K51" s="61">
        <v>2</v>
      </c>
      <c r="L51" s="76">
        <v>95</v>
      </c>
      <c r="M51" s="72">
        <v>2</v>
      </c>
      <c r="N51" s="61">
        <f>L51/'Исп. коэффициенты'!E34*C54</f>
        <v>2.4358524663134422E-2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1"/>
      <c r="AB51" s="1"/>
      <c r="AC51" s="1"/>
      <c r="AD51" s="56"/>
      <c r="AF51" s="151"/>
      <c r="AJ51" s="136"/>
      <c r="AM51" s="145"/>
      <c r="AX51" s="3"/>
      <c r="AY51" s="3"/>
      <c r="AZ51" s="3"/>
      <c r="BA51" s="3"/>
    </row>
    <row r="52" spans="1:53" x14ac:dyDescent="0.25">
      <c r="A52" s="1013"/>
      <c r="B52" s="57" t="s">
        <v>1179</v>
      </c>
      <c r="C52" s="222">
        <f>C32</f>
        <v>19.495759833054819</v>
      </c>
      <c r="D52" s="733"/>
      <c r="E52" s="68" t="s">
        <v>1598</v>
      </c>
      <c r="F52" s="69" t="s">
        <v>1441</v>
      </c>
      <c r="G52" s="70">
        <v>5.36</v>
      </c>
      <c r="H52" s="70">
        <v>1</v>
      </c>
      <c r="I52" s="71">
        <f>G52*H52</f>
        <v>5.36</v>
      </c>
      <c r="J52" s="59" t="s">
        <v>1513</v>
      </c>
      <c r="K52" s="61">
        <v>2</v>
      </c>
      <c r="L52" s="61">
        <v>25</v>
      </c>
      <c r="M52" s="72">
        <v>0.5</v>
      </c>
      <c r="N52" s="61">
        <f>L52/'Исп. коэффициенты'!E34*C54</f>
        <v>6.4101380692459017E-3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1"/>
      <c r="AB52" s="1"/>
      <c r="AC52" s="1"/>
      <c r="AD52" s="56"/>
      <c r="AF52" s="151"/>
      <c r="AJ52" s="136"/>
      <c r="AX52" s="3"/>
      <c r="AY52" s="3"/>
      <c r="AZ52" s="3"/>
      <c r="BA52" s="3"/>
    </row>
    <row r="53" spans="1:53" x14ac:dyDescent="0.25">
      <c r="A53" s="1013"/>
      <c r="B53" s="57" t="s">
        <v>831</v>
      </c>
      <c r="C53" s="224"/>
      <c r="D53" s="733"/>
      <c r="E53" s="68" t="s">
        <v>2113</v>
      </c>
      <c r="F53" s="69" t="s">
        <v>1</v>
      </c>
      <c r="G53" s="70">
        <v>0.17</v>
      </c>
      <c r="H53" s="69">
        <v>40</v>
      </c>
      <c r="I53" s="71">
        <f>G53*H53</f>
        <v>6.8000000000000007</v>
      </c>
      <c r="J53" s="59"/>
      <c r="K53" s="61"/>
      <c r="L53" s="61"/>
      <c r="M53" s="61"/>
      <c r="N53" s="61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1"/>
      <c r="AB53" s="1"/>
      <c r="AC53" s="1"/>
      <c r="AD53" s="56"/>
      <c r="AF53" s="151"/>
      <c r="AJ53" s="136"/>
      <c r="AX53" s="3"/>
      <c r="AY53" s="3"/>
      <c r="AZ53" s="3"/>
      <c r="BA53" s="3"/>
    </row>
    <row r="54" spans="1:53" x14ac:dyDescent="0.25">
      <c r="A54" s="1013"/>
      <c r="B54" s="74" t="s">
        <v>1178</v>
      </c>
      <c r="C54" s="225">
        <v>2.5</v>
      </c>
      <c r="D54" s="733"/>
      <c r="E54" s="68"/>
      <c r="F54" s="69"/>
      <c r="G54" s="70"/>
      <c r="H54" s="69"/>
      <c r="I54" s="71"/>
      <c r="J54" s="59"/>
      <c r="K54" s="61"/>
      <c r="L54" s="61"/>
      <c r="M54" s="61"/>
      <c r="N54" s="61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1"/>
      <c r="AB54" s="1"/>
      <c r="AC54" s="1"/>
      <c r="AD54" s="56"/>
      <c r="AF54" s="151"/>
      <c r="AJ54" s="146"/>
      <c r="AX54" s="3"/>
      <c r="AY54" s="3"/>
      <c r="AZ54" s="3"/>
      <c r="BA54" s="3"/>
    </row>
    <row r="55" spans="1:53" x14ac:dyDescent="0.25">
      <c r="A55" s="1013"/>
      <c r="B55" s="57" t="s">
        <v>1179</v>
      </c>
      <c r="C55" s="225">
        <v>2.5</v>
      </c>
      <c r="D55" s="733"/>
      <c r="E55" s="68"/>
      <c r="F55" s="69"/>
      <c r="G55" s="70"/>
      <c r="H55" s="69"/>
      <c r="I55" s="71"/>
      <c r="J55" s="59"/>
      <c r="K55" s="61"/>
      <c r="L55" s="61"/>
      <c r="M55" s="61"/>
      <c r="N55" s="61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1"/>
      <c r="AB55" s="1"/>
      <c r="AC55" s="1"/>
      <c r="AD55" s="56"/>
      <c r="AF55" s="151"/>
      <c r="AJ55" s="146"/>
      <c r="AX55" s="3"/>
      <c r="AY55" s="3"/>
      <c r="AZ55" s="3"/>
      <c r="BA55" s="3"/>
    </row>
    <row r="56" spans="1:53" x14ac:dyDescent="0.25">
      <c r="A56" s="1013"/>
      <c r="B56" s="79" t="s">
        <v>1181</v>
      </c>
      <c r="C56" s="222">
        <f>C51*C54+C52*C55</f>
        <v>132.90867321322253</v>
      </c>
      <c r="D56" s="733"/>
      <c r="E56" s="228"/>
      <c r="F56" s="166"/>
      <c r="G56" s="70"/>
      <c r="H56" s="69"/>
      <c r="I56" s="71"/>
      <c r="J56" s="59"/>
      <c r="K56" s="170"/>
      <c r="L56" s="76"/>
      <c r="M56" s="72"/>
      <c r="N56" s="61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1"/>
      <c r="AB56" s="1"/>
      <c r="AC56" s="1"/>
      <c r="AD56" s="56"/>
      <c r="AF56" s="151"/>
      <c r="AJ56" s="136"/>
      <c r="AX56" s="3"/>
      <c r="AY56" s="3"/>
      <c r="AZ56" s="3"/>
      <c r="BA56" s="3"/>
    </row>
    <row r="57" spans="1:53" x14ac:dyDescent="0.25">
      <c r="A57" s="1014"/>
      <c r="B57" s="123"/>
      <c r="C57" s="225"/>
      <c r="D57" s="734"/>
      <c r="E57" s="228"/>
      <c r="F57" s="166"/>
      <c r="G57" s="70"/>
      <c r="H57" s="69"/>
      <c r="I57" s="71"/>
      <c r="J57" s="59"/>
      <c r="K57" s="170"/>
      <c r="L57" s="61"/>
      <c r="M57" s="72"/>
      <c r="N57" s="61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1"/>
      <c r="AB57" s="1"/>
      <c r="AC57" s="1"/>
      <c r="AD57" s="56"/>
      <c r="AF57" s="151"/>
      <c r="AJ57" s="146"/>
      <c r="AX57" s="3"/>
      <c r="AY57" s="3"/>
      <c r="AZ57" s="3"/>
      <c r="BA57" s="3"/>
    </row>
    <row r="58" spans="1:53" ht="56.25" customHeight="1" x14ac:dyDescent="0.25">
      <c r="A58" s="1012" t="s">
        <v>2184</v>
      </c>
      <c r="B58" s="258" t="s">
        <v>2124</v>
      </c>
      <c r="C58" s="222"/>
      <c r="D58" s="732"/>
      <c r="E58" s="226" t="s">
        <v>488</v>
      </c>
      <c r="F58" s="53" t="s">
        <v>837</v>
      </c>
      <c r="G58" s="735" t="s">
        <v>489</v>
      </c>
      <c r="H58" s="52" t="s">
        <v>1170</v>
      </c>
      <c r="I58" s="53" t="s">
        <v>838</v>
      </c>
      <c r="J58" s="47" t="s">
        <v>1171</v>
      </c>
      <c r="K58" s="47" t="s">
        <v>490</v>
      </c>
      <c r="L58" s="54" t="s">
        <v>489</v>
      </c>
      <c r="M58" s="47" t="s">
        <v>1172</v>
      </c>
      <c r="N58" s="53" t="s">
        <v>838</v>
      </c>
      <c r="O58" s="47" t="s">
        <v>1171</v>
      </c>
      <c r="P58" s="47" t="s">
        <v>826</v>
      </c>
      <c r="Q58" s="47" t="s">
        <v>1173</v>
      </c>
      <c r="R58" s="47" t="s">
        <v>1174</v>
      </c>
      <c r="S58" s="47" t="s">
        <v>839</v>
      </c>
      <c r="T58" s="47" t="s">
        <v>1171</v>
      </c>
      <c r="U58" s="47" t="s">
        <v>1392</v>
      </c>
      <c r="V58" s="47" t="s">
        <v>841</v>
      </c>
      <c r="W58" s="231" t="s">
        <v>1173</v>
      </c>
      <c r="X58" s="47" t="s">
        <v>1394</v>
      </c>
      <c r="Y58" s="47" t="s">
        <v>839</v>
      </c>
      <c r="Z58" s="55"/>
      <c r="AA58" s="1"/>
      <c r="AB58" s="1"/>
      <c r="AC58" s="245"/>
      <c r="AD58" s="56"/>
      <c r="AQ58" s="139"/>
      <c r="AR58" s="139"/>
      <c r="AS58" s="139"/>
      <c r="AX58" s="3"/>
      <c r="AY58" s="3"/>
      <c r="AZ58" s="3"/>
      <c r="BA58" s="3"/>
    </row>
    <row r="59" spans="1:53" ht="12.75" customHeight="1" x14ac:dyDescent="0.25">
      <c r="A59" s="1013"/>
      <c r="B59" s="36" t="s">
        <v>1175</v>
      </c>
      <c r="C59" s="222">
        <f>C66</f>
        <v>132.90867321322253</v>
      </c>
      <c r="D59" s="732">
        <f>C59*$D$5</f>
        <v>26.847551989070951</v>
      </c>
      <c r="E59" s="227" t="s">
        <v>1176</v>
      </c>
      <c r="F59" s="165"/>
      <c r="G59" s="58"/>
      <c r="H59" s="58"/>
      <c r="I59" s="2">
        <f>SUM(I60:I67)</f>
        <v>19.86</v>
      </c>
      <c r="J59" s="59" t="s">
        <v>1176</v>
      </c>
      <c r="K59" s="169"/>
      <c r="L59" s="60"/>
      <c r="M59" s="60"/>
      <c r="N59" s="61">
        <f>SUM(N60:N67)</f>
        <v>0.22307280480975736</v>
      </c>
      <c r="O59" s="60" t="s">
        <v>1176</v>
      </c>
      <c r="P59" s="60"/>
      <c r="Q59" s="62"/>
      <c r="R59" s="63"/>
      <c r="S59" s="399">
        <f>SUM(S60:S67)</f>
        <v>1.670192242604752</v>
      </c>
      <c r="T59" s="61"/>
      <c r="U59" s="61"/>
      <c r="V59" s="61"/>
      <c r="W59" s="61"/>
      <c r="X59" s="61"/>
      <c r="Y59" s="399">
        <f>SUM(Y60:Y67)</f>
        <v>23.661475572758654</v>
      </c>
      <c r="Z59" s="64">
        <f>(C59+D59+I59+N59+S59+Y59)*$Z$5</f>
        <v>266.76076468118964</v>
      </c>
      <c r="AA59" s="65">
        <f>C59+D59+I59+N59+S59+Y59+Z59</f>
        <v>471.9317305036563</v>
      </c>
      <c r="AB59" s="66">
        <v>0.25</v>
      </c>
      <c r="AC59" s="244">
        <f>AA59*(1+AB59)</f>
        <v>589.91466312957039</v>
      </c>
      <c r="AD59" s="67"/>
      <c r="AI59" s="139"/>
      <c r="AJ59" s="140"/>
      <c r="AK59" s="141"/>
      <c r="AM59" s="142"/>
      <c r="AN59" s="143"/>
      <c r="AO59" s="142"/>
      <c r="AP59" s="139"/>
      <c r="AQ59" s="139"/>
      <c r="AR59" s="139"/>
      <c r="AS59" s="139"/>
      <c r="AT59" s="139"/>
      <c r="AU59" s="142"/>
      <c r="AV59" s="142"/>
      <c r="AW59" s="144"/>
      <c r="AX59" s="3"/>
      <c r="AY59" s="3"/>
      <c r="AZ59" s="3"/>
      <c r="BA59" s="3"/>
    </row>
    <row r="60" spans="1:53" x14ac:dyDescent="0.25">
      <c r="A60" s="1013"/>
      <c r="B60" s="50" t="s">
        <v>830</v>
      </c>
      <c r="C60" s="222"/>
      <c r="D60" s="733"/>
      <c r="E60" s="68" t="s">
        <v>1437</v>
      </c>
      <c r="F60" s="69" t="s">
        <v>1438</v>
      </c>
      <c r="G60" s="70">
        <v>0.3</v>
      </c>
      <c r="H60" s="69">
        <v>10</v>
      </c>
      <c r="I60" s="71">
        <f>G60*H60</f>
        <v>3</v>
      </c>
      <c r="J60" s="59" t="s">
        <v>1291</v>
      </c>
      <c r="K60" s="72">
        <v>2</v>
      </c>
      <c r="L60" s="73">
        <v>750</v>
      </c>
      <c r="M60" s="72">
        <v>2</v>
      </c>
      <c r="N60" s="61">
        <f>L60/'Исп. коэффициенты'!E34*C64</f>
        <v>0.19230414207737703</v>
      </c>
      <c r="O60" s="60" t="s">
        <v>2114</v>
      </c>
      <c r="P60" s="60">
        <v>2994195.8</v>
      </c>
      <c r="Q60" s="60">
        <v>19.670000000000002</v>
      </c>
      <c r="R60" s="60">
        <v>6513.87</v>
      </c>
      <c r="S60" s="739">
        <f>R60/'Исп. коэффициенты'!E34*+('КМУ УЗИ'!C64)</f>
        <v>1.670192242604752</v>
      </c>
      <c r="T60" s="239" t="s">
        <v>1435</v>
      </c>
      <c r="U60" s="240">
        <v>6785401.3499999996</v>
      </c>
      <c r="V60" s="740">
        <f>'Исп. коэффициенты'!E124</f>
        <v>2978.5</v>
      </c>
      <c r="W60" s="241">
        <f>'Исп. коэффициенты'!D124</f>
        <v>1.3599999999999999E-2</v>
      </c>
      <c r="X60" s="61">
        <f>U60*W60</f>
        <v>92281.45835999999</v>
      </c>
      <c r="Y60" s="739">
        <f>X60/'Исп. коэффициенты'!E34*'КМУ УЗИ'!C64</f>
        <v>23.661475572758654</v>
      </c>
      <c r="Z60" s="60"/>
      <c r="AA60" s="1"/>
      <c r="AB60" s="1"/>
      <c r="AC60" s="1"/>
      <c r="AD60" s="56"/>
      <c r="AF60" s="151"/>
      <c r="AJ60" s="136"/>
      <c r="AX60" s="3"/>
      <c r="AY60" s="3"/>
      <c r="AZ60" s="3"/>
      <c r="BA60" s="3"/>
    </row>
    <row r="61" spans="1:53" x14ac:dyDescent="0.25">
      <c r="A61" s="1013"/>
      <c r="B61" s="74" t="s">
        <v>1178</v>
      </c>
      <c r="C61" s="223">
        <f>C41</f>
        <v>33.667709452234185</v>
      </c>
      <c r="D61" s="733"/>
      <c r="E61" s="68" t="s">
        <v>2112</v>
      </c>
      <c r="F61" s="69" t="s">
        <v>1</v>
      </c>
      <c r="G61" s="70">
        <v>0.47</v>
      </c>
      <c r="H61" s="69">
        <v>10</v>
      </c>
      <c r="I61" s="242">
        <f>G61*H61</f>
        <v>4.6999999999999993</v>
      </c>
      <c r="J61" s="59" t="s">
        <v>1445</v>
      </c>
      <c r="K61" s="61">
        <v>2</v>
      </c>
      <c r="L61" s="76">
        <v>95</v>
      </c>
      <c r="M61" s="72">
        <v>2</v>
      </c>
      <c r="N61" s="61">
        <f>L61/'Исп. коэффициенты'!E34*C64</f>
        <v>2.4358524663134422E-2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1"/>
      <c r="AB61" s="1"/>
      <c r="AC61" s="1"/>
      <c r="AD61" s="56"/>
      <c r="AF61" s="151"/>
      <c r="AJ61" s="136"/>
      <c r="AM61" s="145"/>
      <c r="AX61" s="3"/>
      <c r="AY61" s="3"/>
      <c r="AZ61" s="3"/>
      <c r="BA61" s="3"/>
    </row>
    <row r="62" spans="1:53" x14ac:dyDescent="0.25">
      <c r="A62" s="1013"/>
      <c r="B62" s="57" t="s">
        <v>1179</v>
      </c>
      <c r="C62" s="222">
        <f>C42</f>
        <v>19.495759833054819</v>
      </c>
      <c r="D62" s="733"/>
      <c r="E62" s="68" t="s">
        <v>1598</v>
      </c>
      <c r="F62" s="69" t="s">
        <v>1441</v>
      </c>
      <c r="G62" s="70">
        <v>5.36</v>
      </c>
      <c r="H62" s="70">
        <v>1</v>
      </c>
      <c r="I62" s="71">
        <f>G62*H62</f>
        <v>5.36</v>
      </c>
      <c r="J62" s="59" t="s">
        <v>1513</v>
      </c>
      <c r="K62" s="61">
        <v>2</v>
      </c>
      <c r="L62" s="61">
        <v>25</v>
      </c>
      <c r="M62" s="72">
        <v>0.5</v>
      </c>
      <c r="N62" s="61">
        <f>L62/'Исп. коэффициенты'!E34*C64</f>
        <v>6.4101380692459017E-3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1"/>
      <c r="AB62" s="1"/>
      <c r="AC62" s="1"/>
      <c r="AD62" s="56"/>
      <c r="AF62" s="151"/>
      <c r="AJ62" s="136"/>
      <c r="AX62" s="3"/>
      <c r="AY62" s="3"/>
      <c r="AZ62" s="3"/>
      <c r="BA62" s="3"/>
    </row>
    <row r="63" spans="1:53" x14ac:dyDescent="0.25">
      <c r="A63" s="1013"/>
      <c r="B63" s="57" t="s">
        <v>831</v>
      </c>
      <c r="C63" s="224"/>
      <c r="D63" s="733"/>
      <c r="E63" s="68" t="s">
        <v>2113</v>
      </c>
      <c r="F63" s="69" t="s">
        <v>1</v>
      </c>
      <c r="G63" s="70">
        <v>0.17</v>
      </c>
      <c r="H63" s="69">
        <v>40</v>
      </c>
      <c r="I63" s="71">
        <f>G63*H63</f>
        <v>6.8000000000000007</v>
      </c>
      <c r="J63" s="59"/>
      <c r="K63" s="61"/>
      <c r="L63" s="61"/>
      <c r="M63" s="61"/>
      <c r="N63" s="61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1"/>
      <c r="AB63" s="1"/>
      <c r="AC63" s="1"/>
      <c r="AD63" s="56"/>
      <c r="AF63" s="151"/>
      <c r="AJ63" s="136"/>
      <c r="AX63" s="3"/>
      <c r="AY63" s="3"/>
      <c r="AZ63" s="3"/>
      <c r="BA63" s="3"/>
    </row>
    <row r="64" spans="1:53" x14ac:dyDescent="0.25">
      <c r="A64" s="1013"/>
      <c r="B64" s="74" t="s">
        <v>1178</v>
      </c>
      <c r="C64" s="225">
        <v>2.5</v>
      </c>
      <c r="D64" s="733"/>
      <c r="E64" s="68"/>
      <c r="F64" s="69"/>
      <c r="G64" s="70"/>
      <c r="H64" s="69"/>
      <c r="I64" s="71"/>
      <c r="J64" s="59"/>
      <c r="K64" s="61"/>
      <c r="L64" s="61"/>
      <c r="M64" s="61"/>
      <c r="N64" s="61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1"/>
      <c r="AB64" s="1"/>
      <c r="AC64" s="1"/>
      <c r="AD64" s="56"/>
      <c r="AF64" s="151"/>
      <c r="AJ64" s="146"/>
      <c r="AX64" s="3"/>
      <c r="AY64" s="3"/>
      <c r="AZ64" s="3"/>
      <c r="BA64" s="3"/>
    </row>
    <row r="65" spans="1:53" x14ac:dyDescent="0.25">
      <c r="A65" s="1013"/>
      <c r="B65" s="57" t="s">
        <v>1179</v>
      </c>
      <c r="C65" s="225">
        <v>2.5</v>
      </c>
      <c r="D65" s="733"/>
      <c r="E65" s="68"/>
      <c r="F65" s="69"/>
      <c r="G65" s="70"/>
      <c r="H65" s="69"/>
      <c r="I65" s="71"/>
      <c r="J65" s="59"/>
      <c r="K65" s="61"/>
      <c r="L65" s="61"/>
      <c r="M65" s="61"/>
      <c r="N65" s="61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1"/>
      <c r="AB65" s="1"/>
      <c r="AC65" s="1"/>
      <c r="AD65" s="56"/>
      <c r="AF65" s="151"/>
      <c r="AJ65" s="146"/>
      <c r="AX65" s="3"/>
      <c r="AY65" s="3"/>
      <c r="AZ65" s="3"/>
      <c r="BA65" s="3"/>
    </row>
    <row r="66" spans="1:53" x14ac:dyDescent="0.25">
      <c r="A66" s="1013"/>
      <c r="B66" s="79" t="s">
        <v>1181</v>
      </c>
      <c r="C66" s="222">
        <f>C61*C64+C62*C65</f>
        <v>132.90867321322253</v>
      </c>
      <c r="D66" s="733"/>
      <c r="E66" s="228"/>
      <c r="F66" s="166"/>
      <c r="G66" s="70"/>
      <c r="H66" s="69"/>
      <c r="I66" s="71"/>
      <c r="J66" s="59"/>
      <c r="K66" s="170"/>
      <c r="L66" s="76"/>
      <c r="M66" s="72"/>
      <c r="N66" s="61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1"/>
      <c r="AB66" s="1"/>
      <c r="AC66" s="1"/>
      <c r="AD66" s="56"/>
      <c r="AF66" s="151"/>
      <c r="AJ66" s="136"/>
      <c r="AX66" s="3"/>
      <c r="AY66" s="3"/>
      <c r="AZ66" s="3"/>
      <c r="BA66" s="3"/>
    </row>
    <row r="67" spans="1:53" x14ac:dyDescent="0.25">
      <c r="A67" s="1014"/>
      <c r="B67" s="123"/>
      <c r="C67" s="225"/>
      <c r="D67" s="734"/>
      <c r="E67" s="228"/>
      <c r="F67" s="166"/>
      <c r="G67" s="70"/>
      <c r="H67" s="69"/>
      <c r="I67" s="71"/>
      <c r="J67" s="59"/>
      <c r="K67" s="170"/>
      <c r="L67" s="61"/>
      <c r="M67" s="72"/>
      <c r="N67" s="61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1"/>
      <c r="AB67" s="1"/>
      <c r="AC67" s="1"/>
      <c r="AD67" s="56"/>
      <c r="AF67" s="151"/>
      <c r="AJ67" s="146"/>
      <c r="AX67" s="3"/>
      <c r="AY67" s="3"/>
      <c r="AZ67" s="3"/>
      <c r="BA67" s="3"/>
    </row>
    <row r="68" spans="1:53" ht="56.25" customHeight="1" x14ac:dyDescent="0.25">
      <c r="A68" s="1012" t="s">
        <v>2125</v>
      </c>
      <c r="B68" s="258" t="s">
        <v>2126</v>
      </c>
      <c r="C68" s="222"/>
      <c r="D68" s="732"/>
      <c r="E68" s="226" t="s">
        <v>488</v>
      </c>
      <c r="F68" s="53" t="s">
        <v>837</v>
      </c>
      <c r="G68" s="735" t="s">
        <v>489</v>
      </c>
      <c r="H68" s="52" t="s">
        <v>1170</v>
      </c>
      <c r="I68" s="53" t="s">
        <v>838</v>
      </c>
      <c r="J68" s="47" t="s">
        <v>1171</v>
      </c>
      <c r="K68" s="47" t="s">
        <v>490</v>
      </c>
      <c r="L68" s="54" t="s">
        <v>489</v>
      </c>
      <c r="M68" s="47" t="s">
        <v>1172</v>
      </c>
      <c r="N68" s="53" t="s">
        <v>838</v>
      </c>
      <c r="O68" s="47" t="s">
        <v>1171</v>
      </c>
      <c r="P68" s="47" t="s">
        <v>826</v>
      </c>
      <c r="Q68" s="47" t="s">
        <v>1173</v>
      </c>
      <c r="R68" s="47" t="s">
        <v>1174</v>
      </c>
      <c r="S68" s="47" t="s">
        <v>839</v>
      </c>
      <c r="T68" s="47" t="s">
        <v>1171</v>
      </c>
      <c r="U68" s="47" t="s">
        <v>1392</v>
      </c>
      <c r="V68" s="47" t="s">
        <v>841</v>
      </c>
      <c r="W68" s="231" t="s">
        <v>1173</v>
      </c>
      <c r="X68" s="47" t="s">
        <v>1394</v>
      </c>
      <c r="Y68" s="47" t="s">
        <v>839</v>
      </c>
      <c r="Z68" s="55"/>
      <c r="AA68" s="1"/>
      <c r="AB68" s="1"/>
      <c r="AC68" s="245"/>
      <c r="AD68" s="56"/>
      <c r="AQ68" s="139"/>
      <c r="AR68" s="139"/>
      <c r="AS68" s="139"/>
      <c r="AX68" s="3"/>
      <c r="AY68" s="3"/>
      <c r="AZ68" s="3"/>
      <c r="BA68" s="3"/>
    </row>
    <row r="69" spans="1:53" ht="12.75" customHeight="1" x14ac:dyDescent="0.25">
      <c r="A69" s="1013"/>
      <c r="B69" s="36" t="s">
        <v>1175</v>
      </c>
      <c r="C69" s="222">
        <f>C76</f>
        <v>132.90867321322253</v>
      </c>
      <c r="D69" s="732">
        <f>C69*$D$5</f>
        <v>26.847551989070951</v>
      </c>
      <c r="E69" s="227" t="s">
        <v>1176</v>
      </c>
      <c r="F69" s="165"/>
      <c r="G69" s="58"/>
      <c r="H69" s="58"/>
      <c r="I69" s="2">
        <f>SUM(I70:I77)</f>
        <v>26.72</v>
      </c>
      <c r="J69" s="59" t="s">
        <v>1176</v>
      </c>
      <c r="K69" s="169"/>
      <c r="L69" s="60"/>
      <c r="M69" s="60"/>
      <c r="N69" s="399">
        <f>SUM(N70:N77)</f>
        <v>0.22307280480975736</v>
      </c>
      <c r="O69" s="60" t="s">
        <v>1176</v>
      </c>
      <c r="P69" s="60"/>
      <c r="Q69" s="62"/>
      <c r="R69" s="63"/>
      <c r="S69" s="399">
        <f>SUM(S70:S77)</f>
        <v>1.670192242604752</v>
      </c>
      <c r="T69" s="61"/>
      <c r="U69" s="61"/>
      <c r="V69" s="61"/>
      <c r="W69" s="61"/>
      <c r="X69" s="61"/>
      <c r="Y69" s="399">
        <f>SUM(Y70:Y77)</f>
        <v>23.661475572758654</v>
      </c>
      <c r="Z69" s="64">
        <f>(C69+D69+I69+N69+S69+Y69)*$Z$5</f>
        <v>275.68005225376186</v>
      </c>
      <c r="AA69" s="65">
        <f>C69+D69+I69+N69+S69+Y69+Z69</f>
        <v>487.71101807622847</v>
      </c>
      <c r="AB69" s="66">
        <v>0.25</v>
      </c>
      <c r="AC69" s="244">
        <f>AA69*(1+AB69)</f>
        <v>609.63877259528556</v>
      </c>
      <c r="AD69" s="67"/>
      <c r="AI69" s="139"/>
      <c r="AJ69" s="140"/>
      <c r="AK69" s="141"/>
      <c r="AM69" s="142"/>
      <c r="AN69" s="143"/>
      <c r="AO69" s="142"/>
      <c r="AP69" s="139"/>
      <c r="AQ69" s="139"/>
      <c r="AR69" s="139"/>
      <c r="AS69" s="139"/>
      <c r="AT69" s="139"/>
      <c r="AU69" s="142"/>
      <c r="AV69" s="142"/>
      <c r="AW69" s="144"/>
      <c r="AX69" s="3"/>
      <c r="AY69" s="3"/>
      <c r="AZ69" s="3"/>
      <c r="BA69" s="3"/>
    </row>
    <row r="70" spans="1:53" x14ac:dyDescent="0.25">
      <c r="A70" s="1013"/>
      <c r="B70" s="50" t="s">
        <v>830</v>
      </c>
      <c r="C70" s="222"/>
      <c r="D70" s="733"/>
      <c r="E70" s="68" t="s">
        <v>1437</v>
      </c>
      <c r="F70" s="69" t="s">
        <v>1438</v>
      </c>
      <c r="G70" s="70">
        <v>0.3</v>
      </c>
      <c r="H70" s="69">
        <v>10</v>
      </c>
      <c r="I70" s="71">
        <f>G70*H70</f>
        <v>3</v>
      </c>
      <c r="J70" s="59" t="s">
        <v>1291</v>
      </c>
      <c r="K70" s="72">
        <v>2</v>
      </c>
      <c r="L70" s="73">
        <v>750</v>
      </c>
      <c r="M70" s="72">
        <v>2</v>
      </c>
      <c r="N70" s="399">
        <f>L70/'Исп. коэффициенты'!E34*C74</f>
        <v>0.19230414207737703</v>
      </c>
      <c r="O70" s="60" t="s">
        <v>2114</v>
      </c>
      <c r="P70" s="60">
        <v>2994195.8</v>
      </c>
      <c r="Q70" s="60">
        <v>19.670000000000002</v>
      </c>
      <c r="R70" s="60">
        <v>6513.87</v>
      </c>
      <c r="S70" s="739">
        <f>R70/'Исп. коэффициенты'!E34*+('КМУ УЗИ'!C74)</f>
        <v>1.670192242604752</v>
      </c>
      <c r="T70" s="239" t="s">
        <v>1435</v>
      </c>
      <c r="U70" s="240">
        <v>6785401.3499999996</v>
      </c>
      <c r="V70" s="740">
        <f>'Исп. коэффициенты'!E124</f>
        <v>2978.5</v>
      </c>
      <c r="W70" s="241">
        <f>'Исп. коэффициенты'!D124</f>
        <v>1.3599999999999999E-2</v>
      </c>
      <c r="X70" s="61">
        <f>U70*W70</f>
        <v>92281.45835999999</v>
      </c>
      <c r="Y70" s="739">
        <f>X70/'Исп. коэффициенты'!E34*'КМУ УЗИ'!C74</f>
        <v>23.661475572758654</v>
      </c>
      <c r="Z70" s="60"/>
      <c r="AA70" s="1"/>
      <c r="AB70" s="1"/>
      <c r="AC70" s="1"/>
      <c r="AD70" s="56"/>
      <c r="AF70" s="151"/>
      <c r="AJ70" s="136"/>
      <c r="AX70" s="3"/>
      <c r="AY70" s="3"/>
      <c r="AZ70" s="3"/>
      <c r="BA70" s="3"/>
    </row>
    <row r="71" spans="1:53" x14ac:dyDescent="0.25">
      <c r="A71" s="1013"/>
      <c r="B71" s="74" t="s">
        <v>1178</v>
      </c>
      <c r="C71" s="223">
        <f>C51</f>
        <v>33.667709452234185</v>
      </c>
      <c r="D71" s="733"/>
      <c r="E71" s="68" t="s">
        <v>2112</v>
      </c>
      <c r="F71" s="69" t="s">
        <v>1</v>
      </c>
      <c r="G71" s="70">
        <v>0.47</v>
      </c>
      <c r="H71" s="69">
        <v>10</v>
      </c>
      <c r="I71" s="242">
        <f>G71*H71</f>
        <v>4.6999999999999993</v>
      </c>
      <c r="J71" s="59" t="s">
        <v>1445</v>
      </c>
      <c r="K71" s="61">
        <v>2</v>
      </c>
      <c r="L71" s="76">
        <v>95</v>
      </c>
      <c r="M71" s="72">
        <v>2</v>
      </c>
      <c r="N71" s="399">
        <f>L71/'Исп. коэффициенты'!E34*C74</f>
        <v>2.4358524663134422E-2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1"/>
      <c r="AB71" s="1"/>
      <c r="AC71" s="1"/>
      <c r="AD71" s="56"/>
      <c r="AF71" s="151"/>
      <c r="AJ71" s="136"/>
      <c r="AM71" s="145"/>
      <c r="AX71" s="3"/>
      <c r="AY71" s="3"/>
      <c r="AZ71" s="3"/>
      <c r="BA71" s="3"/>
    </row>
    <row r="72" spans="1:53" x14ac:dyDescent="0.25">
      <c r="A72" s="1013"/>
      <c r="B72" s="57" t="s">
        <v>1179</v>
      </c>
      <c r="C72" s="222">
        <f>C52</f>
        <v>19.495759833054819</v>
      </c>
      <c r="D72" s="733"/>
      <c r="E72" s="68" t="s">
        <v>1598</v>
      </c>
      <c r="F72" s="69" t="s">
        <v>1441</v>
      </c>
      <c r="G72" s="70">
        <v>5.36</v>
      </c>
      <c r="H72" s="70">
        <v>1</v>
      </c>
      <c r="I72" s="71">
        <f>G72*H72</f>
        <v>5.36</v>
      </c>
      <c r="J72" s="59" t="s">
        <v>1513</v>
      </c>
      <c r="K72" s="61">
        <v>2</v>
      </c>
      <c r="L72" s="61">
        <v>25</v>
      </c>
      <c r="M72" s="72">
        <v>0.5</v>
      </c>
      <c r="N72" s="399">
        <f>L72/'Исп. коэффициенты'!E34*C74</f>
        <v>6.4101380692459017E-3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1"/>
      <c r="AB72" s="1"/>
      <c r="AC72" s="1"/>
      <c r="AD72" s="56"/>
      <c r="AF72" s="151"/>
      <c r="AJ72" s="136"/>
      <c r="AX72" s="3"/>
      <c r="AY72" s="3"/>
      <c r="AZ72" s="3"/>
      <c r="BA72" s="3"/>
    </row>
    <row r="73" spans="1:53" x14ac:dyDescent="0.25">
      <c r="A73" s="1013"/>
      <c r="B73" s="57" t="s">
        <v>831</v>
      </c>
      <c r="C73" s="224"/>
      <c r="D73" s="733"/>
      <c r="E73" s="68" t="s">
        <v>2113</v>
      </c>
      <c r="F73" s="69" t="s">
        <v>1</v>
      </c>
      <c r="G73" s="70">
        <v>0.17</v>
      </c>
      <c r="H73" s="69">
        <v>40</v>
      </c>
      <c r="I73" s="71">
        <f>G73*H73</f>
        <v>6.8000000000000007</v>
      </c>
      <c r="J73" s="59"/>
      <c r="K73" s="61"/>
      <c r="L73" s="61"/>
      <c r="M73" s="61"/>
      <c r="N73" s="61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1"/>
      <c r="AB73" s="1"/>
      <c r="AC73" s="1"/>
      <c r="AD73" s="56"/>
      <c r="AF73" s="151"/>
      <c r="AJ73" s="136"/>
      <c r="AX73" s="3"/>
      <c r="AY73" s="3"/>
      <c r="AZ73" s="3"/>
      <c r="BA73" s="3"/>
    </row>
    <row r="74" spans="1:53" x14ac:dyDescent="0.25">
      <c r="A74" s="1013"/>
      <c r="B74" s="74" t="s">
        <v>1178</v>
      </c>
      <c r="C74" s="225">
        <v>2.5</v>
      </c>
      <c r="D74" s="733"/>
      <c r="E74" s="68" t="s">
        <v>2122</v>
      </c>
      <c r="F74" s="69" t="s">
        <v>1441</v>
      </c>
      <c r="G74" s="70">
        <v>6.86</v>
      </c>
      <c r="H74" s="69">
        <v>1</v>
      </c>
      <c r="I74" s="71">
        <f>G74*H74</f>
        <v>6.86</v>
      </c>
      <c r="J74" s="59"/>
      <c r="K74" s="61"/>
      <c r="L74" s="61"/>
      <c r="M74" s="61"/>
      <c r="N74" s="61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1"/>
      <c r="AB74" s="1"/>
      <c r="AC74" s="1"/>
      <c r="AD74" s="56"/>
      <c r="AF74" s="151"/>
      <c r="AJ74" s="146"/>
      <c r="AX74" s="3"/>
      <c r="AY74" s="3"/>
      <c r="AZ74" s="3"/>
      <c r="BA74" s="3"/>
    </row>
    <row r="75" spans="1:53" x14ac:dyDescent="0.25">
      <c r="A75" s="1013"/>
      <c r="B75" s="57" t="s">
        <v>1179</v>
      </c>
      <c r="C75" s="225">
        <v>2.5</v>
      </c>
      <c r="D75" s="733"/>
      <c r="E75" s="68"/>
      <c r="F75" s="69"/>
      <c r="G75" s="70"/>
      <c r="H75" s="69"/>
      <c r="I75" s="71"/>
      <c r="J75" s="59"/>
      <c r="K75" s="61"/>
      <c r="L75" s="61"/>
      <c r="M75" s="61"/>
      <c r="N75" s="61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1"/>
      <c r="AB75" s="1"/>
      <c r="AC75" s="1"/>
      <c r="AD75" s="56"/>
      <c r="AF75" s="151"/>
      <c r="AJ75" s="146"/>
      <c r="AX75" s="3"/>
      <c r="AY75" s="3"/>
      <c r="AZ75" s="3"/>
      <c r="BA75" s="3"/>
    </row>
    <row r="76" spans="1:53" x14ac:dyDescent="0.25">
      <c r="A76" s="1013"/>
      <c r="B76" s="79" t="s">
        <v>1181</v>
      </c>
      <c r="C76" s="222">
        <f>C71*C74+C72*C75</f>
        <v>132.90867321322253</v>
      </c>
      <c r="D76" s="733"/>
      <c r="E76" s="228"/>
      <c r="F76" s="166"/>
      <c r="G76" s="70"/>
      <c r="H76" s="69"/>
      <c r="I76" s="71"/>
      <c r="J76" s="59"/>
      <c r="K76" s="170"/>
      <c r="L76" s="76"/>
      <c r="M76" s="72"/>
      <c r="N76" s="61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1"/>
      <c r="AB76" s="1"/>
      <c r="AC76" s="1"/>
      <c r="AD76" s="56"/>
      <c r="AF76" s="151"/>
      <c r="AJ76" s="136"/>
      <c r="AX76" s="3"/>
      <c r="AY76" s="3"/>
      <c r="AZ76" s="3"/>
      <c r="BA76" s="3"/>
    </row>
    <row r="77" spans="1:53" x14ac:dyDescent="0.25">
      <c r="A77" s="1014"/>
      <c r="B77" s="123"/>
      <c r="C77" s="225"/>
      <c r="D77" s="734"/>
      <c r="E77" s="228"/>
      <c r="F77" s="166"/>
      <c r="G77" s="70"/>
      <c r="H77" s="69"/>
      <c r="I77" s="71"/>
      <c r="J77" s="59"/>
      <c r="K77" s="170"/>
      <c r="L77" s="61"/>
      <c r="M77" s="72"/>
      <c r="N77" s="61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1"/>
      <c r="AB77" s="1"/>
      <c r="AC77" s="1"/>
      <c r="AD77" s="56"/>
      <c r="AF77" s="151"/>
      <c r="AJ77" s="146"/>
      <c r="AX77" s="3"/>
      <c r="AY77" s="3"/>
      <c r="AZ77" s="3"/>
      <c r="BA77" s="3"/>
    </row>
    <row r="78" spans="1:53" ht="56.25" customHeight="1" x14ac:dyDescent="0.25">
      <c r="A78" s="1012" t="s">
        <v>2127</v>
      </c>
      <c r="B78" s="258" t="s">
        <v>2128</v>
      </c>
      <c r="C78" s="222"/>
      <c r="D78" s="732"/>
      <c r="E78" s="226" t="s">
        <v>488</v>
      </c>
      <c r="F78" s="53" t="s">
        <v>837</v>
      </c>
      <c r="G78" s="735" t="s">
        <v>489</v>
      </c>
      <c r="H78" s="52" t="s">
        <v>1170</v>
      </c>
      <c r="I78" s="53" t="s">
        <v>838</v>
      </c>
      <c r="J78" s="47" t="s">
        <v>1171</v>
      </c>
      <c r="K78" s="47" t="s">
        <v>490</v>
      </c>
      <c r="L78" s="54" t="s">
        <v>489</v>
      </c>
      <c r="M78" s="47" t="s">
        <v>1172</v>
      </c>
      <c r="N78" s="53" t="s">
        <v>838</v>
      </c>
      <c r="O78" s="47" t="s">
        <v>1171</v>
      </c>
      <c r="P78" s="47" t="s">
        <v>826</v>
      </c>
      <c r="Q78" s="47" t="s">
        <v>1173</v>
      </c>
      <c r="R78" s="47" t="s">
        <v>1174</v>
      </c>
      <c r="S78" s="47" t="s">
        <v>839</v>
      </c>
      <c r="T78" s="47" t="s">
        <v>1171</v>
      </c>
      <c r="U78" s="47" t="s">
        <v>1392</v>
      </c>
      <c r="V78" s="47" t="s">
        <v>841</v>
      </c>
      <c r="W78" s="231" t="s">
        <v>1173</v>
      </c>
      <c r="X78" s="47" t="s">
        <v>1394</v>
      </c>
      <c r="Y78" s="47" t="s">
        <v>839</v>
      </c>
      <c r="Z78" s="55"/>
      <c r="AA78" s="1"/>
      <c r="AB78" s="1"/>
      <c r="AC78" s="245"/>
      <c r="AD78" s="56"/>
      <c r="AQ78" s="139"/>
      <c r="AR78" s="139"/>
      <c r="AS78" s="139"/>
      <c r="AX78" s="3"/>
      <c r="AY78" s="3"/>
      <c r="AZ78" s="3"/>
      <c r="BA78" s="3"/>
    </row>
    <row r="79" spans="1:53" ht="12.75" customHeight="1" x14ac:dyDescent="0.25">
      <c r="A79" s="1013"/>
      <c r="B79" s="36" t="s">
        <v>1175</v>
      </c>
      <c r="C79" s="222">
        <f>C86</f>
        <v>106.32693857057801</v>
      </c>
      <c r="D79" s="732">
        <f>C79*$D$5</f>
        <v>21.478041591256758</v>
      </c>
      <c r="E79" s="227" t="s">
        <v>1176</v>
      </c>
      <c r="F79" s="165"/>
      <c r="G79" s="58"/>
      <c r="H79" s="58"/>
      <c r="I79" s="2">
        <f>SUM(I80:I87)</f>
        <v>19.86</v>
      </c>
      <c r="J79" s="59" t="s">
        <v>1176</v>
      </c>
      <c r="K79" s="169"/>
      <c r="L79" s="60"/>
      <c r="M79" s="60"/>
      <c r="N79" s="399">
        <f>SUM(N80:N87)</f>
        <v>0.17845824384780587</v>
      </c>
      <c r="O79" s="60" t="s">
        <v>1176</v>
      </c>
      <c r="P79" s="60"/>
      <c r="Q79" s="62"/>
      <c r="R79" s="63"/>
      <c r="S79" s="399">
        <f>SUM(S80:S87)</f>
        <v>1.3361537940838015</v>
      </c>
      <c r="T79" s="61"/>
      <c r="U79" s="61"/>
      <c r="V79" s="61"/>
      <c r="W79" s="61"/>
      <c r="X79" s="61"/>
      <c r="Y79" s="399">
        <f>SUM(Y80:Y87)</f>
        <v>18.929180458206922</v>
      </c>
      <c r="Z79" s="64">
        <f>(C79+D79+I79+N79+S79+Y79)*$Z$5</f>
        <v>218.57295726073258</v>
      </c>
      <c r="AA79" s="65">
        <f>C79+D79+I79+N79+S79+Y79+Z79</f>
        <v>386.68172991870586</v>
      </c>
      <c r="AB79" s="66">
        <v>0.25</v>
      </c>
      <c r="AC79" s="244">
        <f>AA79*(1+AB79)</f>
        <v>483.35216239838235</v>
      </c>
      <c r="AD79" s="67"/>
      <c r="AI79" s="139"/>
      <c r="AJ79" s="140"/>
      <c r="AK79" s="141"/>
      <c r="AM79" s="142"/>
      <c r="AN79" s="143"/>
      <c r="AO79" s="142"/>
      <c r="AP79" s="139"/>
      <c r="AQ79" s="139"/>
      <c r="AR79" s="139"/>
      <c r="AS79" s="139"/>
      <c r="AT79" s="139"/>
      <c r="AU79" s="142"/>
      <c r="AV79" s="142"/>
      <c r="AW79" s="144"/>
      <c r="AX79" s="3"/>
      <c r="AY79" s="3"/>
      <c r="AZ79" s="3"/>
      <c r="BA79" s="3"/>
    </row>
    <row r="80" spans="1:53" x14ac:dyDescent="0.25">
      <c r="A80" s="1013"/>
      <c r="B80" s="50" t="s">
        <v>830</v>
      </c>
      <c r="C80" s="222"/>
      <c r="D80" s="733"/>
      <c r="E80" s="68" t="s">
        <v>1437</v>
      </c>
      <c r="F80" s="69" t="s">
        <v>1438</v>
      </c>
      <c r="G80" s="70">
        <v>0.3</v>
      </c>
      <c r="H80" s="69">
        <v>10</v>
      </c>
      <c r="I80" s="71">
        <f>G80*H80</f>
        <v>3</v>
      </c>
      <c r="J80" s="59" t="s">
        <v>1291</v>
      </c>
      <c r="K80" s="72">
        <v>2</v>
      </c>
      <c r="L80" s="73">
        <v>750</v>
      </c>
      <c r="M80" s="72">
        <v>2</v>
      </c>
      <c r="N80" s="399">
        <f>L80/'Исп. коэффициенты'!E34*C84</f>
        <v>0.15384331366190163</v>
      </c>
      <c r="O80" s="60" t="s">
        <v>2114</v>
      </c>
      <c r="P80" s="60">
        <v>2994195.8</v>
      </c>
      <c r="Q80" s="60">
        <v>19.670000000000002</v>
      </c>
      <c r="R80" s="60">
        <v>6513.87</v>
      </c>
      <c r="S80" s="739">
        <f>R80/'Исп. коэффициенты'!E34*+('КМУ УЗИ'!C84)</f>
        <v>1.3361537940838015</v>
      </c>
      <c r="T80" s="239" t="s">
        <v>1435</v>
      </c>
      <c r="U80" s="240">
        <v>6785401.3499999996</v>
      </c>
      <c r="V80" s="740">
        <f>'Исп. коэффициенты'!E124</f>
        <v>2978.5</v>
      </c>
      <c r="W80" s="241">
        <f>'Исп. коэффициенты'!D124</f>
        <v>1.3599999999999999E-2</v>
      </c>
      <c r="X80" s="61">
        <f>U80*W80</f>
        <v>92281.45835999999</v>
      </c>
      <c r="Y80" s="739">
        <f>X80/'Исп. коэффициенты'!E34*'КМУ УЗИ'!C84</f>
        <v>18.929180458206922</v>
      </c>
      <c r="Z80" s="60"/>
      <c r="AA80" s="1"/>
      <c r="AB80" s="1"/>
      <c r="AC80" s="1"/>
      <c r="AD80" s="56"/>
      <c r="AF80" s="151"/>
      <c r="AJ80" s="136"/>
      <c r="AX80" s="3"/>
      <c r="AY80" s="3"/>
      <c r="AZ80" s="3"/>
      <c r="BA80" s="3"/>
    </row>
    <row r="81" spans="1:53" x14ac:dyDescent="0.25">
      <c r="A81" s="1013"/>
      <c r="B81" s="74" t="s">
        <v>1178</v>
      </c>
      <c r="C81" s="223">
        <f>C61</f>
        <v>33.667709452234185</v>
      </c>
      <c r="D81" s="733"/>
      <c r="E81" s="68" t="s">
        <v>2112</v>
      </c>
      <c r="F81" s="69" t="s">
        <v>1</v>
      </c>
      <c r="G81" s="70">
        <v>0.47</v>
      </c>
      <c r="H81" s="69">
        <v>10</v>
      </c>
      <c r="I81" s="242">
        <f>G81*H81</f>
        <v>4.6999999999999993</v>
      </c>
      <c r="J81" s="59" t="s">
        <v>1445</v>
      </c>
      <c r="K81" s="61">
        <v>2</v>
      </c>
      <c r="L81" s="76">
        <v>95</v>
      </c>
      <c r="M81" s="72">
        <v>2</v>
      </c>
      <c r="N81" s="399">
        <f>L81/'Исп. коэффициенты'!E34*C84</f>
        <v>1.9486819730507539E-2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1"/>
      <c r="AB81" s="1"/>
      <c r="AC81" s="1"/>
      <c r="AD81" s="56"/>
      <c r="AF81" s="151"/>
      <c r="AJ81" s="136"/>
      <c r="AM81" s="145"/>
      <c r="AX81" s="3"/>
      <c r="AY81" s="3"/>
      <c r="AZ81" s="3"/>
      <c r="BA81" s="3"/>
    </row>
    <row r="82" spans="1:53" x14ac:dyDescent="0.25">
      <c r="A82" s="1013"/>
      <c r="B82" s="57" t="s">
        <v>1179</v>
      </c>
      <c r="C82" s="222">
        <f>C62</f>
        <v>19.495759833054819</v>
      </c>
      <c r="D82" s="733"/>
      <c r="E82" s="68" t="s">
        <v>1598</v>
      </c>
      <c r="F82" s="69" t="s">
        <v>1441</v>
      </c>
      <c r="G82" s="70">
        <v>5.36</v>
      </c>
      <c r="H82" s="70">
        <v>1</v>
      </c>
      <c r="I82" s="71">
        <f>G82*H82</f>
        <v>5.36</v>
      </c>
      <c r="J82" s="59" t="s">
        <v>1513</v>
      </c>
      <c r="K82" s="61">
        <v>2</v>
      </c>
      <c r="L82" s="61">
        <v>25</v>
      </c>
      <c r="M82" s="72">
        <v>0.5</v>
      </c>
      <c r="N82" s="399">
        <f>L82/'Исп. коэффициенты'!E34*C84</f>
        <v>5.1281104553967212E-3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1"/>
      <c r="AB82" s="1"/>
      <c r="AC82" s="1"/>
      <c r="AD82" s="56"/>
      <c r="AF82" s="151"/>
      <c r="AJ82" s="136"/>
      <c r="AX82" s="3"/>
      <c r="AY82" s="3"/>
      <c r="AZ82" s="3"/>
      <c r="BA82" s="3"/>
    </row>
    <row r="83" spans="1:53" x14ac:dyDescent="0.25">
      <c r="A83" s="1013"/>
      <c r="B83" s="57" t="s">
        <v>831</v>
      </c>
      <c r="C83" s="224"/>
      <c r="D83" s="733"/>
      <c r="E83" s="68" t="s">
        <v>2113</v>
      </c>
      <c r="F83" s="69" t="s">
        <v>1</v>
      </c>
      <c r="G83" s="70">
        <v>0.17</v>
      </c>
      <c r="H83" s="69">
        <v>40</v>
      </c>
      <c r="I83" s="71">
        <f>G83*H83</f>
        <v>6.8000000000000007</v>
      </c>
      <c r="J83" s="59"/>
      <c r="K83" s="61"/>
      <c r="L83" s="61"/>
      <c r="M83" s="61"/>
      <c r="N83" s="61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1"/>
      <c r="AB83" s="1"/>
      <c r="AC83" s="1"/>
      <c r="AD83" s="56"/>
      <c r="AF83" s="151"/>
      <c r="AJ83" s="136"/>
      <c r="AX83" s="3"/>
      <c r="AY83" s="3"/>
      <c r="AZ83" s="3"/>
      <c r="BA83" s="3"/>
    </row>
    <row r="84" spans="1:53" x14ac:dyDescent="0.25">
      <c r="A84" s="1013"/>
      <c r="B84" s="74" t="s">
        <v>1178</v>
      </c>
      <c r="C84" s="225">
        <v>2</v>
      </c>
      <c r="D84" s="733"/>
      <c r="E84" s="68"/>
      <c r="F84" s="69"/>
      <c r="G84" s="70"/>
      <c r="H84" s="69"/>
      <c r="I84" s="71"/>
      <c r="J84" s="59"/>
      <c r="K84" s="61"/>
      <c r="L84" s="61"/>
      <c r="M84" s="61"/>
      <c r="N84" s="61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1"/>
      <c r="AB84" s="1"/>
      <c r="AC84" s="1"/>
      <c r="AD84" s="56"/>
      <c r="AF84" s="151"/>
      <c r="AJ84" s="146"/>
      <c r="AX84" s="3"/>
      <c r="AY84" s="3"/>
      <c r="AZ84" s="3"/>
      <c r="BA84" s="3"/>
    </row>
    <row r="85" spans="1:53" x14ac:dyDescent="0.25">
      <c r="A85" s="1013"/>
      <c r="B85" s="57" t="s">
        <v>1179</v>
      </c>
      <c r="C85" s="225">
        <v>2</v>
      </c>
      <c r="D85" s="733"/>
      <c r="E85" s="68"/>
      <c r="F85" s="69"/>
      <c r="G85" s="70"/>
      <c r="H85" s="69"/>
      <c r="I85" s="71"/>
      <c r="J85" s="59"/>
      <c r="K85" s="61"/>
      <c r="L85" s="61"/>
      <c r="M85" s="61"/>
      <c r="N85" s="61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1"/>
      <c r="AB85" s="1"/>
      <c r="AC85" s="1"/>
      <c r="AD85" s="56"/>
      <c r="AF85" s="151"/>
      <c r="AJ85" s="146"/>
      <c r="AX85" s="3"/>
      <c r="AY85" s="3"/>
      <c r="AZ85" s="3"/>
      <c r="BA85" s="3"/>
    </row>
    <row r="86" spans="1:53" x14ac:dyDescent="0.25">
      <c r="A86" s="1013"/>
      <c r="B86" s="79" t="s">
        <v>1181</v>
      </c>
      <c r="C86" s="222">
        <f>C81*C84+C82*C85</f>
        <v>106.32693857057801</v>
      </c>
      <c r="D86" s="733"/>
      <c r="E86" s="228"/>
      <c r="F86" s="166"/>
      <c r="G86" s="70"/>
      <c r="H86" s="69"/>
      <c r="I86" s="71"/>
      <c r="J86" s="59"/>
      <c r="K86" s="170"/>
      <c r="L86" s="76"/>
      <c r="M86" s="72"/>
      <c r="N86" s="61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1"/>
      <c r="AB86" s="1"/>
      <c r="AC86" s="1"/>
      <c r="AD86" s="56"/>
      <c r="AF86" s="151"/>
      <c r="AJ86" s="136"/>
      <c r="AX86" s="3"/>
      <c r="AY86" s="3"/>
      <c r="AZ86" s="3"/>
      <c r="BA86" s="3"/>
    </row>
    <row r="87" spans="1:53" x14ac:dyDescent="0.25">
      <c r="A87" s="1014"/>
      <c r="B87" s="123"/>
      <c r="C87" s="225"/>
      <c r="D87" s="734"/>
      <c r="E87" s="228"/>
      <c r="F87" s="166"/>
      <c r="G87" s="70"/>
      <c r="H87" s="69"/>
      <c r="I87" s="71"/>
      <c r="J87" s="59"/>
      <c r="K87" s="170"/>
      <c r="L87" s="61"/>
      <c r="M87" s="72"/>
      <c r="N87" s="61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1"/>
      <c r="AB87" s="1"/>
      <c r="AC87" s="1"/>
      <c r="AD87" s="56"/>
      <c r="AF87" s="151"/>
      <c r="AJ87" s="146"/>
      <c r="AX87" s="3"/>
      <c r="AY87" s="3"/>
      <c r="AZ87" s="3"/>
      <c r="BA87" s="3"/>
    </row>
    <row r="88" spans="1:53" ht="56.25" customHeight="1" x14ac:dyDescent="0.25">
      <c r="A88" s="1012" t="s">
        <v>2129</v>
      </c>
      <c r="B88" s="258" t="s">
        <v>2130</v>
      </c>
      <c r="C88" s="222"/>
      <c r="D88" s="732"/>
      <c r="E88" s="226" t="s">
        <v>488</v>
      </c>
      <c r="F88" s="53" t="s">
        <v>837</v>
      </c>
      <c r="G88" s="735" t="s">
        <v>489</v>
      </c>
      <c r="H88" s="52" t="s">
        <v>1170</v>
      </c>
      <c r="I88" s="53" t="s">
        <v>838</v>
      </c>
      <c r="J88" s="47" t="s">
        <v>1171</v>
      </c>
      <c r="K88" s="47" t="s">
        <v>490</v>
      </c>
      <c r="L88" s="54" t="s">
        <v>489</v>
      </c>
      <c r="M88" s="47" t="s">
        <v>1172</v>
      </c>
      <c r="N88" s="53" t="s">
        <v>838</v>
      </c>
      <c r="O88" s="47" t="s">
        <v>1171</v>
      </c>
      <c r="P88" s="47" t="s">
        <v>826</v>
      </c>
      <c r="Q88" s="47" t="s">
        <v>1173</v>
      </c>
      <c r="R88" s="47" t="s">
        <v>1174</v>
      </c>
      <c r="S88" s="47" t="s">
        <v>839</v>
      </c>
      <c r="T88" s="47" t="s">
        <v>1171</v>
      </c>
      <c r="U88" s="47" t="s">
        <v>1392</v>
      </c>
      <c r="V88" s="47" t="s">
        <v>841</v>
      </c>
      <c r="W88" s="231" t="s">
        <v>1173</v>
      </c>
      <c r="X88" s="47" t="s">
        <v>1394</v>
      </c>
      <c r="Y88" s="47" t="s">
        <v>839</v>
      </c>
      <c r="Z88" s="55"/>
      <c r="AA88" s="1"/>
      <c r="AB88" s="1"/>
      <c r="AC88" s="245"/>
      <c r="AD88" s="56"/>
      <c r="AQ88" s="139"/>
      <c r="AR88" s="139"/>
      <c r="AS88" s="139"/>
      <c r="AX88" s="3"/>
      <c r="AY88" s="3"/>
      <c r="AZ88" s="3"/>
      <c r="BA88" s="3"/>
    </row>
    <row r="89" spans="1:53" ht="12.75" customHeight="1" x14ac:dyDescent="0.25">
      <c r="A89" s="1013"/>
      <c r="B89" s="36" t="s">
        <v>1175</v>
      </c>
      <c r="C89" s="222">
        <f>C96</f>
        <v>106.32693857057801</v>
      </c>
      <c r="D89" s="732">
        <f>C89*$D$5</f>
        <v>21.478041591256758</v>
      </c>
      <c r="E89" s="227" t="s">
        <v>1176</v>
      </c>
      <c r="F89" s="165"/>
      <c r="G89" s="58"/>
      <c r="H89" s="58"/>
      <c r="I89" s="2">
        <f>SUM(I90:I97)</f>
        <v>19.86</v>
      </c>
      <c r="J89" s="59" t="s">
        <v>1176</v>
      </c>
      <c r="K89" s="169"/>
      <c r="L89" s="60"/>
      <c r="M89" s="60"/>
      <c r="N89" s="399">
        <f>SUM(N90:N97)</f>
        <v>0.17845824384780587</v>
      </c>
      <c r="O89" s="60" t="s">
        <v>1176</v>
      </c>
      <c r="P89" s="60"/>
      <c r="Q89" s="62"/>
      <c r="R89" s="63"/>
      <c r="S89" s="399">
        <f>SUM(S90:S97)</f>
        <v>1.3361537940838015</v>
      </c>
      <c r="T89" s="61"/>
      <c r="U89" s="61"/>
      <c r="V89" s="61"/>
      <c r="W89" s="61"/>
      <c r="X89" s="61"/>
      <c r="Y89" s="399">
        <f>SUM(Y90:Y97)</f>
        <v>18.929180458206922</v>
      </c>
      <c r="Z89" s="64">
        <f>(C89+D89+I89+N89+S89+Y89)*$Z$5</f>
        <v>218.57295726073258</v>
      </c>
      <c r="AA89" s="65">
        <f>C89+D89+I89+N89+S89+Y89+Z89</f>
        <v>386.68172991870586</v>
      </c>
      <c r="AB89" s="66">
        <v>0.25</v>
      </c>
      <c r="AC89" s="244">
        <f>AA89*(1+AB89)</f>
        <v>483.35216239838235</v>
      </c>
      <c r="AD89" s="67"/>
      <c r="AI89" s="139"/>
      <c r="AJ89" s="140"/>
      <c r="AK89" s="141"/>
      <c r="AM89" s="142"/>
      <c r="AN89" s="143"/>
      <c r="AO89" s="142"/>
      <c r="AP89" s="139"/>
      <c r="AQ89" s="139"/>
      <c r="AR89" s="139"/>
      <c r="AS89" s="139"/>
      <c r="AT89" s="139"/>
      <c r="AU89" s="142"/>
      <c r="AV89" s="142"/>
      <c r="AW89" s="144"/>
      <c r="AX89" s="3"/>
      <c r="AY89" s="3"/>
      <c r="AZ89" s="3"/>
      <c r="BA89" s="3"/>
    </row>
    <row r="90" spans="1:53" x14ac:dyDescent="0.25">
      <c r="A90" s="1013"/>
      <c r="B90" s="50" t="s">
        <v>830</v>
      </c>
      <c r="C90" s="222"/>
      <c r="D90" s="733"/>
      <c r="E90" s="68" t="s">
        <v>1437</v>
      </c>
      <c r="F90" s="69" t="s">
        <v>1438</v>
      </c>
      <c r="G90" s="70">
        <v>0.3</v>
      </c>
      <c r="H90" s="69">
        <v>10</v>
      </c>
      <c r="I90" s="71">
        <f>G90*H90</f>
        <v>3</v>
      </c>
      <c r="J90" s="59" t="s">
        <v>1291</v>
      </c>
      <c r="K90" s="72">
        <v>2</v>
      </c>
      <c r="L90" s="73">
        <v>750</v>
      </c>
      <c r="M90" s="72">
        <v>2</v>
      </c>
      <c r="N90" s="399">
        <f>L90/'Исп. коэффициенты'!E34*C94</f>
        <v>0.15384331366190163</v>
      </c>
      <c r="O90" s="60" t="s">
        <v>2114</v>
      </c>
      <c r="P90" s="60">
        <v>2994195.8</v>
      </c>
      <c r="Q90" s="60">
        <v>19.670000000000002</v>
      </c>
      <c r="R90" s="60">
        <v>6513.87</v>
      </c>
      <c r="S90" s="739">
        <f>R90/'Исп. коэффициенты'!E34*+('КМУ УЗИ'!C94)</f>
        <v>1.3361537940838015</v>
      </c>
      <c r="T90" s="239" t="s">
        <v>1435</v>
      </c>
      <c r="U90" s="240">
        <v>6785401.3499999996</v>
      </c>
      <c r="V90" s="740">
        <f>'Исп. коэффициенты'!E124</f>
        <v>2978.5</v>
      </c>
      <c r="W90" s="241">
        <f>'Исп. коэффициенты'!D124</f>
        <v>1.3599999999999999E-2</v>
      </c>
      <c r="X90" s="61">
        <f>U90*W90</f>
        <v>92281.45835999999</v>
      </c>
      <c r="Y90" s="739">
        <f>X90/'Исп. коэффициенты'!E34*'КМУ УЗИ'!C94</f>
        <v>18.929180458206922</v>
      </c>
      <c r="Z90" s="60"/>
      <c r="AA90" s="1"/>
      <c r="AB90" s="1"/>
      <c r="AC90" s="1"/>
      <c r="AD90" s="56"/>
      <c r="AF90" s="151"/>
      <c r="AJ90" s="136"/>
      <c r="AX90" s="3"/>
      <c r="AY90" s="3"/>
      <c r="AZ90" s="3"/>
      <c r="BA90" s="3"/>
    </row>
    <row r="91" spans="1:53" x14ac:dyDescent="0.25">
      <c r="A91" s="1013"/>
      <c r="B91" s="74" t="s">
        <v>1178</v>
      </c>
      <c r="C91" s="223">
        <f>C71</f>
        <v>33.667709452234185</v>
      </c>
      <c r="D91" s="733"/>
      <c r="E91" s="68" t="s">
        <v>2112</v>
      </c>
      <c r="F91" s="69" t="s">
        <v>1</v>
      </c>
      <c r="G91" s="70">
        <v>0.47</v>
      </c>
      <c r="H91" s="69">
        <v>10</v>
      </c>
      <c r="I91" s="242">
        <f>G91*H91</f>
        <v>4.6999999999999993</v>
      </c>
      <c r="J91" s="59" t="s">
        <v>1445</v>
      </c>
      <c r="K91" s="61">
        <v>2</v>
      </c>
      <c r="L91" s="76">
        <v>95</v>
      </c>
      <c r="M91" s="72">
        <v>2</v>
      </c>
      <c r="N91" s="399">
        <f>L91/'Исп. коэффициенты'!E34*C94</f>
        <v>1.9486819730507539E-2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1"/>
      <c r="AB91" s="1"/>
      <c r="AC91" s="1"/>
      <c r="AD91" s="56"/>
      <c r="AF91" s="151"/>
      <c r="AJ91" s="136"/>
      <c r="AM91" s="145"/>
      <c r="AX91" s="3"/>
      <c r="AY91" s="3"/>
      <c r="AZ91" s="3"/>
      <c r="BA91" s="3"/>
    </row>
    <row r="92" spans="1:53" x14ac:dyDescent="0.25">
      <c r="A92" s="1013"/>
      <c r="B92" s="57" t="s">
        <v>1179</v>
      </c>
      <c r="C92" s="222">
        <f>C72</f>
        <v>19.495759833054819</v>
      </c>
      <c r="D92" s="733"/>
      <c r="E92" s="68" t="s">
        <v>1598</v>
      </c>
      <c r="F92" s="69" t="s">
        <v>1441</v>
      </c>
      <c r="G92" s="70">
        <v>5.36</v>
      </c>
      <c r="H92" s="70">
        <v>1</v>
      </c>
      <c r="I92" s="71">
        <f>G92*H92</f>
        <v>5.36</v>
      </c>
      <c r="J92" s="59" t="s">
        <v>1513</v>
      </c>
      <c r="K92" s="61">
        <v>2</v>
      </c>
      <c r="L92" s="61">
        <v>25</v>
      </c>
      <c r="M92" s="72">
        <v>0.5</v>
      </c>
      <c r="N92" s="399">
        <f>L92/'Исп. коэффициенты'!E34*C94</f>
        <v>5.1281104553967212E-3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1"/>
      <c r="AB92" s="1"/>
      <c r="AC92" s="1"/>
      <c r="AD92" s="56"/>
      <c r="AF92" s="151"/>
      <c r="AJ92" s="136"/>
      <c r="AX92" s="3"/>
      <c r="AY92" s="3"/>
      <c r="AZ92" s="3"/>
      <c r="BA92" s="3"/>
    </row>
    <row r="93" spans="1:53" x14ac:dyDescent="0.25">
      <c r="A93" s="1013"/>
      <c r="B93" s="57" t="s">
        <v>831</v>
      </c>
      <c r="C93" s="224"/>
      <c r="D93" s="733"/>
      <c r="E93" s="68" t="s">
        <v>2113</v>
      </c>
      <c r="F93" s="69" t="s">
        <v>1</v>
      </c>
      <c r="G93" s="70">
        <v>0.17</v>
      </c>
      <c r="H93" s="69">
        <v>40</v>
      </c>
      <c r="I93" s="71">
        <f>G93*H93</f>
        <v>6.8000000000000007</v>
      </c>
      <c r="J93" s="59"/>
      <c r="K93" s="61"/>
      <c r="L93" s="61"/>
      <c r="M93" s="61"/>
      <c r="N93" s="61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1"/>
      <c r="AB93" s="1"/>
      <c r="AC93" s="1"/>
      <c r="AD93" s="56"/>
      <c r="AF93" s="151"/>
      <c r="AJ93" s="136"/>
      <c r="AX93" s="3"/>
      <c r="AY93" s="3"/>
      <c r="AZ93" s="3"/>
      <c r="BA93" s="3"/>
    </row>
    <row r="94" spans="1:53" x14ac:dyDescent="0.25">
      <c r="A94" s="1013"/>
      <c r="B94" s="74" t="s">
        <v>1178</v>
      </c>
      <c r="C94" s="225">
        <v>2</v>
      </c>
      <c r="D94" s="733"/>
      <c r="E94" s="68"/>
      <c r="F94" s="69"/>
      <c r="G94" s="70"/>
      <c r="H94" s="69"/>
      <c r="I94" s="71"/>
      <c r="J94" s="59"/>
      <c r="K94" s="61"/>
      <c r="L94" s="61"/>
      <c r="M94" s="61"/>
      <c r="N94" s="61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1"/>
      <c r="AB94" s="1"/>
      <c r="AC94" s="1"/>
      <c r="AD94" s="56"/>
      <c r="AF94" s="151"/>
      <c r="AJ94" s="146"/>
      <c r="AX94" s="3"/>
      <c r="AY94" s="3"/>
      <c r="AZ94" s="3"/>
      <c r="BA94" s="3"/>
    </row>
    <row r="95" spans="1:53" x14ac:dyDescent="0.25">
      <c r="A95" s="1013"/>
      <c r="B95" s="57" t="s">
        <v>1179</v>
      </c>
      <c r="C95" s="225">
        <v>2</v>
      </c>
      <c r="D95" s="733"/>
      <c r="E95" s="68"/>
      <c r="F95" s="69"/>
      <c r="G95" s="70"/>
      <c r="H95" s="69"/>
      <c r="I95" s="71"/>
      <c r="J95" s="59"/>
      <c r="K95" s="61"/>
      <c r="L95" s="61"/>
      <c r="M95" s="61"/>
      <c r="N95" s="61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1"/>
      <c r="AB95" s="1"/>
      <c r="AC95" s="1"/>
      <c r="AD95" s="56"/>
      <c r="AF95" s="151"/>
      <c r="AJ95" s="146"/>
      <c r="AX95" s="3"/>
      <c r="AY95" s="3"/>
      <c r="AZ95" s="3"/>
      <c r="BA95" s="3"/>
    </row>
    <row r="96" spans="1:53" x14ac:dyDescent="0.25">
      <c r="A96" s="1013"/>
      <c r="B96" s="79" t="s">
        <v>1181</v>
      </c>
      <c r="C96" s="222">
        <f>C91*C94+C92*C95</f>
        <v>106.32693857057801</v>
      </c>
      <c r="D96" s="733"/>
      <c r="E96" s="228"/>
      <c r="F96" s="166"/>
      <c r="G96" s="70"/>
      <c r="H96" s="69"/>
      <c r="I96" s="71"/>
      <c r="J96" s="59"/>
      <c r="K96" s="170"/>
      <c r="L96" s="76"/>
      <c r="M96" s="72"/>
      <c r="N96" s="61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1"/>
      <c r="AB96" s="1"/>
      <c r="AC96" s="1"/>
      <c r="AD96" s="56"/>
      <c r="AF96" s="151"/>
      <c r="AJ96" s="136"/>
      <c r="AX96" s="3"/>
      <c r="AY96" s="3"/>
      <c r="AZ96" s="3"/>
      <c r="BA96" s="3"/>
    </row>
    <row r="97" spans="1:53" x14ac:dyDescent="0.25">
      <c r="A97" s="1014"/>
      <c r="B97" s="123"/>
      <c r="C97" s="225"/>
      <c r="D97" s="734"/>
      <c r="E97" s="228"/>
      <c r="F97" s="166"/>
      <c r="G97" s="70"/>
      <c r="H97" s="69"/>
      <c r="I97" s="71"/>
      <c r="J97" s="59"/>
      <c r="K97" s="170"/>
      <c r="L97" s="61"/>
      <c r="M97" s="72"/>
      <c r="N97" s="61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1"/>
      <c r="AB97" s="1"/>
      <c r="AC97" s="1"/>
      <c r="AD97" s="56"/>
      <c r="AF97" s="151"/>
      <c r="AJ97" s="146"/>
      <c r="AX97" s="3"/>
      <c r="AY97" s="3"/>
      <c r="AZ97" s="3"/>
      <c r="BA97" s="3"/>
    </row>
    <row r="98" spans="1:53" ht="56.25" customHeight="1" x14ac:dyDescent="0.25">
      <c r="A98" s="1012" t="s">
        <v>2131</v>
      </c>
      <c r="B98" s="258" t="s">
        <v>2132</v>
      </c>
      <c r="C98" s="222"/>
      <c r="D98" s="732"/>
      <c r="E98" s="226" t="s">
        <v>488</v>
      </c>
      <c r="F98" s="53" t="s">
        <v>837</v>
      </c>
      <c r="G98" s="735" t="s">
        <v>489</v>
      </c>
      <c r="H98" s="52" t="s">
        <v>1170</v>
      </c>
      <c r="I98" s="53" t="s">
        <v>838</v>
      </c>
      <c r="J98" s="47" t="s">
        <v>1171</v>
      </c>
      <c r="K98" s="47" t="s">
        <v>490</v>
      </c>
      <c r="L98" s="54" t="s">
        <v>489</v>
      </c>
      <c r="M98" s="47" t="s">
        <v>1172</v>
      </c>
      <c r="N98" s="53" t="s">
        <v>838</v>
      </c>
      <c r="O98" s="47" t="s">
        <v>1171</v>
      </c>
      <c r="P98" s="47" t="s">
        <v>826</v>
      </c>
      <c r="Q98" s="47" t="s">
        <v>1173</v>
      </c>
      <c r="R98" s="47" t="s">
        <v>1174</v>
      </c>
      <c r="S98" s="47" t="s">
        <v>839</v>
      </c>
      <c r="T98" s="47" t="s">
        <v>1171</v>
      </c>
      <c r="U98" s="47" t="s">
        <v>1392</v>
      </c>
      <c r="V98" s="47" t="s">
        <v>841</v>
      </c>
      <c r="W98" s="231" t="s">
        <v>1173</v>
      </c>
      <c r="X98" s="47" t="s">
        <v>1394</v>
      </c>
      <c r="Y98" s="47" t="s">
        <v>839</v>
      </c>
      <c r="Z98" s="55"/>
      <c r="AA98" s="1"/>
      <c r="AB98" s="1"/>
      <c r="AC98" s="245"/>
      <c r="AD98" s="56"/>
      <c r="AQ98" s="139"/>
      <c r="AR98" s="139"/>
      <c r="AS98" s="139"/>
      <c r="AX98" s="3"/>
      <c r="AY98" s="3"/>
      <c r="AZ98" s="3"/>
      <c r="BA98" s="3"/>
    </row>
    <row r="99" spans="1:53" ht="12.75" customHeight="1" x14ac:dyDescent="0.25">
      <c r="A99" s="1013"/>
      <c r="B99" s="36" t="s">
        <v>1175</v>
      </c>
      <c r="C99" s="222">
        <f>C106</f>
        <v>106.32693857057801</v>
      </c>
      <c r="D99" s="732">
        <f>C99*$D$5</f>
        <v>21.478041591256758</v>
      </c>
      <c r="E99" s="227" t="s">
        <v>1176</v>
      </c>
      <c r="F99" s="165"/>
      <c r="G99" s="58"/>
      <c r="H99" s="58"/>
      <c r="I99" s="2">
        <f>SUM(I100:I107)</f>
        <v>19.86</v>
      </c>
      <c r="J99" s="59" t="s">
        <v>1176</v>
      </c>
      <c r="K99" s="169"/>
      <c r="L99" s="60"/>
      <c r="M99" s="60"/>
      <c r="N99" s="399">
        <f>SUM(N100:N107)</f>
        <v>0.17845824384780587</v>
      </c>
      <c r="O99" s="60" t="s">
        <v>1176</v>
      </c>
      <c r="P99" s="60"/>
      <c r="Q99" s="62"/>
      <c r="R99" s="63"/>
      <c r="S99" s="399">
        <f>SUM(S100:S107)</f>
        <v>1.3361537940838015</v>
      </c>
      <c r="T99" s="61"/>
      <c r="U99" s="61"/>
      <c r="V99" s="61"/>
      <c r="W99" s="61"/>
      <c r="X99" s="61"/>
      <c r="Y99" s="399">
        <f>SUM(Y100:Y107)</f>
        <v>18.929180458206922</v>
      </c>
      <c r="Z99" s="64">
        <f>(C99+D99+I99+N99+S99+Y99)*$Z$5</f>
        <v>218.57295726073258</v>
      </c>
      <c r="AA99" s="65">
        <f>C99+D99+I99+N99+S99+Y99+Z99</f>
        <v>386.68172991870586</v>
      </c>
      <c r="AB99" s="66">
        <v>0.25</v>
      </c>
      <c r="AC99" s="244">
        <f>AA99*(1+AB99)</f>
        <v>483.35216239838235</v>
      </c>
      <c r="AD99" s="67"/>
      <c r="AI99" s="139"/>
      <c r="AJ99" s="140"/>
      <c r="AK99" s="141"/>
      <c r="AM99" s="142"/>
      <c r="AN99" s="143"/>
      <c r="AO99" s="142"/>
      <c r="AP99" s="139"/>
      <c r="AQ99" s="139"/>
      <c r="AR99" s="139"/>
      <c r="AS99" s="139"/>
      <c r="AT99" s="139"/>
      <c r="AU99" s="142"/>
      <c r="AV99" s="142"/>
      <c r="AW99" s="144"/>
      <c r="AX99" s="3"/>
      <c r="AY99" s="3"/>
      <c r="AZ99" s="3"/>
      <c r="BA99" s="3"/>
    </row>
    <row r="100" spans="1:53" x14ac:dyDescent="0.25">
      <c r="A100" s="1013"/>
      <c r="B100" s="50" t="s">
        <v>830</v>
      </c>
      <c r="C100" s="222"/>
      <c r="D100" s="733"/>
      <c r="E100" s="68" t="s">
        <v>1437</v>
      </c>
      <c r="F100" s="69" t="s">
        <v>1438</v>
      </c>
      <c r="G100" s="70">
        <v>0.3</v>
      </c>
      <c r="H100" s="69">
        <v>10</v>
      </c>
      <c r="I100" s="71">
        <f>G100*H100</f>
        <v>3</v>
      </c>
      <c r="J100" s="59" t="s">
        <v>1291</v>
      </c>
      <c r="K100" s="72">
        <v>2</v>
      </c>
      <c r="L100" s="73">
        <v>750</v>
      </c>
      <c r="M100" s="72">
        <v>2</v>
      </c>
      <c r="N100" s="399">
        <f>L100/'Исп. коэффициенты'!E34*C104</f>
        <v>0.15384331366190163</v>
      </c>
      <c r="O100" s="60" t="s">
        <v>2114</v>
      </c>
      <c r="P100" s="60">
        <v>2994195.8</v>
      </c>
      <c r="Q100" s="60">
        <v>19.670000000000002</v>
      </c>
      <c r="R100" s="60">
        <v>6513.87</v>
      </c>
      <c r="S100" s="739">
        <f>R100/'Исп. коэффициенты'!E34*+('КМУ УЗИ'!C104)</f>
        <v>1.3361537940838015</v>
      </c>
      <c r="T100" s="239" t="s">
        <v>1435</v>
      </c>
      <c r="U100" s="240">
        <v>6785401.3499999996</v>
      </c>
      <c r="V100" s="740">
        <f>'Исп. коэффициенты'!E124</f>
        <v>2978.5</v>
      </c>
      <c r="W100" s="241">
        <f>'Исп. коэффициенты'!D124</f>
        <v>1.3599999999999999E-2</v>
      </c>
      <c r="X100" s="61">
        <f>U100*W100</f>
        <v>92281.45835999999</v>
      </c>
      <c r="Y100" s="739">
        <f>X100/'Исп. коэффициенты'!E34*'КМУ УЗИ'!C104</f>
        <v>18.929180458206922</v>
      </c>
      <c r="Z100" s="60"/>
      <c r="AA100" s="1"/>
      <c r="AB100" s="1"/>
      <c r="AC100" s="1"/>
      <c r="AD100" s="56"/>
      <c r="AF100" s="151"/>
      <c r="AJ100" s="136"/>
      <c r="AX100" s="3"/>
      <c r="AY100" s="3"/>
      <c r="AZ100" s="3"/>
      <c r="BA100" s="3"/>
    </row>
    <row r="101" spans="1:53" x14ac:dyDescent="0.25">
      <c r="A101" s="1013"/>
      <c r="B101" s="74" t="s">
        <v>1178</v>
      </c>
      <c r="C101" s="223">
        <f>C81</f>
        <v>33.667709452234185</v>
      </c>
      <c r="D101" s="733"/>
      <c r="E101" s="68" t="s">
        <v>2112</v>
      </c>
      <c r="F101" s="69" t="s">
        <v>1</v>
      </c>
      <c r="G101" s="70">
        <v>0.47</v>
      </c>
      <c r="H101" s="69">
        <v>10</v>
      </c>
      <c r="I101" s="242">
        <f>G101*H101</f>
        <v>4.6999999999999993</v>
      </c>
      <c r="J101" s="59" t="s">
        <v>1445</v>
      </c>
      <c r="K101" s="61">
        <v>2</v>
      </c>
      <c r="L101" s="76">
        <v>95</v>
      </c>
      <c r="M101" s="72">
        <v>2</v>
      </c>
      <c r="N101" s="399">
        <f>L101/'Исп. коэффициенты'!E34*C104</f>
        <v>1.9486819730507539E-2</v>
      </c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1"/>
      <c r="AB101" s="1"/>
      <c r="AC101" s="1"/>
      <c r="AD101" s="56"/>
      <c r="AF101" s="151"/>
      <c r="AJ101" s="136"/>
      <c r="AM101" s="145"/>
      <c r="AX101" s="3"/>
      <c r="AY101" s="3"/>
      <c r="AZ101" s="3"/>
      <c r="BA101" s="3"/>
    </row>
    <row r="102" spans="1:53" x14ac:dyDescent="0.25">
      <c r="A102" s="1013"/>
      <c r="B102" s="57" t="s">
        <v>1179</v>
      </c>
      <c r="C102" s="222">
        <f>C82</f>
        <v>19.495759833054819</v>
      </c>
      <c r="D102" s="733"/>
      <c r="E102" s="68" t="s">
        <v>1598</v>
      </c>
      <c r="F102" s="69" t="s">
        <v>1441</v>
      </c>
      <c r="G102" s="70">
        <v>5.36</v>
      </c>
      <c r="H102" s="70">
        <v>1</v>
      </c>
      <c r="I102" s="71">
        <f>G102*H102</f>
        <v>5.36</v>
      </c>
      <c r="J102" s="59" t="s">
        <v>1513</v>
      </c>
      <c r="K102" s="61">
        <v>2</v>
      </c>
      <c r="L102" s="61">
        <v>25</v>
      </c>
      <c r="M102" s="72">
        <v>0.5</v>
      </c>
      <c r="N102" s="399">
        <f>L102/'Исп. коэффициенты'!E34*C104</f>
        <v>5.1281104553967212E-3</v>
      </c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1"/>
      <c r="AB102" s="1"/>
      <c r="AC102" s="1"/>
      <c r="AD102" s="56"/>
      <c r="AF102" s="151"/>
      <c r="AJ102" s="136"/>
      <c r="AX102" s="3"/>
      <c r="AY102" s="3"/>
      <c r="AZ102" s="3"/>
      <c r="BA102" s="3"/>
    </row>
    <row r="103" spans="1:53" x14ac:dyDescent="0.25">
      <c r="A103" s="1013"/>
      <c r="B103" s="57" t="s">
        <v>831</v>
      </c>
      <c r="C103" s="224"/>
      <c r="D103" s="733"/>
      <c r="E103" s="68" t="s">
        <v>2113</v>
      </c>
      <c r="F103" s="69" t="s">
        <v>1</v>
      </c>
      <c r="G103" s="70">
        <v>0.17</v>
      </c>
      <c r="H103" s="69">
        <v>40</v>
      </c>
      <c r="I103" s="71">
        <f>G103*H103</f>
        <v>6.8000000000000007</v>
      </c>
      <c r="J103" s="59"/>
      <c r="K103" s="61"/>
      <c r="L103" s="61"/>
      <c r="M103" s="61"/>
      <c r="N103" s="61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1"/>
      <c r="AB103" s="1"/>
      <c r="AC103" s="1"/>
      <c r="AD103" s="56"/>
      <c r="AF103" s="151"/>
      <c r="AJ103" s="136"/>
      <c r="AX103" s="3"/>
      <c r="AY103" s="3"/>
      <c r="AZ103" s="3"/>
      <c r="BA103" s="3"/>
    </row>
    <row r="104" spans="1:53" x14ac:dyDescent="0.25">
      <c r="A104" s="1013"/>
      <c r="B104" s="74" t="s">
        <v>1178</v>
      </c>
      <c r="C104" s="225">
        <v>2</v>
      </c>
      <c r="D104" s="733"/>
      <c r="E104" s="68"/>
      <c r="F104" s="69"/>
      <c r="G104" s="70"/>
      <c r="H104" s="69"/>
      <c r="I104" s="71"/>
      <c r="J104" s="59"/>
      <c r="K104" s="61"/>
      <c r="L104" s="61"/>
      <c r="M104" s="61"/>
      <c r="N104" s="61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1"/>
      <c r="AB104" s="1"/>
      <c r="AC104" s="1"/>
      <c r="AD104" s="56"/>
      <c r="AF104" s="151"/>
      <c r="AJ104" s="146"/>
      <c r="AX104" s="3"/>
      <c r="AY104" s="3"/>
      <c r="AZ104" s="3"/>
      <c r="BA104" s="3"/>
    </row>
    <row r="105" spans="1:53" x14ac:dyDescent="0.25">
      <c r="A105" s="1013"/>
      <c r="B105" s="57" t="s">
        <v>1179</v>
      </c>
      <c r="C105" s="225">
        <v>2</v>
      </c>
      <c r="D105" s="733"/>
      <c r="E105" s="68"/>
      <c r="F105" s="69"/>
      <c r="G105" s="70"/>
      <c r="H105" s="69"/>
      <c r="I105" s="71"/>
      <c r="J105" s="59"/>
      <c r="K105" s="61"/>
      <c r="L105" s="61"/>
      <c r="M105" s="61"/>
      <c r="N105" s="61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1"/>
      <c r="AB105" s="1"/>
      <c r="AC105" s="1"/>
      <c r="AD105" s="56"/>
      <c r="AF105" s="151"/>
      <c r="AJ105" s="146"/>
      <c r="AX105" s="3"/>
      <c r="AY105" s="3"/>
      <c r="AZ105" s="3"/>
      <c r="BA105" s="3"/>
    </row>
    <row r="106" spans="1:53" x14ac:dyDescent="0.25">
      <c r="A106" s="1013"/>
      <c r="B106" s="79" t="s">
        <v>1181</v>
      </c>
      <c r="C106" s="222">
        <f>C101*C104+C102*C105</f>
        <v>106.32693857057801</v>
      </c>
      <c r="D106" s="733"/>
      <c r="E106" s="228"/>
      <c r="F106" s="166"/>
      <c r="G106" s="70"/>
      <c r="H106" s="69"/>
      <c r="I106" s="71"/>
      <c r="J106" s="59"/>
      <c r="K106" s="170"/>
      <c r="L106" s="76"/>
      <c r="M106" s="72"/>
      <c r="N106" s="61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1"/>
      <c r="AB106" s="1"/>
      <c r="AC106" s="1"/>
      <c r="AD106" s="56"/>
      <c r="AF106" s="151"/>
      <c r="AJ106" s="136"/>
      <c r="AX106" s="3"/>
      <c r="AY106" s="3"/>
      <c r="AZ106" s="3"/>
      <c r="BA106" s="3"/>
    </row>
    <row r="107" spans="1:53" x14ac:dyDescent="0.25">
      <c r="A107" s="1014"/>
      <c r="B107" s="123"/>
      <c r="C107" s="225"/>
      <c r="D107" s="734"/>
      <c r="E107" s="228"/>
      <c r="F107" s="166"/>
      <c r="G107" s="70"/>
      <c r="H107" s="69"/>
      <c r="I107" s="71"/>
      <c r="J107" s="59"/>
      <c r="K107" s="170"/>
      <c r="L107" s="61"/>
      <c r="M107" s="72"/>
      <c r="N107" s="61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1"/>
      <c r="AB107" s="1"/>
      <c r="AC107" s="1"/>
      <c r="AD107" s="56"/>
      <c r="AF107" s="151"/>
      <c r="AJ107" s="146"/>
      <c r="AX107" s="3"/>
      <c r="AY107" s="3"/>
      <c r="AZ107" s="3"/>
      <c r="BA107" s="3"/>
    </row>
    <row r="108" spans="1:53" ht="56.25" customHeight="1" x14ac:dyDescent="0.25">
      <c r="A108" s="1012" t="s">
        <v>2133</v>
      </c>
      <c r="B108" s="258" t="s">
        <v>2134</v>
      </c>
      <c r="C108" s="222"/>
      <c r="D108" s="732"/>
      <c r="E108" s="226" t="s">
        <v>488</v>
      </c>
      <c r="F108" s="53" t="s">
        <v>837</v>
      </c>
      <c r="G108" s="735" t="s">
        <v>489</v>
      </c>
      <c r="H108" s="52" t="s">
        <v>1170</v>
      </c>
      <c r="I108" s="53" t="s">
        <v>838</v>
      </c>
      <c r="J108" s="47" t="s">
        <v>1171</v>
      </c>
      <c r="K108" s="47" t="s">
        <v>490</v>
      </c>
      <c r="L108" s="54" t="s">
        <v>489</v>
      </c>
      <c r="M108" s="47" t="s">
        <v>1172</v>
      </c>
      <c r="N108" s="53" t="s">
        <v>838</v>
      </c>
      <c r="O108" s="47" t="s">
        <v>1171</v>
      </c>
      <c r="P108" s="47" t="s">
        <v>826</v>
      </c>
      <c r="Q108" s="47" t="s">
        <v>1173</v>
      </c>
      <c r="R108" s="47" t="s">
        <v>1174</v>
      </c>
      <c r="S108" s="47" t="s">
        <v>839</v>
      </c>
      <c r="T108" s="47" t="s">
        <v>1171</v>
      </c>
      <c r="U108" s="47" t="s">
        <v>1392</v>
      </c>
      <c r="V108" s="47" t="s">
        <v>841</v>
      </c>
      <c r="W108" s="231" t="s">
        <v>1173</v>
      </c>
      <c r="X108" s="47" t="s">
        <v>1394</v>
      </c>
      <c r="Y108" s="47" t="s">
        <v>839</v>
      </c>
      <c r="Z108" s="55"/>
      <c r="AA108" s="1"/>
      <c r="AB108" s="1"/>
      <c r="AC108" s="245"/>
      <c r="AD108" s="56"/>
      <c r="AQ108" s="139"/>
      <c r="AR108" s="139"/>
      <c r="AS108" s="139"/>
      <c r="AX108" s="3"/>
      <c r="AY108" s="3"/>
      <c r="AZ108" s="3"/>
      <c r="BA108" s="3"/>
    </row>
    <row r="109" spans="1:53" ht="12.75" customHeight="1" x14ac:dyDescent="0.25">
      <c r="A109" s="1013"/>
      <c r="B109" s="36" t="s">
        <v>1175</v>
      </c>
      <c r="C109" s="222">
        <f>C116</f>
        <v>106.32693857057801</v>
      </c>
      <c r="D109" s="732">
        <f>C109*$D$5</f>
        <v>21.478041591256758</v>
      </c>
      <c r="E109" s="227" t="s">
        <v>1176</v>
      </c>
      <c r="F109" s="165"/>
      <c r="G109" s="58"/>
      <c r="H109" s="58"/>
      <c r="I109" s="2">
        <f>SUM(I110:I117)</f>
        <v>19.86</v>
      </c>
      <c r="J109" s="59" t="s">
        <v>1176</v>
      </c>
      <c r="K109" s="169"/>
      <c r="L109" s="60"/>
      <c r="M109" s="60"/>
      <c r="N109" s="399">
        <f>SUM(N110:N117)</f>
        <v>0.17845824384780587</v>
      </c>
      <c r="O109" s="60" t="s">
        <v>1176</v>
      </c>
      <c r="P109" s="60"/>
      <c r="Q109" s="62"/>
      <c r="R109" s="63"/>
      <c r="S109" s="399">
        <f>SUM(S110:S117)</f>
        <v>1.3361537940838015</v>
      </c>
      <c r="T109" s="61"/>
      <c r="U109" s="61"/>
      <c r="V109" s="61"/>
      <c r="W109" s="61"/>
      <c r="X109" s="61"/>
      <c r="Y109" s="399">
        <f>SUM(Y110:Y117)</f>
        <v>18.929180458206922</v>
      </c>
      <c r="Z109" s="64">
        <f>(C109+D109+I109+N109+S109+Y109)*$Z$5</f>
        <v>218.57295726073258</v>
      </c>
      <c r="AA109" s="65">
        <f>C109+D109+I109+N109+S109+Y109+Z109</f>
        <v>386.68172991870586</v>
      </c>
      <c r="AB109" s="66">
        <v>0.25</v>
      </c>
      <c r="AC109" s="244">
        <f>AA109*(1+AB109)</f>
        <v>483.35216239838235</v>
      </c>
      <c r="AD109" s="67"/>
      <c r="AI109" s="139"/>
      <c r="AJ109" s="140"/>
      <c r="AK109" s="141"/>
      <c r="AM109" s="142"/>
      <c r="AN109" s="143"/>
      <c r="AO109" s="142"/>
      <c r="AP109" s="139"/>
      <c r="AQ109" s="139"/>
      <c r="AR109" s="139"/>
      <c r="AS109" s="139"/>
      <c r="AT109" s="139"/>
      <c r="AU109" s="142"/>
      <c r="AV109" s="142"/>
      <c r="AW109" s="144"/>
      <c r="AX109" s="3"/>
      <c r="AY109" s="3"/>
      <c r="AZ109" s="3"/>
      <c r="BA109" s="3"/>
    </row>
    <row r="110" spans="1:53" x14ac:dyDescent="0.25">
      <c r="A110" s="1013"/>
      <c r="B110" s="50" t="s">
        <v>830</v>
      </c>
      <c r="C110" s="222"/>
      <c r="D110" s="733"/>
      <c r="E110" s="68" t="s">
        <v>1437</v>
      </c>
      <c r="F110" s="69" t="s">
        <v>1438</v>
      </c>
      <c r="G110" s="70">
        <v>0.3</v>
      </c>
      <c r="H110" s="69">
        <v>10</v>
      </c>
      <c r="I110" s="71">
        <f>G110*H110</f>
        <v>3</v>
      </c>
      <c r="J110" s="59" t="s">
        <v>1291</v>
      </c>
      <c r="K110" s="72">
        <v>2</v>
      </c>
      <c r="L110" s="73">
        <v>750</v>
      </c>
      <c r="M110" s="72">
        <v>2</v>
      </c>
      <c r="N110" s="399">
        <f>L110/'Исп. коэффициенты'!E34*C114</f>
        <v>0.15384331366190163</v>
      </c>
      <c r="O110" s="60" t="s">
        <v>2114</v>
      </c>
      <c r="P110" s="60">
        <v>2994195.8</v>
      </c>
      <c r="Q110" s="60">
        <v>19.670000000000002</v>
      </c>
      <c r="R110" s="60">
        <v>6513.87</v>
      </c>
      <c r="S110" s="739">
        <f>R110/'Исп. коэффициенты'!E34*+('КМУ УЗИ'!C114)</f>
        <v>1.3361537940838015</v>
      </c>
      <c r="T110" s="239" t="s">
        <v>1435</v>
      </c>
      <c r="U110" s="240">
        <v>6785401.3499999996</v>
      </c>
      <c r="V110" s="740">
        <f>'Исп. коэффициенты'!E124</f>
        <v>2978.5</v>
      </c>
      <c r="W110" s="241">
        <f>'Исп. коэффициенты'!D124</f>
        <v>1.3599999999999999E-2</v>
      </c>
      <c r="X110" s="61">
        <f>U110*W110</f>
        <v>92281.45835999999</v>
      </c>
      <c r="Y110" s="739">
        <f>X110/'Исп. коэффициенты'!E34*'КМУ УЗИ'!C114</f>
        <v>18.929180458206922</v>
      </c>
      <c r="Z110" s="60"/>
      <c r="AA110" s="1"/>
      <c r="AB110" s="1"/>
      <c r="AC110" s="1"/>
      <c r="AD110" s="56"/>
      <c r="AF110" s="151"/>
      <c r="AJ110" s="136"/>
      <c r="AX110" s="3"/>
      <c r="AY110" s="3"/>
      <c r="AZ110" s="3"/>
      <c r="BA110" s="3"/>
    </row>
    <row r="111" spans="1:53" x14ac:dyDescent="0.25">
      <c r="A111" s="1013"/>
      <c r="B111" s="74" t="s">
        <v>1178</v>
      </c>
      <c r="C111" s="223">
        <f>C91</f>
        <v>33.667709452234185</v>
      </c>
      <c r="D111" s="733"/>
      <c r="E111" s="68" t="s">
        <v>2112</v>
      </c>
      <c r="F111" s="69" t="s">
        <v>1</v>
      </c>
      <c r="G111" s="70">
        <v>0.47</v>
      </c>
      <c r="H111" s="69">
        <v>10</v>
      </c>
      <c r="I111" s="242">
        <f>G111*H111</f>
        <v>4.6999999999999993</v>
      </c>
      <c r="J111" s="59" t="s">
        <v>1445</v>
      </c>
      <c r="K111" s="61">
        <v>2</v>
      </c>
      <c r="L111" s="76">
        <v>95</v>
      </c>
      <c r="M111" s="72">
        <v>2</v>
      </c>
      <c r="N111" s="399">
        <f>L111/'Исп. коэффициенты'!E34*C114</f>
        <v>1.9486819730507539E-2</v>
      </c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1"/>
      <c r="AB111" s="1"/>
      <c r="AC111" s="1"/>
      <c r="AD111" s="56"/>
      <c r="AF111" s="151"/>
      <c r="AJ111" s="136"/>
      <c r="AM111" s="145"/>
      <c r="AX111" s="3"/>
      <c r="AY111" s="3"/>
      <c r="AZ111" s="3"/>
      <c r="BA111" s="3"/>
    </row>
    <row r="112" spans="1:53" x14ac:dyDescent="0.25">
      <c r="A112" s="1013"/>
      <c r="B112" s="57" t="s">
        <v>1179</v>
      </c>
      <c r="C112" s="222">
        <f>C92</f>
        <v>19.495759833054819</v>
      </c>
      <c r="D112" s="733"/>
      <c r="E112" s="68" t="s">
        <v>1598</v>
      </c>
      <c r="F112" s="69" t="s">
        <v>1441</v>
      </c>
      <c r="G112" s="70">
        <v>5.36</v>
      </c>
      <c r="H112" s="70">
        <v>1</v>
      </c>
      <c r="I112" s="71">
        <f>G112*H112</f>
        <v>5.36</v>
      </c>
      <c r="J112" s="59" t="s">
        <v>1513</v>
      </c>
      <c r="K112" s="61">
        <v>2</v>
      </c>
      <c r="L112" s="61">
        <v>25</v>
      </c>
      <c r="M112" s="72">
        <v>0.5</v>
      </c>
      <c r="N112" s="399">
        <f>L112/'Исп. коэффициенты'!E34*C114</f>
        <v>5.1281104553967212E-3</v>
      </c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1"/>
      <c r="AB112" s="1"/>
      <c r="AC112" s="1"/>
      <c r="AD112" s="56"/>
      <c r="AF112" s="151"/>
      <c r="AJ112" s="136"/>
      <c r="AX112" s="3"/>
      <c r="AY112" s="3"/>
      <c r="AZ112" s="3"/>
      <c r="BA112" s="3"/>
    </row>
    <row r="113" spans="1:53" x14ac:dyDescent="0.25">
      <c r="A113" s="1013"/>
      <c r="B113" s="57" t="s">
        <v>831</v>
      </c>
      <c r="C113" s="224"/>
      <c r="D113" s="733"/>
      <c r="E113" s="68" t="s">
        <v>2113</v>
      </c>
      <c r="F113" s="69" t="s">
        <v>1</v>
      </c>
      <c r="G113" s="70">
        <v>0.17</v>
      </c>
      <c r="H113" s="69">
        <v>40</v>
      </c>
      <c r="I113" s="71">
        <f>G113*H113</f>
        <v>6.8000000000000007</v>
      </c>
      <c r="J113" s="59"/>
      <c r="K113" s="61"/>
      <c r="L113" s="61"/>
      <c r="M113" s="61"/>
      <c r="N113" s="61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1"/>
      <c r="AB113" s="1"/>
      <c r="AC113" s="1"/>
      <c r="AD113" s="56"/>
      <c r="AF113" s="151"/>
      <c r="AJ113" s="136"/>
      <c r="AX113" s="3"/>
      <c r="AY113" s="3"/>
      <c r="AZ113" s="3"/>
      <c r="BA113" s="3"/>
    </row>
    <row r="114" spans="1:53" x14ac:dyDescent="0.25">
      <c r="A114" s="1013"/>
      <c r="B114" s="74" t="s">
        <v>1178</v>
      </c>
      <c r="C114" s="225">
        <v>2</v>
      </c>
      <c r="D114" s="733"/>
      <c r="E114" s="68"/>
      <c r="F114" s="69"/>
      <c r="G114" s="70"/>
      <c r="H114" s="69"/>
      <c r="I114" s="71"/>
      <c r="J114" s="59"/>
      <c r="K114" s="61"/>
      <c r="L114" s="61"/>
      <c r="M114" s="61"/>
      <c r="N114" s="61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1"/>
      <c r="AB114" s="1"/>
      <c r="AC114" s="1"/>
      <c r="AD114" s="56"/>
      <c r="AF114" s="151"/>
      <c r="AJ114" s="146"/>
      <c r="AX114" s="3"/>
      <c r="AY114" s="3"/>
      <c r="AZ114" s="3"/>
      <c r="BA114" s="3"/>
    </row>
    <row r="115" spans="1:53" x14ac:dyDescent="0.25">
      <c r="A115" s="1013"/>
      <c r="B115" s="57" t="s">
        <v>1179</v>
      </c>
      <c r="C115" s="225">
        <v>2</v>
      </c>
      <c r="D115" s="733"/>
      <c r="E115" s="68"/>
      <c r="F115" s="69"/>
      <c r="G115" s="70"/>
      <c r="H115" s="69"/>
      <c r="I115" s="71"/>
      <c r="J115" s="59"/>
      <c r="K115" s="61"/>
      <c r="L115" s="61"/>
      <c r="M115" s="61"/>
      <c r="N115" s="61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1"/>
      <c r="AB115" s="1"/>
      <c r="AC115" s="1"/>
      <c r="AD115" s="56"/>
      <c r="AF115" s="151"/>
      <c r="AJ115" s="146"/>
      <c r="AX115" s="3"/>
      <c r="AY115" s="3"/>
      <c r="AZ115" s="3"/>
      <c r="BA115" s="3"/>
    </row>
    <row r="116" spans="1:53" x14ac:dyDescent="0.25">
      <c r="A116" s="1013"/>
      <c r="B116" s="79" t="s">
        <v>1181</v>
      </c>
      <c r="C116" s="222">
        <f>C111*C114+C112*C115</f>
        <v>106.32693857057801</v>
      </c>
      <c r="D116" s="733"/>
      <c r="E116" s="228"/>
      <c r="F116" s="166"/>
      <c r="G116" s="70"/>
      <c r="H116" s="69"/>
      <c r="I116" s="71"/>
      <c r="J116" s="59"/>
      <c r="K116" s="170"/>
      <c r="L116" s="76"/>
      <c r="M116" s="72"/>
      <c r="N116" s="61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1"/>
      <c r="AB116" s="1"/>
      <c r="AC116" s="1"/>
      <c r="AD116" s="56"/>
      <c r="AF116" s="151"/>
      <c r="AJ116" s="136"/>
      <c r="AX116" s="3"/>
      <c r="AY116" s="3"/>
      <c r="AZ116" s="3"/>
      <c r="BA116" s="3"/>
    </row>
    <row r="117" spans="1:53" x14ac:dyDescent="0.25">
      <c r="A117" s="1014"/>
      <c r="B117" s="123"/>
      <c r="C117" s="225"/>
      <c r="D117" s="734"/>
      <c r="E117" s="228"/>
      <c r="F117" s="166"/>
      <c r="G117" s="70"/>
      <c r="H117" s="69"/>
      <c r="I117" s="71"/>
      <c r="J117" s="59"/>
      <c r="K117" s="170"/>
      <c r="L117" s="61"/>
      <c r="M117" s="72"/>
      <c r="N117" s="61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1"/>
      <c r="AB117" s="1"/>
      <c r="AC117" s="1"/>
      <c r="AD117" s="56"/>
      <c r="AF117" s="151"/>
      <c r="AJ117" s="146"/>
      <c r="AX117" s="3"/>
      <c r="AY117" s="3"/>
      <c r="AZ117" s="3"/>
      <c r="BA117" s="3"/>
    </row>
    <row r="118" spans="1:53" ht="56.25" customHeight="1" x14ac:dyDescent="0.25">
      <c r="A118" s="1012" t="s">
        <v>2135</v>
      </c>
      <c r="B118" s="258" t="s">
        <v>2136</v>
      </c>
      <c r="C118" s="222"/>
      <c r="D118" s="732"/>
      <c r="E118" s="226" t="s">
        <v>488</v>
      </c>
      <c r="F118" s="53" t="s">
        <v>837</v>
      </c>
      <c r="G118" s="735" t="s">
        <v>489</v>
      </c>
      <c r="H118" s="52" t="s">
        <v>1170</v>
      </c>
      <c r="I118" s="53" t="s">
        <v>838</v>
      </c>
      <c r="J118" s="47" t="s">
        <v>1171</v>
      </c>
      <c r="K118" s="47" t="s">
        <v>490</v>
      </c>
      <c r="L118" s="54" t="s">
        <v>489</v>
      </c>
      <c r="M118" s="47" t="s">
        <v>1172</v>
      </c>
      <c r="N118" s="53" t="s">
        <v>838</v>
      </c>
      <c r="O118" s="47" t="s">
        <v>1171</v>
      </c>
      <c r="P118" s="47" t="s">
        <v>826</v>
      </c>
      <c r="Q118" s="47" t="s">
        <v>1173</v>
      </c>
      <c r="R118" s="47" t="s">
        <v>1174</v>
      </c>
      <c r="S118" s="47" t="s">
        <v>839</v>
      </c>
      <c r="T118" s="47" t="s">
        <v>1171</v>
      </c>
      <c r="U118" s="47" t="s">
        <v>1392</v>
      </c>
      <c r="V118" s="47" t="s">
        <v>841</v>
      </c>
      <c r="W118" s="231" t="s">
        <v>1173</v>
      </c>
      <c r="X118" s="47" t="s">
        <v>1394</v>
      </c>
      <c r="Y118" s="47" t="s">
        <v>839</v>
      </c>
      <c r="Z118" s="55"/>
      <c r="AA118" s="1"/>
      <c r="AB118" s="1"/>
      <c r="AC118" s="245"/>
      <c r="AD118" s="56"/>
      <c r="AQ118" s="139"/>
      <c r="AR118" s="139"/>
      <c r="AS118" s="139"/>
      <c r="AX118" s="3"/>
      <c r="AY118" s="3"/>
      <c r="AZ118" s="3"/>
      <c r="BA118" s="3"/>
    </row>
    <row r="119" spans="1:53" ht="12.75" customHeight="1" x14ac:dyDescent="0.25">
      <c r="A119" s="1013"/>
      <c r="B119" s="36" t="s">
        <v>1175</v>
      </c>
      <c r="C119" s="222">
        <f>C126</f>
        <v>106.32693857057801</v>
      </c>
      <c r="D119" s="732">
        <f>C119*$D$5</f>
        <v>21.478041591256758</v>
      </c>
      <c r="E119" s="227" t="s">
        <v>1176</v>
      </c>
      <c r="F119" s="165"/>
      <c r="G119" s="58"/>
      <c r="H119" s="58"/>
      <c r="I119" s="2">
        <f>SUM(I120:I127)</f>
        <v>19.86</v>
      </c>
      <c r="J119" s="59" t="s">
        <v>1176</v>
      </c>
      <c r="K119" s="169"/>
      <c r="L119" s="60"/>
      <c r="M119" s="60"/>
      <c r="N119" s="399">
        <f>SUM(N120:N127)</f>
        <v>0.17845824384780587</v>
      </c>
      <c r="O119" s="60" t="s">
        <v>1176</v>
      </c>
      <c r="P119" s="60"/>
      <c r="Q119" s="62"/>
      <c r="R119" s="63"/>
      <c r="S119" s="399">
        <f>SUM(S120:S127)</f>
        <v>1.3361537940838015</v>
      </c>
      <c r="T119" s="61"/>
      <c r="U119" s="61"/>
      <c r="V119" s="61"/>
      <c r="W119" s="61"/>
      <c r="X119" s="61"/>
      <c r="Y119" s="399">
        <f>SUM(Y120:Y127)</f>
        <v>18.929180458206922</v>
      </c>
      <c r="Z119" s="64">
        <f>(C119+D119+I119+N119+S119+Y119)*$Z$5</f>
        <v>218.57295726073258</v>
      </c>
      <c r="AA119" s="65">
        <f>C119+D119+I119+N119+S119+Y119+Z119</f>
        <v>386.68172991870586</v>
      </c>
      <c r="AB119" s="66">
        <v>0.25</v>
      </c>
      <c r="AC119" s="244">
        <f>AA119*(1+AB119)</f>
        <v>483.35216239838235</v>
      </c>
      <c r="AD119" s="67"/>
      <c r="AI119" s="139"/>
      <c r="AJ119" s="140"/>
      <c r="AK119" s="141"/>
      <c r="AM119" s="142"/>
      <c r="AN119" s="143"/>
      <c r="AO119" s="142"/>
      <c r="AP119" s="139"/>
      <c r="AQ119" s="139"/>
      <c r="AR119" s="139"/>
      <c r="AS119" s="139"/>
      <c r="AT119" s="139"/>
      <c r="AU119" s="142"/>
      <c r="AV119" s="142"/>
      <c r="AW119" s="144"/>
      <c r="AX119" s="3"/>
      <c r="AY119" s="3"/>
      <c r="AZ119" s="3"/>
      <c r="BA119" s="3"/>
    </row>
    <row r="120" spans="1:53" x14ac:dyDescent="0.25">
      <c r="A120" s="1013"/>
      <c r="B120" s="50" t="s">
        <v>830</v>
      </c>
      <c r="C120" s="222"/>
      <c r="D120" s="733"/>
      <c r="E120" s="68" t="s">
        <v>1437</v>
      </c>
      <c r="F120" s="69" t="s">
        <v>1438</v>
      </c>
      <c r="G120" s="70">
        <v>0.3</v>
      </c>
      <c r="H120" s="69">
        <v>10</v>
      </c>
      <c r="I120" s="71">
        <f>G120*H120</f>
        <v>3</v>
      </c>
      <c r="J120" s="59" t="s">
        <v>1291</v>
      </c>
      <c r="K120" s="72">
        <v>2</v>
      </c>
      <c r="L120" s="73">
        <v>750</v>
      </c>
      <c r="M120" s="72">
        <v>2</v>
      </c>
      <c r="N120" s="399">
        <f>L120/'Исп. коэффициенты'!E34*C124</f>
        <v>0.15384331366190163</v>
      </c>
      <c r="O120" s="60" t="s">
        <v>2114</v>
      </c>
      <c r="P120" s="60">
        <v>2994195.8</v>
      </c>
      <c r="Q120" s="60">
        <v>19.670000000000002</v>
      </c>
      <c r="R120" s="60">
        <v>6513.87</v>
      </c>
      <c r="S120" s="739">
        <f>R120/'Исп. коэффициенты'!E34*+('КМУ УЗИ'!C124)</f>
        <v>1.3361537940838015</v>
      </c>
      <c r="T120" s="239" t="s">
        <v>1435</v>
      </c>
      <c r="U120" s="240">
        <v>6785401.3499999996</v>
      </c>
      <c r="V120" s="740">
        <f>'Исп. коэффициенты'!E124</f>
        <v>2978.5</v>
      </c>
      <c r="W120" s="241">
        <f>'Исп. коэффициенты'!D124</f>
        <v>1.3599999999999999E-2</v>
      </c>
      <c r="X120" s="61">
        <f>U120*W120</f>
        <v>92281.45835999999</v>
      </c>
      <c r="Y120" s="739">
        <f>X120/'Исп. коэффициенты'!E34*'КМУ УЗИ'!C124</f>
        <v>18.929180458206922</v>
      </c>
      <c r="Z120" s="60"/>
      <c r="AA120" s="1"/>
      <c r="AB120" s="1"/>
      <c r="AC120" s="1"/>
      <c r="AD120" s="56"/>
      <c r="AF120" s="151"/>
      <c r="AJ120" s="136"/>
      <c r="AX120" s="3"/>
      <c r="AY120" s="3"/>
      <c r="AZ120" s="3"/>
      <c r="BA120" s="3"/>
    </row>
    <row r="121" spans="1:53" x14ac:dyDescent="0.25">
      <c r="A121" s="1013"/>
      <c r="B121" s="74" t="s">
        <v>1178</v>
      </c>
      <c r="C121" s="223">
        <f>C101</f>
        <v>33.667709452234185</v>
      </c>
      <c r="D121" s="733"/>
      <c r="E121" s="68" t="s">
        <v>2112</v>
      </c>
      <c r="F121" s="69" t="s">
        <v>1</v>
      </c>
      <c r="G121" s="70">
        <v>0.47</v>
      </c>
      <c r="H121" s="69">
        <v>10</v>
      </c>
      <c r="I121" s="242">
        <f>G121*H121</f>
        <v>4.6999999999999993</v>
      </c>
      <c r="J121" s="59" t="s">
        <v>1445</v>
      </c>
      <c r="K121" s="61">
        <v>2</v>
      </c>
      <c r="L121" s="76">
        <v>95</v>
      </c>
      <c r="M121" s="72">
        <v>2</v>
      </c>
      <c r="N121" s="399">
        <f>L121/'Исп. коэффициенты'!E34*C124</f>
        <v>1.9486819730507539E-2</v>
      </c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1"/>
      <c r="AB121" s="1"/>
      <c r="AC121" s="1"/>
      <c r="AD121" s="56"/>
      <c r="AF121" s="151"/>
      <c r="AJ121" s="136"/>
      <c r="AM121" s="145"/>
      <c r="AX121" s="3"/>
      <c r="AY121" s="3"/>
      <c r="AZ121" s="3"/>
      <c r="BA121" s="3"/>
    </row>
    <row r="122" spans="1:53" x14ac:dyDescent="0.25">
      <c r="A122" s="1013"/>
      <c r="B122" s="57" t="s">
        <v>1179</v>
      </c>
      <c r="C122" s="222">
        <f>C102</f>
        <v>19.495759833054819</v>
      </c>
      <c r="D122" s="733"/>
      <c r="E122" s="68" t="s">
        <v>1598</v>
      </c>
      <c r="F122" s="69" t="s">
        <v>1441</v>
      </c>
      <c r="G122" s="70">
        <v>5.36</v>
      </c>
      <c r="H122" s="70">
        <v>1</v>
      </c>
      <c r="I122" s="71">
        <f>G122*H122</f>
        <v>5.36</v>
      </c>
      <c r="J122" s="59" t="s">
        <v>1513</v>
      </c>
      <c r="K122" s="61">
        <v>2</v>
      </c>
      <c r="L122" s="61">
        <v>25</v>
      </c>
      <c r="M122" s="72">
        <v>0.5</v>
      </c>
      <c r="N122" s="399">
        <f>L122/'Исп. коэффициенты'!E34*C124</f>
        <v>5.1281104553967212E-3</v>
      </c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1"/>
      <c r="AB122" s="1"/>
      <c r="AC122" s="1"/>
      <c r="AD122" s="56"/>
      <c r="AF122" s="151"/>
      <c r="AJ122" s="136"/>
      <c r="AX122" s="3"/>
      <c r="AY122" s="3"/>
      <c r="AZ122" s="3"/>
      <c r="BA122" s="3"/>
    </row>
    <row r="123" spans="1:53" x14ac:dyDescent="0.25">
      <c r="A123" s="1013"/>
      <c r="B123" s="57" t="s">
        <v>831</v>
      </c>
      <c r="C123" s="224"/>
      <c r="D123" s="733"/>
      <c r="E123" s="68" t="s">
        <v>2113</v>
      </c>
      <c r="F123" s="69" t="s">
        <v>1</v>
      </c>
      <c r="G123" s="70">
        <v>0.17</v>
      </c>
      <c r="H123" s="69">
        <v>40</v>
      </c>
      <c r="I123" s="71">
        <f>G123*H123</f>
        <v>6.8000000000000007</v>
      </c>
      <c r="J123" s="59"/>
      <c r="K123" s="61"/>
      <c r="L123" s="61"/>
      <c r="M123" s="61"/>
      <c r="N123" s="61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1"/>
      <c r="AB123" s="1"/>
      <c r="AC123" s="1"/>
      <c r="AD123" s="56"/>
      <c r="AF123" s="151"/>
      <c r="AJ123" s="136"/>
      <c r="AX123" s="3"/>
      <c r="AY123" s="3"/>
      <c r="AZ123" s="3"/>
      <c r="BA123" s="3"/>
    </row>
    <row r="124" spans="1:53" x14ac:dyDescent="0.25">
      <c r="A124" s="1013"/>
      <c r="B124" s="74" t="s">
        <v>1178</v>
      </c>
      <c r="C124" s="225">
        <v>2</v>
      </c>
      <c r="D124" s="733"/>
      <c r="E124" s="68"/>
      <c r="F124" s="69"/>
      <c r="G124" s="70"/>
      <c r="H124" s="69"/>
      <c r="I124" s="71"/>
      <c r="J124" s="59"/>
      <c r="K124" s="61"/>
      <c r="L124" s="61"/>
      <c r="M124" s="61"/>
      <c r="N124" s="61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1"/>
      <c r="AB124" s="1"/>
      <c r="AC124" s="1"/>
      <c r="AD124" s="56"/>
      <c r="AF124" s="151"/>
      <c r="AJ124" s="146"/>
      <c r="AX124" s="3"/>
      <c r="AY124" s="3"/>
      <c r="AZ124" s="3"/>
      <c r="BA124" s="3"/>
    </row>
    <row r="125" spans="1:53" x14ac:dyDescent="0.25">
      <c r="A125" s="1013"/>
      <c r="B125" s="57" t="s">
        <v>1179</v>
      </c>
      <c r="C125" s="225">
        <v>2</v>
      </c>
      <c r="D125" s="733"/>
      <c r="E125" s="68"/>
      <c r="F125" s="69"/>
      <c r="G125" s="70"/>
      <c r="H125" s="69"/>
      <c r="I125" s="71"/>
      <c r="J125" s="59"/>
      <c r="K125" s="61"/>
      <c r="L125" s="61"/>
      <c r="M125" s="61"/>
      <c r="N125" s="61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1"/>
      <c r="AB125" s="1"/>
      <c r="AC125" s="1"/>
      <c r="AD125" s="56"/>
      <c r="AF125" s="151"/>
      <c r="AJ125" s="146"/>
      <c r="AX125" s="3"/>
      <c r="AY125" s="3"/>
      <c r="AZ125" s="3"/>
      <c r="BA125" s="3"/>
    </row>
    <row r="126" spans="1:53" x14ac:dyDescent="0.25">
      <c r="A126" s="1013"/>
      <c r="B126" s="79" t="s">
        <v>1181</v>
      </c>
      <c r="C126" s="222">
        <f>C121*C124+C122*C125</f>
        <v>106.32693857057801</v>
      </c>
      <c r="D126" s="733"/>
      <c r="E126" s="228"/>
      <c r="F126" s="166"/>
      <c r="G126" s="70"/>
      <c r="H126" s="69"/>
      <c r="I126" s="71"/>
      <c r="J126" s="59"/>
      <c r="K126" s="170"/>
      <c r="L126" s="76"/>
      <c r="M126" s="72"/>
      <c r="N126" s="61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1"/>
      <c r="AB126" s="1"/>
      <c r="AC126" s="1"/>
      <c r="AD126" s="56"/>
      <c r="AF126" s="151"/>
      <c r="AJ126" s="136"/>
      <c r="AX126" s="3"/>
      <c r="AY126" s="3"/>
      <c r="AZ126" s="3"/>
      <c r="BA126" s="3"/>
    </row>
    <row r="127" spans="1:53" x14ac:dyDescent="0.25">
      <c r="A127" s="1014"/>
      <c r="B127" s="123"/>
      <c r="C127" s="225"/>
      <c r="D127" s="734"/>
      <c r="E127" s="228"/>
      <c r="F127" s="166"/>
      <c r="G127" s="70"/>
      <c r="H127" s="69"/>
      <c r="I127" s="71"/>
      <c r="J127" s="59"/>
      <c r="K127" s="170"/>
      <c r="L127" s="61"/>
      <c r="M127" s="72"/>
      <c r="N127" s="61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1"/>
      <c r="AB127" s="1"/>
      <c r="AC127" s="1"/>
      <c r="AD127" s="56"/>
      <c r="AF127" s="151"/>
      <c r="AJ127" s="146"/>
      <c r="AX127" s="3"/>
      <c r="AY127" s="3"/>
      <c r="AZ127" s="3"/>
      <c r="BA127" s="3"/>
    </row>
    <row r="128" spans="1:53" ht="56.25" customHeight="1" x14ac:dyDescent="0.25">
      <c r="A128" s="1012" t="s">
        <v>2137</v>
      </c>
      <c r="B128" s="258" t="s">
        <v>2138</v>
      </c>
      <c r="C128" s="222"/>
      <c r="D128" s="732"/>
      <c r="E128" s="226" t="s">
        <v>488</v>
      </c>
      <c r="F128" s="53" t="s">
        <v>837</v>
      </c>
      <c r="G128" s="735" t="s">
        <v>489</v>
      </c>
      <c r="H128" s="52" t="s">
        <v>1170</v>
      </c>
      <c r="I128" s="53" t="s">
        <v>838</v>
      </c>
      <c r="J128" s="47" t="s">
        <v>1171</v>
      </c>
      <c r="K128" s="47" t="s">
        <v>490</v>
      </c>
      <c r="L128" s="54" t="s">
        <v>489</v>
      </c>
      <c r="M128" s="47" t="s">
        <v>1172</v>
      </c>
      <c r="N128" s="53" t="s">
        <v>838</v>
      </c>
      <c r="O128" s="47" t="s">
        <v>1171</v>
      </c>
      <c r="P128" s="47" t="s">
        <v>826</v>
      </c>
      <c r="Q128" s="47" t="s">
        <v>1173</v>
      </c>
      <c r="R128" s="47" t="s">
        <v>1174</v>
      </c>
      <c r="S128" s="47" t="s">
        <v>839</v>
      </c>
      <c r="T128" s="47" t="s">
        <v>1171</v>
      </c>
      <c r="U128" s="47" t="s">
        <v>1392</v>
      </c>
      <c r="V128" s="47" t="s">
        <v>841</v>
      </c>
      <c r="W128" s="231" t="s">
        <v>1173</v>
      </c>
      <c r="X128" s="47" t="s">
        <v>1394</v>
      </c>
      <c r="Y128" s="47" t="s">
        <v>839</v>
      </c>
      <c r="Z128" s="55"/>
      <c r="AA128" s="1"/>
      <c r="AB128" s="1"/>
      <c r="AC128" s="245"/>
      <c r="AD128" s="56"/>
      <c r="AQ128" s="139"/>
      <c r="AR128" s="139"/>
      <c r="AS128" s="139"/>
      <c r="AX128" s="3"/>
      <c r="AY128" s="3"/>
      <c r="AZ128" s="3"/>
      <c r="BA128" s="3"/>
    </row>
    <row r="129" spans="1:53" ht="12.75" customHeight="1" x14ac:dyDescent="0.25">
      <c r="A129" s="1013"/>
      <c r="B129" s="36" t="s">
        <v>1175</v>
      </c>
      <c r="C129" s="222">
        <f>C136</f>
        <v>106.32693857057801</v>
      </c>
      <c r="D129" s="732">
        <f>C129*$D$5</f>
        <v>21.478041591256758</v>
      </c>
      <c r="E129" s="227" t="s">
        <v>1176</v>
      </c>
      <c r="F129" s="165"/>
      <c r="G129" s="58"/>
      <c r="H129" s="58"/>
      <c r="I129" s="2">
        <f>SUM(I130:I137)</f>
        <v>19.86</v>
      </c>
      <c r="J129" s="59" t="s">
        <v>1176</v>
      </c>
      <c r="K129" s="169"/>
      <c r="L129" s="60"/>
      <c r="M129" s="60"/>
      <c r="N129" s="399">
        <f>SUM(N130:N137)</f>
        <v>0.17845824384780587</v>
      </c>
      <c r="O129" s="60" t="s">
        <v>1176</v>
      </c>
      <c r="P129" s="60"/>
      <c r="Q129" s="62"/>
      <c r="R129" s="63"/>
      <c r="S129" s="399">
        <f>SUM(S130:S137)</f>
        <v>1.3361537940838015</v>
      </c>
      <c r="T129" s="61"/>
      <c r="U129" s="61"/>
      <c r="V129" s="61"/>
      <c r="W129" s="61"/>
      <c r="X129" s="61"/>
      <c r="Y129" s="399">
        <f>SUM(Y130:Y137)</f>
        <v>18.929180458206922</v>
      </c>
      <c r="Z129" s="64">
        <f>(C129+D129+I129+N129+S129+Y129)*$Z$5</f>
        <v>218.57295726073258</v>
      </c>
      <c r="AA129" s="65">
        <f>C129+D129+I129+N129+S129+Y129+Z129</f>
        <v>386.68172991870586</v>
      </c>
      <c r="AB129" s="66">
        <v>0.25</v>
      </c>
      <c r="AC129" s="244">
        <f>AA129*(1+AB129)</f>
        <v>483.35216239838235</v>
      </c>
      <c r="AD129" s="67"/>
      <c r="AI129" s="139"/>
      <c r="AJ129" s="140"/>
      <c r="AK129" s="141"/>
      <c r="AM129" s="142"/>
      <c r="AN129" s="143"/>
      <c r="AO129" s="142"/>
      <c r="AP129" s="139"/>
      <c r="AQ129" s="139"/>
      <c r="AR129" s="139"/>
      <c r="AS129" s="139"/>
      <c r="AT129" s="139"/>
      <c r="AU129" s="142"/>
      <c r="AV129" s="142"/>
      <c r="AW129" s="144"/>
      <c r="AX129" s="3"/>
      <c r="AY129" s="3"/>
      <c r="AZ129" s="3"/>
      <c r="BA129" s="3"/>
    </row>
    <row r="130" spans="1:53" x14ac:dyDescent="0.25">
      <c r="A130" s="1013"/>
      <c r="B130" s="50" t="s">
        <v>830</v>
      </c>
      <c r="C130" s="222"/>
      <c r="D130" s="733"/>
      <c r="E130" s="68" t="s">
        <v>1437</v>
      </c>
      <c r="F130" s="69" t="s">
        <v>1438</v>
      </c>
      <c r="G130" s="70">
        <v>0.3</v>
      </c>
      <c r="H130" s="69">
        <v>10</v>
      </c>
      <c r="I130" s="71">
        <f>G130*H130</f>
        <v>3</v>
      </c>
      <c r="J130" s="59" t="s">
        <v>1291</v>
      </c>
      <c r="K130" s="72">
        <v>2</v>
      </c>
      <c r="L130" s="73">
        <v>750</v>
      </c>
      <c r="M130" s="72">
        <v>2</v>
      </c>
      <c r="N130" s="399">
        <f>L130/'Исп. коэффициенты'!E34*C134</f>
        <v>0.15384331366190163</v>
      </c>
      <c r="O130" s="60" t="s">
        <v>2114</v>
      </c>
      <c r="P130" s="60">
        <v>2994195.8</v>
      </c>
      <c r="Q130" s="60">
        <v>19.670000000000002</v>
      </c>
      <c r="R130" s="60">
        <v>6513.87</v>
      </c>
      <c r="S130" s="739">
        <f>R130/'Исп. коэффициенты'!E34*+('КМУ УЗИ'!C134)</f>
        <v>1.3361537940838015</v>
      </c>
      <c r="T130" s="239" t="s">
        <v>1435</v>
      </c>
      <c r="U130" s="240">
        <v>6785401.3499999996</v>
      </c>
      <c r="V130" s="740">
        <f>'Исп. коэффициенты'!E124</f>
        <v>2978.5</v>
      </c>
      <c r="W130" s="241">
        <f>'Исп. коэффициенты'!D124</f>
        <v>1.3599999999999999E-2</v>
      </c>
      <c r="X130" s="61">
        <f>U130*W130</f>
        <v>92281.45835999999</v>
      </c>
      <c r="Y130" s="739">
        <f>X130/'Исп. коэффициенты'!E34*'КМУ УЗИ'!C134</f>
        <v>18.929180458206922</v>
      </c>
      <c r="Z130" s="60"/>
      <c r="AA130" s="1"/>
      <c r="AB130" s="1"/>
      <c r="AC130" s="1"/>
      <c r="AD130" s="56"/>
      <c r="AF130" s="151"/>
      <c r="AJ130" s="136"/>
      <c r="AX130" s="3"/>
      <c r="AY130" s="3"/>
      <c r="AZ130" s="3"/>
      <c r="BA130" s="3"/>
    </row>
    <row r="131" spans="1:53" x14ac:dyDescent="0.25">
      <c r="A131" s="1013"/>
      <c r="B131" s="74" t="s">
        <v>1178</v>
      </c>
      <c r="C131" s="223">
        <f>C111</f>
        <v>33.667709452234185</v>
      </c>
      <c r="D131" s="733"/>
      <c r="E131" s="68" t="s">
        <v>2112</v>
      </c>
      <c r="F131" s="69" t="s">
        <v>1</v>
      </c>
      <c r="G131" s="70">
        <v>0.47</v>
      </c>
      <c r="H131" s="69">
        <v>10</v>
      </c>
      <c r="I131" s="242">
        <f>G131*H131</f>
        <v>4.6999999999999993</v>
      </c>
      <c r="J131" s="59" t="s">
        <v>1445</v>
      </c>
      <c r="K131" s="61">
        <v>2</v>
      </c>
      <c r="L131" s="76">
        <v>95</v>
      </c>
      <c r="M131" s="72">
        <v>2</v>
      </c>
      <c r="N131" s="399">
        <f>L131/'Исп. коэффициенты'!E34*C134</f>
        <v>1.9486819730507539E-2</v>
      </c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1"/>
      <c r="AB131" s="1"/>
      <c r="AC131" s="1"/>
      <c r="AD131" s="56"/>
      <c r="AF131" s="151"/>
      <c r="AJ131" s="136"/>
      <c r="AM131" s="145"/>
      <c r="AX131" s="3"/>
      <c r="AY131" s="3"/>
      <c r="AZ131" s="3"/>
      <c r="BA131" s="3"/>
    </row>
    <row r="132" spans="1:53" x14ac:dyDescent="0.25">
      <c r="A132" s="1013"/>
      <c r="B132" s="57" t="s">
        <v>1179</v>
      </c>
      <c r="C132" s="222">
        <f>C112</f>
        <v>19.495759833054819</v>
      </c>
      <c r="D132" s="733"/>
      <c r="E132" s="68" t="s">
        <v>1598</v>
      </c>
      <c r="F132" s="69" t="s">
        <v>1441</v>
      </c>
      <c r="G132" s="70">
        <v>5.36</v>
      </c>
      <c r="H132" s="70">
        <v>1</v>
      </c>
      <c r="I132" s="71">
        <f>G132*H132</f>
        <v>5.36</v>
      </c>
      <c r="J132" s="59" t="s">
        <v>1513</v>
      </c>
      <c r="K132" s="61">
        <v>2</v>
      </c>
      <c r="L132" s="61">
        <v>25</v>
      </c>
      <c r="M132" s="72">
        <v>0.5</v>
      </c>
      <c r="N132" s="399">
        <f>L132/'Исп. коэффициенты'!E34*C134</f>
        <v>5.1281104553967212E-3</v>
      </c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1"/>
      <c r="AB132" s="1"/>
      <c r="AC132" s="1"/>
      <c r="AD132" s="56"/>
      <c r="AF132" s="151"/>
      <c r="AJ132" s="136"/>
      <c r="AX132" s="3"/>
      <c r="AY132" s="3"/>
      <c r="AZ132" s="3"/>
      <c r="BA132" s="3"/>
    </row>
    <row r="133" spans="1:53" x14ac:dyDescent="0.25">
      <c r="A133" s="1013"/>
      <c r="B133" s="57" t="s">
        <v>831</v>
      </c>
      <c r="C133" s="224"/>
      <c r="D133" s="733"/>
      <c r="E133" s="68" t="s">
        <v>2113</v>
      </c>
      <c r="F133" s="69" t="s">
        <v>1</v>
      </c>
      <c r="G133" s="70">
        <v>0.17</v>
      </c>
      <c r="H133" s="69">
        <v>40</v>
      </c>
      <c r="I133" s="71">
        <f>G133*H133</f>
        <v>6.8000000000000007</v>
      </c>
      <c r="J133" s="59"/>
      <c r="K133" s="61"/>
      <c r="L133" s="61"/>
      <c r="M133" s="61"/>
      <c r="N133" s="399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1"/>
      <c r="AB133" s="1"/>
      <c r="AC133" s="1"/>
      <c r="AD133" s="56"/>
      <c r="AF133" s="151"/>
      <c r="AJ133" s="136"/>
      <c r="AX133" s="3"/>
      <c r="AY133" s="3"/>
      <c r="AZ133" s="3"/>
      <c r="BA133" s="3"/>
    </row>
    <row r="134" spans="1:53" x14ac:dyDescent="0.25">
      <c r="A134" s="1013"/>
      <c r="B134" s="74" t="s">
        <v>1178</v>
      </c>
      <c r="C134" s="225">
        <v>2</v>
      </c>
      <c r="D134" s="733"/>
      <c r="E134" s="68"/>
      <c r="F134" s="69"/>
      <c r="G134" s="70"/>
      <c r="H134" s="69"/>
      <c r="I134" s="71"/>
      <c r="J134" s="59"/>
      <c r="K134" s="61"/>
      <c r="L134" s="61"/>
      <c r="M134" s="61"/>
      <c r="N134" s="61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1"/>
      <c r="AB134" s="1"/>
      <c r="AC134" s="1"/>
      <c r="AD134" s="56"/>
      <c r="AF134" s="151"/>
      <c r="AJ134" s="146"/>
      <c r="AX134" s="3"/>
      <c r="AY134" s="3"/>
      <c r="AZ134" s="3"/>
      <c r="BA134" s="3"/>
    </row>
    <row r="135" spans="1:53" x14ac:dyDescent="0.25">
      <c r="A135" s="1013"/>
      <c r="B135" s="57" t="s">
        <v>1179</v>
      </c>
      <c r="C135" s="225">
        <v>2</v>
      </c>
      <c r="D135" s="733"/>
      <c r="E135" s="68"/>
      <c r="F135" s="69"/>
      <c r="G135" s="70"/>
      <c r="H135" s="69"/>
      <c r="I135" s="71"/>
      <c r="J135" s="59"/>
      <c r="K135" s="61"/>
      <c r="L135" s="61"/>
      <c r="M135" s="61"/>
      <c r="N135" s="61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1"/>
      <c r="AB135" s="1"/>
      <c r="AC135" s="1"/>
      <c r="AD135" s="56"/>
      <c r="AF135" s="151"/>
      <c r="AJ135" s="146"/>
      <c r="AX135" s="3"/>
      <c r="AY135" s="3"/>
      <c r="AZ135" s="3"/>
      <c r="BA135" s="3"/>
    </row>
    <row r="136" spans="1:53" x14ac:dyDescent="0.25">
      <c r="A136" s="1013"/>
      <c r="B136" s="79" t="s">
        <v>1181</v>
      </c>
      <c r="C136" s="222">
        <f>C131*C134+C132*C135</f>
        <v>106.32693857057801</v>
      </c>
      <c r="D136" s="733"/>
      <c r="E136" s="228"/>
      <c r="F136" s="166"/>
      <c r="G136" s="70"/>
      <c r="H136" s="69"/>
      <c r="I136" s="71"/>
      <c r="J136" s="59"/>
      <c r="K136" s="170"/>
      <c r="L136" s="76"/>
      <c r="M136" s="72"/>
      <c r="N136" s="61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1"/>
      <c r="AB136" s="1"/>
      <c r="AC136" s="1"/>
      <c r="AD136" s="56"/>
      <c r="AF136" s="151"/>
      <c r="AJ136" s="136"/>
      <c r="AX136" s="3"/>
      <c r="AY136" s="3"/>
      <c r="AZ136" s="3"/>
      <c r="BA136" s="3"/>
    </row>
    <row r="137" spans="1:53" x14ac:dyDescent="0.25">
      <c r="A137" s="1014"/>
      <c r="B137" s="123"/>
      <c r="C137" s="225"/>
      <c r="D137" s="734"/>
      <c r="E137" s="228"/>
      <c r="F137" s="166"/>
      <c r="G137" s="70"/>
      <c r="H137" s="69"/>
      <c r="I137" s="71"/>
      <c r="J137" s="59"/>
      <c r="K137" s="170"/>
      <c r="L137" s="61"/>
      <c r="M137" s="72"/>
      <c r="N137" s="61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1"/>
      <c r="AB137" s="1"/>
      <c r="AC137" s="1"/>
      <c r="AD137" s="56"/>
      <c r="AF137" s="151"/>
      <c r="AJ137" s="146"/>
      <c r="AX137" s="3"/>
      <c r="AY137" s="3"/>
      <c r="AZ137" s="3"/>
      <c r="BA137" s="3"/>
    </row>
    <row r="138" spans="1:53" ht="56.25" customHeight="1" x14ac:dyDescent="0.25">
      <c r="A138" s="1012" t="s">
        <v>2139</v>
      </c>
      <c r="B138" s="258" t="s">
        <v>2140</v>
      </c>
      <c r="C138" s="222"/>
      <c r="D138" s="732"/>
      <c r="E138" s="226" t="s">
        <v>488</v>
      </c>
      <c r="F138" s="53" t="s">
        <v>837</v>
      </c>
      <c r="G138" s="735" t="s">
        <v>489</v>
      </c>
      <c r="H138" s="52" t="s">
        <v>1170</v>
      </c>
      <c r="I138" s="53" t="s">
        <v>838</v>
      </c>
      <c r="J138" s="47" t="s">
        <v>1171</v>
      </c>
      <c r="K138" s="47" t="s">
        <v>490</v>
      </c>
      <c r="L138" s="54" t="s">
        <v>489</v>
      </c>
      <c r="M138" s="47" t="s">
        <v>1172</v>
      </c>
      <c r="N138" s="53" t="s">
        <v>838</v>
      </c>
      <c r="O138" s="47" t="s">
        <v>1171</v>
      </c>
      <c r="P138" s="47" t="s">
        <v>826</v>
      </c>
      <c r="Q138" s="47" t="s">
        <v>1173</v>
      </c>
      <c r="R138" s="47" t="s">
        <v>1174</v>
      </c>
      <c r="S138" s="47" t="s">
        <v>839</v>
      </c>
      <c r="T138" s="47" t="s">
        <v>1171</v>
      </c>
      <c r="U138" s="47" t="s">
        <v>1392</v>
      </c>
      <c r="V138" s="47" t="s">
        <v>841</v>
      </c>
      <c r="W138" s="231" t="s">
        <v>1173</v>
      </c>
      <c r="X138" s="47" t="s">
        <v>1394</v>
      </c>
      <c r="Y138" s="47" t="s">
        <v>839</v>
      </c>
      <c r="Z138" s="55"/>
      <c r="AA138" s="1"/>
      <c r="AB138" s="1"/>
      <c r="AC138" s="245"/>
      <c r="AD138" s="56"/>
      <c r="AQ138" s="139"/>
      <c r="AR138" s="139"/>
      <c r="AS138" s="139"/>
      <c r="AX138" s="3"/>
      <c r="AY138" s="3"/>
      <c r="AZ138" s="3"/>
      <c r="BA138" s="3"/>
    </row>
    <row r="139" spans="1:53" ht="12.75" customHeight="1" x14ac:dyDescent="0.25">
      <c r="A139" s="1013"/>
      <c r="B139" s="36" t="s">
        <v>1175</v>
      </c>
      <c r="C139" s="222">
        <f>C146</f>
        <v>159.49040785586701</v>
      </c>
      <c r="D139" s="732">
        <f>C139*$D$5</f>
        <v>32.217062386885139</v>
      </c>
      <c r="E139" s="227" t="s">
        <v>1176</v>
      </c>
      <c r="F139" s="165"/>
      <c r="G139" s="58"/>
      <c r="H139" s="58"/>
      <c r="I139" s="2">
        <f>SUM(I140:I147)</f>
        <v>19.86</v>
      </c>
      <c r="J139" s="59" t="s">
        <v>1176</v>
      </c>
      <c r="K139" s="169"/>
      <c r="L139" s="60"/>
      <c r="M139" s="60"/>
      <c r="N139" s="399">
        <f>SUM(N140:N147)</f>
        <v>0.26768736577170882</v>
      </c>
      <c r="O139" s="60" t="s">
        <v>1176</v>
      </c>
      <c r="P139" s="60"/>
      <c r="Q139" s="62"/>
      <c r="R139" s="63"/>
      <c r="S139" s="399">
        <f>SUM(S140:S147)</f>
        <v>2.0042306911257022</v>
      </c>
      <c r="T139" s="61"/>
      <c r="U139" s="61"/>
      <c r="V139" s="61"/>
      <c r="W139" s="61"/>
      <c r="X139" s="61"/>
      <c r="Y139" s="399">
        <f>SUM(Y140:Y147)</f>
        <v>28.393770687310383</v>
      </c>
      <c r="Z139" s="64">
        <f>(C139+D139+I139+N139+S139+Y139)*$Z$5</f>
        <v>314.94857210164673</v>
      </c>
      <c r="AA139" s="65">
        <f>C139+D139+I139+N139+S139+Y139+Z139</f>
        <v>557.18173108860674</v>
      </c>
      <c r="AB139" s="66">
        <v>0.25</v>
      </c>
      <c r="AC139" s="244">
        <f>AA139*(1+AB139)</f>
        <v>696.47716386075842</v>
      </c>
      <c r="AD139" s="67"/>
      <c r="AI139" s="139"/>
      <c r="AJ139" s="140"/>
      <c r="AK139" s="141"/>
      <c r="AM139" s="142"/>
      <c r="AN139" s="143"/>
      <c r="AO139" s="142"/>
      <c r="AP139" s="139"/>
      <c r="AQ139" s="139"/>
      <c r="AR139" s="139"/>
      <c r="AS139" s="139"/>
      <c r="AT139" s="139"/>
      <c r="AU139" s="142"/>
      <c r="AV139" s="142"/>
      <c r="AW139" s="144"/>
      <c r="AX139" s="3"/>
      <c r="AY139" s="3"/>
      <c r="AZ139" s="3"/>
      <c r="BA139" s="3"/>
    </row>
    <row r="140" spans="1:53" x14ac:dyDescent="0.25">
      <c r="A140" s="1013"/>
      <c r="B140" s="50" t="s">
        <v>830</v>
      </c>
      <c r="C140" s="222"/>
      <c r="D140" s="733"/>
      <c r="E140" s="68" t="s">
        <v>1437</v>
      </c>
      <c r="F140" s="69" t="s">
        <v>1438</v>
      </c>
      <c r="G140" s="70">
        <v>0.3</v>
      </c>
      <c r="H140" s="69">
        <v>10</v>
      </c>
      <c r="I140" s="71">
        <f>G140*H140</f>
        <v>3</v>
      </c>
      <c r="J140" s="59" t="s">
        <v>1291</v>
      </c>
      <c r="K140" s="72">
        <v>2</v>
      </c>
      <c r="L140" s="73">
        <v>750</v>
      </c>
      <c r="M140" s="72">
        <v>2</v>
      </c>
      <c r="N140" s="399">
        <f>L140/'Исп. коэффициенты'!E34*C144</f>
        <v>0.23076497049285244</v>
      </c>
      <c r="O140" s="60" t="s">
        <v>2114</v>
      </c>
      <c r="P140" s="60">
        <v>2994195.8</v>
      </c>
      <c r="Q140" s="60">
        <v>19.670000000000002</v>
      </c>
      <c r="R140" s="60">
        <v>6513.87</v>
      </c>
      <c r="S140" s="739">
        <f>R140/'Исп. коэффициенты'!E34*+('КМУ УЗИ'!C144)</f>
        <v>2.0042306911257022</v>
      </c>
      <c r="T140" s="239" t="s">
        <v>1435</v>
      </c>
      <c r="U140" s="240">
        <v>6785401.3499999996</v>
      </c>
      <c r="V140" s="740">
        <f>'Исп. коэффициенты'!E124</f>
        <v>2978.5</v>
      </c>
      <c r="W140" s="241">
        <f>'Исп. коэффициенты'!D124</f>
        <v>1.3599999999999999E-2</v>
      </c>
      <c r="X140" s="61">
        <f>U140*W140</f>
        <v>92281.45835999999</v>
      </c>
      <c r="Y140" s="739">
        <f>X140/'Исп. коэффициенты'!E34*'КМУ УЗИ'!C144</f>
        <v>28.393770687310383</v>
      </c>
      <c r="Z140" s="60"/>
      <c r="AA140" s="1"/>
      <c r="AB140" s="1"/>
      <c r="AC140" s="1"/>
      <c r="AD140" s="56"/>
      <c r="AF140" s="151"/>
      <c r="AJ140" s="136"/>
      <c r="AX140" s="3"/>
      <c r="AY140" s="3"/>
      <c r="AZ140" s="3"/>
      <c r="BA140" s="3"/>
    </row>
    <row r="141" spans="1:53" x14ac:dyDescent="0.25">
      <c r="A141" s="1013"/>
      <c r="B141" s="74" t="s">
        <v>1178</v>
      </c>
      <c r="C141" s="223">
        <f>C121</f>
        <v>33.667709452234185</v>
      </c>
      <c r="D141" s="733"/>
      <c r="E141" s="68" t="s">
        <v>2112</v>
      </c>
      <c r="F141" s="69" t="s">
        <v>1</v>
      </c>
      <c r="G141" s="70">
        <v>0.47</v>
      </c>
      <c r="H141" s="69">
        <v>10</v>
      </c>
      <c r="I141" s="242">
        <f>G141*H141</f>
        <v>4.6999999999999993</v>
      </c>
      <c r="J141" s="59" t="s">
        <v>1445</v>
      </c>
      <c r="K141" s="61">
        <v>2</v>
      </c>
      <c r="L141" s="76">
        <v>95</v>
      </c>
      <c r="M141" s="72">
        <v>2</v>
      </c>
      <c r="N141" s="399">
        <f>L141/'Исп. коэффициенты'!E34*C144</f>
        <v>2.9230229595761308E-2</v>
      </c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1"/>
      <c r="AB141" s="1"/>
      <c r="AC141" s="1"/>
      <c r="AD141" s="56"/>
      <c r="AF141" s="151"/>
      <c r="AJ141" s="136"/>
      <c r="AM141" s="145"/>
      <c r="AX141" s="3"/>
      <c r="AY141" s="3"/>
      <c r="AZ141" s="3"/>
      <c r="BA141" s="3"/>
    </row>
    <row r="142" spans="1:53" x14ac:dyDescent="0.25">
      <c r="A142" s="1013"/>
      <c r="B142" s="57" t="s">
        <v>1179</v>
      </c>
      <c r="C142" s="222">
        <f>C122</f>
        <v>19.495759833054819</v>
      </c>
      <c r="D142" s="733"/>
      <c r="E142" s="68" t="s">
        <v>1598</v>
      </c>
      <c r="F142" s="69" t="s">
        <v>1441</v>
      </c>
      <c r="G142" s="70">
        <v>5.36</v>
      </c>
      <c r="H142" s="70">
        <v>1</v>
      </c>
      <c r="I142" s="71">
        <f>G142*H142</f>
        <v>5.36</v>
      </c>
      <c r="J142" s="59" t="s">
        <v>1513</v>
      </c>
      <c r="K142" s="61">
        <v>2</v>
      </c>
      <c r="L142" s="61">
        <v>25</v>
      </c>
      <c r="M142" s="72">
        <v>0.5</v>
      </c>
      <c r="N142" s="399">
        <f>L142/'Исп. коэффициенты'!E34*C144</f>
        <v>7.6921656830950813E-3</v>
      </c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1"/>
      <c r="AB142" s="1"/>
      <c r="AC142" s="1"/>
      <c r="AD142" s="56"/>
      <c r="AF142" s="151"/>
      <c r="AJ142" s="136"/>
      <c r="AX142" s="3"/>
      <c r="AY142" s="3"/>
      <c r="AZ142" s="3"/>
      <c r="BA142" s="3"/>
    </row>
    <row r="143" spans="1:53" x14ac:dyDescent="0.25">
      <c r="A143" s="1013"/>
      <c r="B143" s="57" t="s">
        <v>831</v>
      </c>
      <c r="C143" s="224"/>
      <c r="D143" s="733"/>
      <c r="E143" s="68" t="s">
        <v>2113</v>
      </c>
      <c r="F143" s="69" t="s">
        <v>1</v>
      </c>
      <c r="G143" s="70">
        <v>0.17</v>
      </c>
      <c r="H143" s="69">
        <v>40</v>
      </c>
      <c r="I143" s="71">
        <f>G143*H143</f>
        <v>6.8000000000000007</v>
      </c>
      <c r="J143" s="59"/>
      <c r="K143" s="61"/>
      <c r="L143" s="61"/>
      <c r="M143" s="61"/>
      <c r="N143" s="61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1"/>
      <c r="AB143" s="1"/>
      <c r="AC143" s="1"/>
      <c r="AD143" s="56"/>
      <c r="AF143" s="151"/>
      <c r="AJ143" s="136"/>
      <c r="AX143" s="3"/>
      <c r="AY143" s="3"/>
      <c r="AZ143" s="3"/>
      <c r="BA143" s="3"/>
    </row>
    <row r="144" spans="1:53" x14ac:dyDescent="0.25">
      <c r="A144" s="1013"/>
      <c r="B144" s="74" t="s">
        <v>1178</v>
      </c>
      <c r="C144" s="225">
        <v>3</v>
      </c>
      <c r="D144" s="733"/>
      <c r="E144" s="68"/>
      <c r="F144" s="69"/>
      <c r="G144" s="70"/>
      <c r="H144" s="69"/>
      <c r="I144" s="71"/>
      <c r="J144" s="59"/>
      <c r="K144" s="61"/>
      <c r="L144" s="61"/>
      <c r="M144" s="61"/>
      <c r="N144" s="61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1"/>
      <c r="AB144" s="1"/>
      <c r="AC144" s="1"/>
      <c r="AD144" s="56"/>
      <c r="AF144" s="151"/>
      <c r="AJ144" s="146"/>
      <c r="AX144" s="3"/>
      <c r="AY144" s="3"/>
      <c r="AZ144" s="3"/>
      <c r="BA144" s="3"/>
    </row>
    <row r="145" spans="1:53" x14ac:dyDescent="0.25">
      <c r="A145" s="1013"/>
      <c r="B145" s="57" t="s">
        <v>1179</v>
      </c>
      <c r="C145" s="225">
        <v>3</v>
      </c>
      <c r="D145" s="733"/>
      <c r="E145" s="68"/>
      <c r="F145" s="69"/>
      <c r="G145" s="70"/>
      <c r="H145" s="69"/>
      <c r="I145" s="71"/>
      <c r="J145" s="59"/>
      <c r="K145" s="61"/>
      <c r="L145" s="61"/>
      <c r="M145" s="61"/>
      <c r="N145" s="61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1"/>
      <c r="AB145" s="1"/>
      <c r="AC145" s="1"/>
      <c r="AD145" s="56"/>
      <c r="AF145" s="151"/>
      <c r="AJ145" s="146"/>
      <c r="AX145" s="3"/>
      <c r="AY145" s="3"/>
      <c r="AZ145" s="3"/>
      <c r="BA145" s="3"/>
    </row>
    <row r="146" spans="1:53" x14ac:dyDescent="0.25">
      <c r="A146" s="1013"/>
      <c r="B146" s="79" t="s">
        <v>1181</v>
      </c>
      <c r="C146" s="222">
        <f>C141*C144+C142*C145</f>
        <v>159.49040785586701</v>
      </c>
      <c r="D146" s="733"/>
      <c r="E146" s="228"/>
      <c r="F146" s="166"/>
      <c r="G146" s="70"/>
      <c r="H146" s="69"/>
      <c r="I146" s="71"/>
      <c r="J146" s="59"/>
      <c r="K146" s="170"/>
      <c r="L146" s="76"/>
      <c r="M146" s="72"/>
      <c r="N146" s="61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1"/>
      <c r="AB146" s="1"/>
      <c r="AC146" s="1"/>
      <c r="AD146" s="56"/>
      <c r="AF146" s="151"/>
      <c r="AJ146" s="136"/>
      <c r="AX146" s="3"/>
      <c r="AY146" s="3"/>
      <c r="AZ146" s="3"/>
      <c r="BA146" s="3"/>
    </row>
    <row r="147" spans="1:53" x14ac:dyDescent="0.25">
      <c r="A147" s="1014"/>
      <c r="B147" s="123"/>
      <c r="C147" s="225"/>
      <c r="D147" s="734"/>
      <c r="E147" s="228"/>
      <c r="F147" s="166"/>
      <c r="G147" s="70"/>
      <c r="H147" s="69"/>
      <c r="I147" s="71"/>
      <c r="J147" s="59"/>
      <c r="K147" s="170"/>
      <c r="L147" s="61"/>
      <c r="M147" s="72"/>
      <c r="N147" s="61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1"/>
      <c r="AB147" s="1"/>
      <c r="AC147" s="1"/>
      <c r="AD147" s="56"/>
      <c r="AF147" s="151"/>
      <c r="AJ147" s="146"/>
      <c r="AX147" s="3"/>
      <c r="AY147" s="3"/>
      <c r="AZ147" s="3"/>
      <c r="BA147" s="3"/>
    </row>
    <row r="148" spans="1:53" ht="56.25" customHeight="1" x14ac:dyDescent="0.25">
      <c r="A148" s="1012" t="s">
        <v>2141</v>
      </c>
      <c r="B148" s="258" t="s">
        <v>2142</v>
      </c>
      <c r="C148" s="222"/>
      <c r="D148" s="732"/>
      <c r="E148" s="226" t="s">
        <v>488</v>
      </c>
      <c r="F148" s="53" t="s">
        <v>837</v>
      </c>
      <c r="G148" s="735" t="s">
        <v>489</v>
      </c>
      <c r="H148" s="52" t="s">
        <v>1170</v>
      </c>
      <c r="I148" s="53" t="s">
        <v>838</v>
      </c>
      <c r="J148" s="47" t="s">
        <v>1171</v>
      </c>
      <c r="K148" s="47" t="s">
        <v>490</v>
      </c>
      <c r="L148" s="54" t="s">
        <v>489</v>
      </c>
      <c r="M148" s="47" t="s">
        <v>1172</v>
      </c>
      <c r="N148" s="53" t="s">
        <v>838</v>
      </c>
      <c r="O148" s="47" t="s">
        <v>1171</v>
      </c>
      <c r="P148" s="47" t="s">
        <v>826</v>
      </c>
      <c r="Q148" s="47" t="s">
        <v>1173</v>
      </c>
      <c r="R148" s="47" t="s">
        <v>1174</v>
      </c>
      <c r="S148" s="47" t="s">
        <v>839</v>
      </c>
      <c r="T148" s="47" t="s">
        <v>1171</v>
      </c>
      <c r="U148" s="47" t="s">
        <v>1392</v>
      </c>
      <c r="V148" s="47" t="s">
        <v>841</v>
      </c>
      <c r="W148" s="231" t="s">
        <v>1173</v>
      </c>
      <c r="X148" s="47" t="s">
        <v>1394</v>
      </c>
      <c r="Y148" s="47" t="s">
        <v>839</v>
      </c>
      <c r="Z148" s="55"/>
      <c r="AA148" s="1"/>
      <c r="AB148" s="1"/>
      <c r="AC148" s="245"/>
      <c r="AD148" s="56"/>
      <c r="AQ148" s="139"/>
      <c r="AR148" s="139"/>
      <c r="AS148" s="139"/>
      <c r="AX148" s="3"/>
      <c r="AY148" s="3"/>
      <c r="AZ148" s="3"/>
      <c r="BA148" s="3"/>
    </row>
    <row r="149" spans="1:53" ht="12.75" customHeight="1" x14ac:dyDescent="0.25">
      <c r="A149" s="1013"/>
      <c r="B149" s="36" t="s">
        <v>1175</v>
      </c>
      <c r="C149" s="222">
        <f>C156</f>
        <v>106.32693857057801</v>
      </c>
      <c r="D149" s="732">
        <f>C149*$D$5</f>
        <v>21.478041591256758</v>
      </c>
      <c r="E149" s="227" t="s">
        <v>1176</v>
      </c>
      <c r="F149" s="165"/>
      <c r="G149" s="58"/>
      <c r="H149" s="58"/>
      <c r="I149" s="2">
        <f>SUM(I150:I157)</f>
        <v>19.86</v>
      </c>
      <c r="J149" s="59" t="s">
        <v>1176</v>
      </c>
      <c r="K149" s="169"/>
      <c r="L149" s="60"/>
      <c r="M149" s="60"/>
      <c r="N149" s="399">
        <f>SUM(N150:N157)</f>
        <v>0.17845824384780587</v>
      </c>
      <c r="O149" s="60" t="s">
        <v>1176</v>
      </c>
      <c r="P149" s="60"/>
      <c r="Q149" s="62"/>
      <c r="R149" s="63"/>
      <c r="S149" s="399">
        <f>SUM(S150:S157)</f>
        <v>1.3361537940838015</v>
      </c>
      <c r="T149" s="61"/>
      <c r="U149" s="61"/>
      <c r="V149" s="61"/>
      <c r="W149" s="61"/>
      <c r="X149" s="61"/>
      <c r="Y149" s="399">
        <f>SUM(Y150:Y157)</f>
        <v>18.929180458206922</v>
      </c>
      <c r="Z149" s="64">
        <f>(C149+D149+I149+N149+S149+Y149)*$Z$5</f>
        <v>218.57295726073258</v>
      </c>
      <c r="AA149" s="65">
        <f>C149+D149+I149+N149+S149+Y149+Z149</f>
        <v>386.68172991870586</v>
      </c>
      <c r="AB149" s="66">
        <v>0.25</v>
      </c>
      <c r="AC149" s="244">
        <f>AA149*(1+AB149)</f>
        <v>483.35216239838235</v>
      </c>
      <c r="AD149" s="67"/>
      <c r="AI149" s="139"/>
      <c r="AJ149" s="140"/>
      <c r="AK149" s="141"/>
      <c r="AM149" s="142"/>
      <c r="AN149" s="143"/>
      <c r="AO149" s="142"/>
      <c r="AP149" s="139"/>
      <c r="AQ149" s="139"/>
      <c r="AR149" s="139"/>
      <c r="AS149" s="139"/>
      <c r="AT149" s="139"/>
      <c r="AU149" s="142"/>
      <c r="AV149" s="142"/>
      <c r="AW149" s="144"/>
      <c r="AX149" s="3"/>
      <c r="AY149" s="3"/>
      <c r="AZ149" s="3"/>
      <c r="BA149" s="3"/>
    </row>
    <row r="150" spans="1:53" x14ac:dyDescent="0.25">
      <c r="A150" s="1013"/>
      <c r="B150" s="50" t="s">
        <v>830</v>
      </c>
      <c r="C150" s="222"/>
      <c r="D150" s="733"/>
      <c r="E150" s="68" t="s">
        <v>1437</v>
      </c>
      <c r="F150" s="69" t="s">
        <v>1438</v>
      </c>
      <c r="G150" s="70">
        <v>0.3</v>
      </c>
      <c r="H150" s="69">
        <v>10</v>
      </c>
      <c r="I150" s="71">
        <f>G150*H150</f>
        <v>3</v>
      </c>
      <c r="J150" s="59" t="s">
        <v>1291</v>
      </c>
      <c r="K150" s="72">
        <v>2</v>
      </c>
      <c r="L150" s="73">
        <v>750</v>
      </c>
      <c r="M150" s="72">
        <v>2</v>
      </c>
      <c r="N150" s="399">
        <f>L150/'Исп. коэффициенты'!E34*C154</f>
        <v>0.15384331366190163</v>
      </c>
      <c r="O150" s="60" t="s">
        <v>2114</v>
      </c>
      <c r="P150" s="60">
        <v>2994195.8</v>
      </c>
      <c r="Q150" s="60">
        <v>19.670000000000002</v>
      </c>
      <c r="R150" s="60">
        <v>6513.87</v>
      </c>
      <c r="S150" s="739">
        <f>R150/'Исп. коэффициенты'!E34*+('КМУ УЗИ'!C154)</f>
        <v>1.3361537940838015</v>
      </c>
      <c r="T150" s="239" t="s">
        <v>1435</v>
      </c>
      <c r="U150" s="240">
        <v>6785401.3499999996</v>
      </c>
      <c r="V150" s="740">
        <f>'Исп. коэффициенты'!E124</f>
        <v>2978.5</v>
      </c>
      <c r="W150" s="241">
        <f>'Исп. коэффициенты'!D124</f>
        <v>1.3599999999999999E-2</v>
      </c>
      <c r="X150" s="61">
        <f>U150*W150</f>
        <v>92281.45835999999</v>
      </c>
      <c r="Y150" s="739">
        <f>X150/'Исп. коэффициенты'!E34*'КМУ УЗИ'!C154</f>
        <v>18.929180458206922</v>
      </c>
      <c r="Z150" s="60"/>
      <c r="AA150" s="1"/>
      <c r="AB150" s="1"/>
      <c r="AC150" s="1"/>
      <c r="AD150" s="56"/>
      <c r="AF150" s="151"/>
      <c r="AJ150" s="136"/>
      <c r="AX150" s="3"/>
      <c r="AY150" s="3"/>
      <c r="AZ150" s="3"/>
      <c r="BA150" s="3"/>
    </row>
    <row r="151" spans="1:53" x14ac:dyDescent="0.25">
      <c r="A151" s="1013"/>
      <c r="B151" s="74" t="s">
        <v>1178</v>
      </c>
      <c r="C151" s="223">
        <f>C131</f>
        <v>33.667709452234185</v>
      </c>
      <c r="D151" s="733"/>
      <c r="E151" s="68" t="s">
        <v>2112</v>
      </c>
      <c r="F151" s="69" t="s">
        <v>1</v>
      </c>
      <c r="G151" s="70">
        <v>0.47</v>
      </c>
      <c r="H151" s="69">
        <v>10</v>
      </c>
      <c r="I151" s="242">
        <f>G151*H151</f>
        <v>4.6999999999999993</v>
      </c>
      <c r="J151" s="59" t="s">
        <v>1445</v>
      </c>
      <c r="K151" s="61">
        <v>2</v>
      </c>
      <c r="L151" s="76">
        <v>95</v>
      </c>
      <c r="M151" s="72">
        <v>2</v>
      </c>
      <c r="N151" s="399">
        <f>L151/'Исп. коэффициенты'!E34*C154</f>
        <v>1.9486819730507539E-2</v>
      </c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1"/>
      <c r="AB151" s="1"/>
      <c r="AC151" s="1"/>
      <c r="AD151" s="56"/>
      <c r="AF151" s="151"/>
      <c r="AJ151" s="136"/>
      <c r="AM151" s="145"/>
      <c r="AX151" s="3"/>
      <c r="AY151" s="3"/>
      <c r="AZ151" s="3"/>
      <c r="BA151" s="3"/>
    </row>
    <row r="152" spans="1:53" x14ac:dyDescent="0.25">
      <c r="A152" s="1013"/>
      <c r="B152" s="57" t="s">
        <v>1179</v>
      </c>
      <c r="C152" s="222">
        <f>C132</f>
        <v>19.495759833054819</v>
      </c>
      <c r="D152" s="733"/>
      <c r="E152" s="68" t="s">
        <v>1598</v>
      </c>
      <c r="F152" s="69" t="s">
        <v>1441</v>
      </c>
      <c r="G152" s="70">
        <v>5.36</v>
      </c>
      <c r="H152" s="70">
        <v>1</v>
      </c>
      <c r="I152" s="71">
        <f>G152*H152</f>
        <v>5.36</v>
      </c>
      <c r="J152" s="59" t="s">
        <v>1513</v>
      </c>
      <c r="K152" s="61">
        <v>2</v>
      </c>
      <c r="L152" s="61">
        <v>25</v>
      </c>
      <c r="M152" s="72">
        <v>0.5</v>
      </c>
      <c r="N152" s="399">
        <f>L152/'Исп. коэффициенты'!E34*C154</f>
        <v>5.1281104553967212E-3</v>
      </c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1"/>
      <c r="AB152" s="1"/>
      <c r="AC152" s="1"/>
      <c r="AD152" s="56"/>
      <c r="AF152" s="151"/>
      <c r="AJ152" s="136"/>
      <c r="AX152" s="3"/>
      <c r="AY152" s="3"/>
      <c r="AZ152" s="3"/>
      <c r="BA152" s="3"/>
    </row>
    <row r="153" spans="1:53" x14ac:dyDescent="0.25">
      <c r="A153" s="1013"/>
      <c r="B153" s="57" t="s">
        <v>831</v>
      </c>
      <c r="C153" s="224"/>
      <c r="D153" s="733"/>
      <c r="E153" s="68" t="s">
        <v>2113</v>
      </c>
      <c r="F153" s="69" t="s">
        <v>1</v>
      </c>
      <c r="G153" s="70">
        <v>0.17</v>
      </c>
      <c r="H153" s="69">
        <v>40</v>
      </c>
      <c r="I153" s="71">
        <f>G153*H153</f>
        <v>6.8000000000000007</v>
      </c>
      <c r="J153" s="59"/>
      <c r="K153" s="61"/>
      <c r="L153" s="61"/>
      <c r="M153" s="61"/>
      <c r="N153" s="61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1"/>
      <c r="AB153" s="1"/>
      <c r="AC153" s="1"/>
      <c r="AD153" s="56"/>
      <c r="AF153" s="151"/>
      <c r="AJ153" s="136"/>
      <c r="AX153" s="3"/>
      <c r="AY153" s="3"/>
      <c r="AZ153" s="3"/>
      <c r="BA153" s="3"/>
    </row>
    <row r="154" spans="1:53" x14ac:dyDescent="0.25">
      <c r="A154" s="1013"/>
      <c r="B154" s="74" t="s">
        <v>1178</v>
      </c>
      <c r="C154" s="225">
        <v>2</v>
      </c>
      <c r="D154" s="733"/>
      <c r="E154" s="68"/>
      <c r="F154" s="69"/>
      <c r="G154" s="70"/>
      <c r="H154" s="69"/>
      <c r="I154" s="71"/>
      <c r="J154" s="59"/>
      <c r="K154" s="61"/>
      <c r="L154" s="61"/>
      <c r="M154" s="61"/>
      <c r="N154" s="61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1"/>
      <c r="AB154" s="1"/>
      <c r="AC154" s="1"/>
      <c r="AD154" s="56"/>
      <c r="AF154" s="151"/>
      <c r="AJ154" s="146"/>
      <c r="AX154" s="3"/>
      <c r="AY154" s="3"/>
      <c r="AZ154" s="3"/>
      <c r="BA154" s="3"/>
    </row>
    <row r="155" spans="1:53" x14ac:dyDescent="0.25">
      <c r="A155" s="1013"/>
      <c r="B155" s="57" t="s">
        <v>1179</v>
      </c>
      <c r="C155" s="225">
        <v>2</v>
      </c>
      <c r="D155" s="733"/>
      <c r="E155" s="68"/>
      <c r="F155" s="69"/>
      <c r="G155" s="70"/>
      <c r="H155" s="69"/>
      <c r="I155" s="71"/>
      <c r="J155" s="59"/>
      <c r="K155" s="61"/>
      <c r="L155" s="61"/>
      <c r="M155" s="61"/>
      <c r="N155" s="61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1"/>
      <c r="AB155" s="1"/>
      <c r="AC155" s="1"/>
      <c r="AD155" s="56"/>
      <c r="AF155" s="151"/>
      <c r="AJ155" s="146"/>
      <c r="AX155" s="3"/>
      <c r="AY155" s="3"/>
      <c r="AZ155" s="3"/>
      <c r="BA155" s="3"/>
    </row>
    <row r="156" spans="1:53" x14ac:dyDescent="0.25">
      <c r="A156" s="1013"/>
      <c r="B156" s="79" t="s">
        <v>1181</v>
      </c>
      <c r="C156" s="222">
        <f>C151*C154+C152*C155</f>
        <v>106.32693857057801</v>
      </c>
      <c r="D156" s="733"/>
      <c r="E156" s="228"/>
      <c r="F156" s="166"/>
      <c r="G156" s="70"/>
      <c r="H156" s="69"/>
      <c r="I156" s="71"/>
      <c r="J156" s="59"/>
      <c r="K156" s="170"/>
      <c r="L156" s="76"/>
      <c r="M156" s="72"/>
      <c r="N156" s="61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1"/>
      <c r="AB156" s="1"/>
      <c r="AC156" s="1"/>
      <c r="AD156" s="56"/>
      <c r="AF156" s="151"/>
      <c r="AJ156" s="136"/>
      <c r="AX156" s="3"/>
      <c r="AY156" s="3"/>
      <c r="AZ156" s="3"/>
      <c r="BA156" s="3"/>
    </row>
    <row r="157" spans="1:53" x14ac:dyDescent="0.25">
      <c r="A157" s="1014"/>
      <c r="B157" s="123"/>
      <c r="C157" s="225"/>
      <c r="D157" s="734"/>
      <c r="E157" s="228"/>
      <c r="F157" s="166"/>
      <c r="G157" s="70"/>
      <c r="H157" s="69"/>
      <c r="I157" s="71"/>
      <c r="J157" s="59"/>
      <c r="K157" s="170"/>
      <c r="L157" s="61"/>
      <c r="M157" s="72"/>
      <c r="N157" s="61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1"/>
      <c r="AB157" s="1"/>
      <c r="AC157" s="1"/>
      <c r="AD157" s="56"/>
      <c r="AF157" s="151"/>
      <c r="AJ157" s="146"/>
      <c r="AX157" s="3"/>
      <c r="AY157" s="3"/>
      <c r="AZ157" s="3"/>
      <c r="BA157" s="3"/>
    </row>
    <row r="158" spans="1:53" ht="56.25" customHeight="1" x14ac:dyDescent="0.25">
      <c r="A158" s="1012" t="s">
        <v>2143</v>
      </c>
      <c r="B158" s="258" t="s">
        <v>2144</v>
      </c>
      <c r="C158" s="222"/>
      <c r="D158" s="732"/>
      <c r="E158" s="226" t="s">
        <v>488</v>
      </c>
      <c r="F158" s="53" t="s">
        <v>837</v>
      </c>
      <c r="G158" s="735" t="s">
        <v>489</v>
      </c>
      <c r="H158" s="52" t="s">
        <v>1170</v>
      </c>
      <c r="I158" s="53" t="s">
        <v>838</v>
      </c>
      <c r="J158" s="47" t="s">
        <v>1171</v>
      </c>
      <c r="K158" s="47" t="s">
        <v>490</v>
      </c>
      <c r="L158" s="54" t="s">
        <v>489</v>
      </c>
      <c r="M158" s="47" t="s">
        <v>1172</v>
      </c>
      <c r="N158" s="53" t="s">
        <v>838</v>
      </c>
      <c r="O158" s="47" t="s">
        <v>1171</v>
      </c>
      <c r="P158" s="47" t="s">
        <v>826</v>
      </c>
      <c r="Q158" s="47" t="s">
        <v>1173</v>
      </c>
      <c r="R158" s="47" t="s">
        <v>1174</v>
      </c>
      <c r="S158" s="47" t="s">
        <v>839</v>
      </c>
      <c r="T158" s="47" t="s">
        <v>1171</v>
      </c>
      <c r="U158" s="47" t="s">
        <v>1392</v>
      </c>
      <c r="V158" s="47" t="s">
        <v>841</v>
      </c>
      <c r="W158" s="231" t="s">
        <v>1173</v>
      </c>
      <c r="X158" s="47" t="s">
        <v>1394</v>
      </c>
      <c r="Y158" s="47" t="s">
        <v>839</v>
      </c>
      <c r="Z158" s="55"/>
      <c r="AA158" s="1"/>
      <c r="AB158" s="1"/>
      <c r="AC158" s="245"/>
      <c r="AD158" s="56"/>
      <c r="AQ158" s="139"/>
      <c r="AR158" s="139"/>
      <c r="AS158" s="139"/>
      <c r="AX158" s="3"/>
      <c r="AY158" s="3"/>
      <c r="AZ158" s="3"/>
      <c r="BA158" s="3"/>
    </row>
    <row r="159" spans="1:53" ht="12.75" customHeight="1" x14ac:dyDescent="0.25">
      <c r="A159" s="1013"/>
      <c r="B159" s="36" t="s">
        <v>1175</v>
      </c>
      <c r="C159" s="222">
        <f>C166</f>
        <v>106.32693857057801</v>
      </c>
      <c r="D159" s="732">
        <f>C159*$D$5</f>
        <v>21.478041591256758</v>
      </c>
      <c r="E159" s="227" t="s">
        <v>1176</v>
      </c>
      <c r="F159" s="165"/>
      <c r="G159" s="58"/>
      <c r="H159" s="58"/>
      <c r="I159" s="2">
        <f>SUM(I160:I167)</f>
        <v>19.86</v>
      </c>
      <c r="J159" s="59" t="s">
        <v>1176</v>
      </c>
      <c r="K159" s="169"/>
      <c r="L159" s="60"/>
      <c r="M159" s="60"/>
      <c r="N159" s="399">
        <f>SUM(N160:N167)</f>
        <v>0.17845824384780587</v>
      </c>
      <c r="O159" s="60" t="s">
        <v>1176</v>
      </c>
      <c r="P159" s="60"/>
      <c r="Q159" s="62"/>
      <c r="R159" s="63"/>
      <c r="S159" s="399">
        <f>SUM(S160:S167)</f>
        <v>1.3361537940838015</v>
      </c>
      <c r="T159" s="61"/>
      <c r="U159" s="61"/>
      <c r="V159" s="61"/>
      <c r="W159" s="61"/>
      <c r="X159" s="61"/>
      <c r="Y159" s="399">
        <f>SUM(Y160:Y167)</f>
        <v>18.929180458206922</v>
      </c>
      <c r="Z159" s="64">
        <f>(C159+D159+I159+N159+S159+Y159)*$Z$5</f>
        <v>218.57295726073258</v>
      </c>
      <c r="AA159" s="65">
        <f>C159+D159+I159+N159+S159+Y159+Z159</f>
        <v>386.68172991870586</v>
      </c>
      <c r="AB159" s="66">
        <v>0.25</v>
      </c>
      <c r="AC159" s="244">
        <f>AA159*(1+AB159)</f>
        <v>483.35216239838235</v>
      </c>
      <c r="AD159" s="67"/>
      <c r="AI159" s="139"/>
      <c r="AJ159" s="140"/>
      <c r="AK159" s="141"/>
      <c r="AM159" s="142"/>
      <c r="AN159" s="143"/>
      <c r="AO159" s="142"/>
      <c r="AP159" s="139"/>
      <c r="AQ159" s="139"/>
      <c r="AR159" s="139"/>
      <c r="AS159" s="139"/>
      <c r="AT159" s="139"/>
      <c r="AU159" s="142"/>
      <c r="AV159" s="142"/>
      <c r="AW159" s="144"/>
      <c r="AX159" s="3"/>
      <c r="AY159" s="3"/>
      <c r="AZ159" s="3"/>
      <c r="BA159" s="3"/>
    </row>
    <row r="160" spans="1:53" x14ac:dyDescent="0.25">
      <c r="A160" s="1013"/>
      <c r="B160" s="50" t="s">
        <v>830</v>
      </c>
      <c r="C160" s="222"/>
      <c r="D160" s="733"/>
      <c r="E160" s="68" t="s">
        <v>1437</v>
      </c>
      <c r="F160" s="69" t="s">
        <v>1438</v>
      </c>
      <c r="G160" s="70">
        <v>0.3</v>
      </c>
      <c r="H160" s="69">
        <v>10</v>
      </c>
      <c r="I160" s="71">
        <f>G160*H160</f>
        <v>3</v>
      </c>
      <c r="J160" s="59" t="s">
        <v>1291</v>
      </c>
      <c r="K160" s="72">
        <v>2</v>
      </c>
      <c r="L160" s="73">
        <v>750</v>
      </c>
      <c r="M160" s="72">
        <v>2</v>
      </c>
      <c r="N160" s="399">
        <f>L160/'Исп. коэффициенты'!E34*C164</f>
        <v>0.15384331366190163</v>
      </c>
      <c r="O160" s="60" t="s">
        <v>2114</v>
      </c>
      <c r="P160" s="60">
        <v>2994195.8</v>
      </c>
      <c r="Q160" s="60">
        <v>19.670000000000002</v>
      </c>
      <c r="R160" s="60">
        <v>6513.87</v>
      </c>
      <c r="S160" s="739">
        <f>R160/'Исп. коэффициенты'!E34*+('КМУ УЗИ'!C164)</f>
        <v>1.3361537940838015</v>
      </c>
      <c r="T160" s="239" t="s">
        <v>1435</v>
      </c>
      <c r="U160" s="240">
        <v>6785401.3499999996</v>
      </c>
      <c r="V160" s="740">
        <f>'Исп. коэффициенты'!E124</f>
        <v>2978.5</v>
      </c>
      <c r="W160" s="241">
        <f>'Исп. коэффициенты'!D124</f>
        <v>1.3599999999999999E-2</v>
      </c>
      <c r="X160" s="61">
        <f>U160*W160</f>
        <v>92281.45835999999</v>
      </c>
      <c r="Y160" s="739">
        <f>X160/'Исп. коэффициенты'!E34*'КМУ УЗИ'!C164</f>
        <v>18.929180458206922</v>
      </c>
      <c r="Z160" s="60"/>
      <c r="AA160" s="1"/>
      <c r="AB160" s="1"/>
      <c r="AC160" s="1"/>
      <c r="AD160" s="56"/>
      <c r="AF160" s="151"/>
      <c r="AJ160" s="136"/>
      <c r="AX160" s="3"/>
      <c r="AY160" s="3"/>
      <c r="AZ160" s="3"/>
      <c r="BA160" s="3"/>
    </row>
    <row r="161" spans="1:53" x14ac:dyDescent="0.25">
      <c r="A161" s="1013"/>
      <c r="B161" s="74" t="s">
        <v>1178</v>
      </c>
      <c r="C161" s="223">
        <f>C141</f>
        <v>33.667709452234185</v>
      </c>
      <c r="D161" s="733"/>
      <c r="E161" s="68" t="s">
        <v>2112</v>
      </c>
      <c r="F161" s="69" t="s">
        <v>1</v>
      </c>
      <c r="G161" s="70">
        <v>0.47</v>
      </c>
      <c r="H161" s="69">
        <v>10</v>
      </c>
      <c r="I161" s="242">
        <f>G161*H161</f>
        <v>4.6999999999999993</v>
      </c>
      <c r="J161" s="59" t="s">
        <v>1445</v>
      </c>
      <c r="K161" s="61">
        <v>2</v>
      </c>
      <c r="L161" s="76">
        <v>95</v>
      </c>
      <c r="M161" s="72">
        <v>2</v>
      </c>
      <c r="N161" s="399">
        <f>L161/'Исп. коэффициенты'!E34*C164</f>
        <v>1.9486819730507539E-2</v>
      </c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1"/>
      <c r="AB161" s="1"/>
      <c r="AC161" s="1"/>
      <c r="AD161" s="56"/>
      <c r="AF161" s="151"/>
      <c r="AJ161" s="136"/>
      <c r="AM161" s="145"/>
      <c r="AX161" s="3"/>
      <c r="AY161" s="3"/>
      <c r="AZ161" s="3"/>
      <c r="BA161" s="3"/>
    </row>
    <row r="162" spans="1:53" x14ac:dyDescent="0.25">
      <c r="A162" s="1013"/>
      <c r="B162" s="57" t="s">
        <v>1179</v>
      </c>
      <c r="C162" s="222">
        <f>C142</f>
        <v>19.495759833054819</v>
      </c>
      <c r="D162" s="733"/>
      <c r="E162" s="68" t="s">
        <v>1598</v>
      </c>
      <c r="F162" s="69" t="s">
        <v>1441</v>
      </c>
      <c r="G162" s="70">
        <v>5.36</v>
      </c>
      <c r="H162" s="70">
        <v>1</v>
      </c>
      <c r="I162" s="71">
        <f>G162*H162</f>
        <v>5.36</v>
      </c>
      <c r="J162" s="59" t="s">
        <v>1513</v>
      </c>
      <c r="K162" s="61">
        <v>2</v>
      </c>
      <c r="L162" s="61">
        <v>25</v>
      </c>
      <c r="M162" s="72">
        <v>0.5</v>
      </c>
      <c r="N162" s="399">
        <f>L162/'Исп. коэффициенты'!E34*C164</f>
        <v>5.1281104553967212E-3</v>
      </c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1"/>
      <c r="AB162" s="1"/>
      <c r="AC162" s="1"/>
      <c r="AD162" s="56"/>
      <c r="AF162" s="151"/>
      <c r="AJ162" s="136"/>
      <c r="AX162" s="3"/>
      <c r="AY162" s="3"/>
      <c r="AZ162" s="3"/>
      <c r="BA162" s="3"/>
    </row>
    <row r="163" spans="1:53" x14ac:dyDescent="0.25">
      <c r="A163" s="1013"/>
      <c r="B163" s="57" t="s">
        <v>831</v>
      </c>
      <c r="C163" s="224"/>
      <c r="D163" s="733"/>
      <c r="E163" s="68" t="s">
        <v>2113</v>
      </c>
      <c r="F163" s="69" t="s">
        <v>1</v>
      </c>
      <c r="G163" s="70">
        <v>0.17</v>
      </c>
      <c r="H163" s="69">
        <v>40</v>
      </c>
      <c r="I163" s="71">
        <f>G163*H163</f>
        <v>6.8000000000000007</v>
      </c>
      <c r="J163" s="59"/>
      <c r="K163" s="61"/>
      <c r="L163" s="61"/>
      <c r="M163" s="61"/>
      <c r="N163" s="61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1"/>
      <c r="AB163" s="1"/>
      <c r="AC163" s="1"/>
      <c r="AD163" s="56"/>
      <c r="AF163" s="151"/>
      <c r="AJ163" s="136"/>
      <c r="AX163" s="3"/>
      <c r="AY163" s="3"/>
      <c r="AZ163" s="3"/>
      <c r="BA163" s="3"/>
    </row>
    <row r="164" spans="1:53" x14ac:dyDescent="0.25">
      <c r="A164" s="1013"/>
      <c r="B164" s="74" t="s">
        <v>1178</v>
      </c>
      <c r="C164" s="225">
        <v>2</v>
      </c>
      <c r="D164" s="733"/>
      <c r="E164" s="68"/>
      <c r="F164" s="69"/>
      <c r="G164" s="70"/>
      <c r="H164" s="69"/>
      <c r="I164" s="71"/>
      <c r="J164" s="59"/>
      <c r="K164" s="61"/>
      <c r="L164" s="61"/>
      <c r="M164" s="61"/>
      <c r="N164" s="61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1"/>
      <c r="AB164" s="1"/>
      <c r="AC164" s="1"/>
      <c r="AD164" s="56"/>
      <c r="AF164" s="151"/>
      <c r="AJ164" s="146"/>
      <c r="AX164" s="3"/>
      <c r="AY164" s="3"/>
      <c r="AZ164" s="3"/>
      <c r="BA164" s="3"/>
    </row>
    <row r="165" spans="1:53" x14ac:dyDescent="0.25">
      <c r="A165" s="1013"/>
      <c r="B165" s="57" t="s">
        <v>1179</v>
      </c>
      <c r="C165" s="225">
        <v>2</v>
      </c>
      <c r="D165" s="733"/>
      <c r="E165" s="68"/>
      <c r="F165" s="69"/>
      <c r="G165" s="70"/>
      <c r="H165" s="69"/>
      <c r="I165" s="71"/>
      <c r="J165" s="59"/>
      <c r="K165" s="61"/>
      <c r="L165" s="61"/>
      <c r="M165" s="61"/>
      <c r="N165" s="61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1"/>
      <c r="AB165" s="1"/>
      <c r="AC165" s="1"/>
      <c r="AD165" s="56"/>
      <c r="AF165" s="151"/>
      <c r="AJ165" s="146"/>
      <c r="AX165" s="3"/>
      <c r="AY165" s="3"/>
      <c r="AZ165" s="3"/>
      <c r="BA165" s="3"/>
    </row>
    <row r="166" spans="1:53" x14ac:dyDescent="0.25">
      <c r="A166" s="1013"/>
      <c r="B166" s="79" t="s">
        <v>1181</v>
      </c>
      <c r="C166" s="222">
        <f>C161*C164+C162*C165</f>
        <v>106.32693857057801</v>
      </c>
      <c r="D166" s="733"/>
      <c r="E166" s="228"/>
      <c r="F166" s="166"/>
      <c r="G166" s="70"/>
      <c r="H166" s="69"/>
      <c r="I166" s="71"/>
      <c r="J166" s="59"/>
      <c r="K166" s="170"/>
      <c r="L166" s="76"/>
      <c r="M166" s="72"/>
      <c r="N166" s="61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1"/>
      <c r="AB166" s="1"/>
      <c r="AC166" s="1"/>
      <c r="AD166" s="56"/>
      <c r="AF166" s="151"/>
      <c r="AJ166" s="136"/>
      <c r="AX166" s="3"/>
      <c r="AY166" s="3"/>
      <c r="AZ166" s="3"/>
      <c r="BA166" s="3"/>
    </row>
    <row r="167" spans="1:53" x14ac:dyDescent="0.25">
      <c r="A167" s="1014"/>
      <c r="B167" s="123"/>
      <c r="C167" s="225"/>
      <c r="D167" s="734"/>
      <c r="E167" s="228"/>
      <c r="F167" s="166"/>
      <c r="G167" s="70"/>
      <c r="H167" s="69"/>
      <c r="I167" s="71"/>
      <c r="J167" s="59"/>
      <c r="K167" s="170"/>
      <c r="L167" s="61"/>
      <c r="M167" s="72"/>
      <c r="N167" s="61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1"/>
      <c r="AB167" s="1"/>
      <c r="AC167" s="1"/>
      <c r="AD167" s="56"/>
      <c r="AF167" s="151"/>
      <c r="AJ167" s="146"/>
      <c r="AX167" s="3"/>
      <c r="AY167" s="3"/>
      <c r="AZ167" s="3"/>
      <c r="BA167" s="3"/>
    </row>
    <row r="168" spans="1:53" ht="56.25" customHeight="1" x14ac:dyDescent="0.25">
      <c r="A168" s="1012" t="s">
        <v>2145</v>
      </c>
      <c r="B168" s="258" t="s">
        <v>2146</v>
      </c>
      <c r="C168" s="222"/>
      <c r="D168" s="732"/>
      <c r="E168" s="226" t="s">
        <v>488</v>
      </c>
      <c r="F168" s="53" t="s">
        <v>837</v>
      </c>
      <c r="G168" s="735" t="s">
        <v>489</v>
      </c>
      <c r="H168" s="52" t="s">
        <v>1170</v>
      </c>
      <c r="I168" s="53" t="s">
        <v>838</v>
      </c>
      <c r="J168" s="47" t="s">
        <v>1171</v>
      </c>
      <c r="K168" s="47" t="s">
        <v>490</v>
      </c>
      <c r="L168" s="54" t="s">
        <v>489</v>
      </c>
      <c r="M168" s="47" t="s">
        <v>1172</v>
      </c>
      <c r="N168" s="53" t="s">
        <v>838</v>
      </c>
      <c r="O168" s="47" t="s">
        <v>1171</v>
      </c>
      <c r="P168" s="47" t="s">
        <v>826</v>
      </c>
      <c r="Q168" s="47" t="s">
        <v>1173</v>
      </c>
      <c r="R168" s="47" t="s">
        <v>1174</v>
      </c>
      <c r="S168" s="47" t="s">
        <v>839</v>
      </c>
      <c r="T168" s="47" t="s">
        <v>1171</v>
      </c>
      <c r="U168" s="47" t="s">
        <v>1392</v>
      </c>
      <c r="V168" s="47" t="s">
        <v>841</v>
      </c>
      <c r="W168" s="231" t="s">
        <v>1173</v>
      </c>
      <c r="X168" s="47" t="s">
        <v>1394</v>
      </c>
      <c r="Y168" s="47" t="s">
        <v>839</v>
      </c>
      <c r="Z168" s="55"/>
      <c r="AA168" s="1"/>
      <c r="AB168" s="1"/>
      <c r="AC168" s="245"/>
      <c r="AD168" s="56"/>
      <c r="AQ168" s="139"/>
      <c r="AR168" s="139"/>
      <c r="AS168" s="139"/>
      <c r="AX168" s="3"/>
      <c r="AY168" s="3"/>
      <c r="AZ168" s="3"/>
      <c r="BA168" s="3"/>
    </row>
    <row r="169" spans="1:53" ht="12.75" customHeight="1" x14ac:dyDescent="0.25">
      <c r="A169" s="1013"/>
      <c r="B169" s="36" t="s">
        <v>1175</v>
      </c>
      <c r="C169" s="222">
        <f>C176</f>
        <v>159.49040785586701</v>
      </c>
      <c r="D169" s="732">
        <f>C169*$D$5</f>
        <v>32.217062386885139</v>
      </c>
      <c r="E169" s="227" t="s">
        <v>1176</v>
      </c>
      <c r="F169" s="165"/>
      <c r="G169" s="58"/>
      <c r="H169" s="58"/>
      <c r="I169" s="2">
        <f>SUM(I170:I177)</f>
        <v>19.86</v>
      </c>
      <c r="J169" s="59" t="s">
        <v>1176</v>
      </c>
      <c r="K169" s="169"/>
      <c r="L169" s="60"/>
      <c r="M169" s="60"/>
      <c r="N169" s="399">
        <f>SUM(N170:N177)</f>
        <v>0.26768736577170882</v>
      </c>
      <c r="O169" s="60" t="s">
        <v>1176</v>
      </c>
      <c r="P169" s="60"/>
      <c r="Q169" s="62"/>
      <c r="R169" s="63"/>
      <c r="S169" s="399">
        <f>SUM(S170:S177)</f>
        <v>2.0042306911257022</v>
      </c>
      <c r="T169" s="61"/>
      <c r="U169" s="61"/>
      <c r="V169" s="61"/>
      <c r="W169" s="61"/>
      <c r="X169" s="61"/>
      <c r="Y169" s="399">
        <f>SUM(Y170:Y177)</f>
        <v>28.393770687310383</v>
      </c>
      <c r="Z169" s="64">
        <f>(C169+D169+I169+N169+S169+Y169)*$Z$5</f>
        <v>314.94857210164673</v>
      </c>
      <c r="AA169" s="65">
        <f>C169+D169+I169+N169+S169+Y169+Z169</f>
        <v>557.18173108860674</v>
      </c>
      <c r="AB169" s="66">
        <v>0.25</v>
      </c>
      <c r="AC169" s="244">
        <f>AA169*(1+AB169)</f>
        <v>696.47716386075842</v>
      </c>
      <c r="AD169" s="67"/>
      <c r="AI169" s="139"/>
      <c r="AJ169" s="140"/>
      <c r="AK169" s="141"/>
      <c r="AM169" s="142"/>
      <c r="AN169" s="143"/>
      <c r="AO169" s="142"/>
      <c r="AP169" s="139"/>
      <c r="AQ169" s="139"/>
      <c r="AR169" s="139"/>
      <c r="AS169" s="139"/>
      <c r="AT169" s="139"/>
      <c r="AU169" s="142"/>
      <c r="AV169" s="142"/>
      <c r="AW169" s="144"/>
      <c r="AX169" s="3"/>
      <c r="AY169" s="3"/>
      <c r="AZ169" s="3"/>
      <c r="BA169" s="3"/>
    </row>
    <row r="170" spans="1:53" x14ac:dyDescent="0.25">
      <c r="A170" s="1013"/>
      <c r="B170" s="50" t="s">
        <v>830</v>
      </c>
      <c r="C170" s="222"/>
      <c r="D170" s="733"/>
      <c r="E170" s="68" t="s">
        <v>1437</v>
      </c>
      <c r="F170" s="69" t="s">
        <v>1438</v>
      </c>
      <c r="G170" s="70">
        <v>0.3</v>
      </c>
      <c r="H170" s="69">
        <v>10</v>
      </c>
      <c r="I170" s="71">
        <f>G170*H170</f>
        <v>3</v>
      </c>
      <c r="J170" s="59" t="s">
        <v>1291</v>
      </c>
      <c r="K170" s="72">
        <v>2</v>
      </c>
      <c r="L170" s="73">
        <v>750</v>
      </c>
      <c r="M170" s="72">
        <v>2</v>
      </c>
      <c r="N170" s="399">
        <f>L170/'Исп. коэффициенты'!E34*C174</f>
        <v>0.23076497049285244</v>
      </c>
      <c r="O170" s="60" t="s">
        <v>2114</v>
      </c>
      <c r="P170" s="60">
        <v>2994195.8</v>
      </c>
      <c r="Q170" s="60">
        <v>19.670000000000002</v>
      </c>
      <c r="R170" s="60">
        <v>6513.87</v>
      </c>
      <c r="S170" s="739">
        <f>R170/'Исп. коэффициенты'!E34*+('КМУ УЗИ'!C174)</f>
        <v>2.0042306911257022</v>
      </c>
      <c r="T170" s="239" t="s">
        <v>1435</v>
      </c>
      <c r="U170" s="240">
        <v>6785401.3499999996</v>
      </c>
      <c r="V170" s="740">
        <f>'Исп. коэффициенты'!E124</f>
        <v>2978.5</v>
      </c>
      <c r="W170" s="241">
        <f>'Исп. коэффициенты'!D124</f>
        <v>1.3599999999999999E-2</v>
      </c>
      <c r="X170" s="61">
        <f>U170*W170</f>
        <v>92281.45835999999</v>
      </c>
      <c r="Y170" s="739">
        <f>X170/'Исп. коэффициенты'!E34*'КМУ УЗИ'!C174</f>
        <v>28.393770687310383</v>
      </c>
      <c r="Z170" s="60"/>
      <c r="AA170" s="1"/>
      <c r="AB170" s="1"/>
      <c r="AC170" s="1"/>
      <c r="AD170" s="56"/>
      <c r="AF170" s="151"/>
      <c r="AJ170" s="136"/>
      <c r="AX170" s="3"/>
      <c r="AY170" s="3"/>
      <c r="AZ170" s="3"/>
      <c r="BA170" s="3"/>
    </row>
    <row r="171" spans="1:53" x14ac:dyDescent="0.25">
      <c r="A171" s="1013"/>
      <c r="B171" s="74" t="s">
        <v>1178</v>
      </c>
      <c r="C171" s="223">
        <f>C151</f>
        <v>33.667709452234185</v>
      </c>
      <c r="D171" s="733"/>
      <c r="E171" s="68" t="s">
        <v>2112</v>
      </c>
      <c r="F171" s="69" t="s">
        <v>1</v>
      </c>
      <c r="G171" s="70">
        <v>0.47</v>
      </c>
      <c r="H171" s="69">
        <v>10</v>
      </c>
      <c r="I171" s="242">
        <f>G171*H171</f>
        <v>4.6999999999999993</v>
      </c>
      <c r="J171" s="59" t="s">
        <v>1445</v>
      </c>
      <c r="K171" s="61">
        <v>2</v>
      </c>
      <c r="L171" s="76">
        <v>95</v>
      </c>
      <c r="M171" s="72">
        <v>2</v>
      </c>
      <c r="N171" s="399">
        <f>L171/'Исп. коэффициенты'!E34*C174</f>
        <v>2.9230229595761308E-2</v>
      </c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1"/>
      <c r="AB171" s="1"/>
      <c r="AC171" s="1"/>
      <c r="AD171" s="56"/>
      <c r="AF171" s="151"/>
      <c r="AJ171" s="136"/>
      <c r="AM171" s="145"/>
      <c r="AX171" s="3"/>
      <c r="AY171" s="3"/>
      <c r="AZ171" s="3"/>
      <c r="BA171" s="3"/>
    </row>
    <row r="172" spans="1:53" x14ac:dyDescent="0.25">
      <c r="A172" s="1013"/>
      <c r="B172" s="57" t="s">
        <v>1179</v>
      </c>
      <c r="C172" s="222">
        <f>C152</f>
        <v>19.495759833054819</v>
      </c>
      <c r="D172" s="733"/>
      <c r="E172" s="68" t="s">
        <v>1598</v>
      </c>
      <c r="F172" s="69" t="s">
        <v>1441</v>
      </c>
      <c r="G172" s="70">
        <v>5.36</v>
      </c>
      <c r="H172" s="70">
        <v>1</v>
      </c>
      <c r="I172" s="71">
        <f>G172*H172</f>
        <v>5.36</v>
      </c>
      <c r="J172" s="59" t="s">
        <v>1513</v>
      </c>
      <c r="K172" s="61">
        <v>2</v>
      </c>
      <c r="L172" s="61">
        <v>25</v>
      </c>
      <c r="M172" s="72">
        <v>0.5</v>
      </c>
      <c r="N172" s="399">
        <f>L172/'Исп. коэффициенты'!E34*C174</f>
        <v>7.6921656830950813E-3</v>
      </c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1"/>
      <c r="AB172" s="1"/>
      <c r="AC172" s="1"/>
      <c r="AD172" s="56"/>
      <c r="AF172" s="151"/>
      <c r="AJ172" s="136"/>
      <c r="AX172" s="3"/>
      <c r="AY172" s="3"/>
      <c r="AZ172" s="3"/>
      <c r="BA172" s="3"/>
    </row>
    <row r="173" spans="1:53" x14ac:dyDescent="0.25">
      <c r="A173" s="1013"/>
      <c r="B173" s="57" t="s">
        <v>831</v>
      </c>
      <c r="C173" s="224"/>
      <c r="D173" s="733"/>
      <c r="E173" s="68" t="s">
        <v>2113</v>
      </c>
      <c r="F173" s="69" t="s">
        <v>1</v>
      </c>
      <c r="G173" s="70">
        <v>0.17</v>
      </c>
      <c r="H173" s="69">
        <v>40</v>
      </c>
      <c r="I173" s="71">
        <f>G173*H173</f>
        <v>6.8000000000000007</v>
      </c>
      <c r="J173" s="59"/>
      <c r="K173" s="61"/>
      <c r="L173" s="61"/>
      <c r="M173" s="61"/>
      <c r="N173" s="61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1"/>
      <c r="AB173" s="1"/>
      <c r="AC173" s="1"/>
      <c r="AD173" s="56"/>
      <c r="AF173" s="151"/>
      <c r="AJ173" s="136"/>
      <c r="AX173" s="3"/>
      <c r="AY173" s="3"/>
      <c r="AZ173" s="3"/>
      <c r="BA173" s="3"/>
    </row>
    <row r="174" spans="1:53" x14ac:dyDescent="0.25">
      <c r="A174" s="1013"/>
      <c r="B174" s="74" t="s">
        <v>1178</v>
      </c>
      <c r="C174" s="225">
        <v>3</v>
      </c>
      <c r="D174" s="733"/>
      <c r="E174" s="68"/>
      <c r="F174" s="69"/>
      <c r="G174" s="70"/>
      <c r="H174" s="69"/>
      <c r="I174" s="71"/>
      <c r="J174" s="59"/>
      <c r="K174" s="61"/>
      <c r="L174" s="61"/>
      <c r="M174" s="61"/>
      <c r="N174" s="61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1"/>
      <c r="AB174" s="1"/>
      <c r="AC174" s="1"/>
      <c r="AD174" s="56"/>
      <c r="AF174" s="151"/>
      <c r="AJ174" s="146"/>
      <c r="AX174" s="3"/>
      <c r="AY174" s="3"/>
      <c r="AZ174" s="3"/>
      <c r="BA174" s="3"/>
    </row>
    <row r="175" spans="1:53" x14ac:dyDescent="0.25">
      <c r="A175" s="1013"/>
      <c r="B175" s="57" t="s">
        <v>1179</v>
      </c>
      <c r="C175" s="225">
        <v>3</v>
      </c>
      <c r="D175" s="733"/>
      <c r="E175" s="68"/>
      <c r="F175" s="69"/>
      <c r="G175" s="70"/>
      <c r="H175" s="69"/>
      <c r="I175" s="71"/>
      <c r="J175" s="59"/>
      <c r="K175" s="61"/>
      <c r="L175" s="61"/>
      <c r="M175" s="61"/>
      <c r="N175" s="61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1"/>
      <c r="AB175" s="1"/>
      <c r="AC175" s="1"/>
      <c r="AD175" s="56"/>
      <c r="AF175" s="151"/>
      <c r="AJ175" s="146"/>
      <c r="AX175" s="3"/>
      <c r="AY175" s="3"/>
      <c r="AZ175" s="3"/>
      <c r="BA175" s="3"/>
    </row>
    <row r="176" spans="1:53" x14ac:dyDescent="0.25">
      <c r="A176" s="1013"/>
      <c r="B176" s="79" t="s">
        <v>1181</v>
      </c>
      <c r="C176" s="222">
        <f>C171*C174+C172*C175</f>
        <v>159.49040785586701</v>
      </c>
      <c r="D176" s="733"/>
      <c r="E176" s="228"/>
      <c r="F176" s="166"/>
      <c r="G176" s="70"/>
      <c r="H176" s="69"/>
      <c r="I176" s="71"/>
      <c r="J176" s="59"/>
      <c r="K176" s="170"/>
      <c r="L176" s="76"/>
      <c r="M176" s="72"/>
      <c r="N176" s="61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1"/>
      <c r="AB176" s="1"/>
      <c r="AC176" s="1"/>
      <c r="AD176" s="56"/>
      <c r="AF176" s="151"/>
      <c r="AJ176" s="136"/>
      <c r="AX176" s="3"/>
      <c r="AY176" s="3"/>
      <c r="AZ176" s="3"/>
      <c r="BA176" s="3"/>
    </row>
    <row r="177" spans="1:53" x14ac:dyDescent="0.25">
      <c r="A177" s="1014"/>
      <c r="B177" s="123"/>
      <c r="C177" s="225"/>
      <c r="D177" s="734"/>
      <c r="E177" s="228"/>
      <c r="F177" s="166"/>
      <c r="G177" s="70"/>
      <c r="H177" s="69"/>
      <c r="I177" s="71"/>
      <c r="J177" s="59"/>
      <c r="K177" s="170"/>
      <c r="L177" s="61"/>
      <c r="M177" s="72"/>
      <c r="N177" s="61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1"/>
      <c r="AB177" s="1"/>
      <c r="AC177" s="1"/>
      <c r="AD177" s="56"/>
      <c r="AF177" s="151"/>
      <c r="AJ177" s="146"/>
      <c r="AX177" s="3"/>
      <c r="AY177" s="3"/>
      <c r="AZ177" s="3"/>
      <c r="BA177" s="3"/>
    </row>
    <row r="178" spans="1:53" ht="56.25" customHeight="1" x14ac:dyDescent="0.25">
      <c r="A178" s="1012" t="s">
        <v>2147</v>
      </c>
      <c r="B178" s="258" t="s">
        <v>2148</v>
      </c>
      <c r="C178" s="222"/>
      <c r="D178" s="732"/>
      <c r="E178" s="226" t="s">
        <v>488</v>
      </c>
      <c r="F178" s="53" t="s">
        <v>837</v>
      </c>
      <c r="G178" s="735" t="s">
        <v>489</v>
      </c>
      <c r="H178" s="52" t="s">
        <v>1170</v>
      </c>
      <c r="I178" s="53" t="s">
        <v>838</v>
      </c>
      <c r="J178" s="47" t="s">
        <v>1171</v>
      </c>
      <c r="K178" s="47" t="s">
        <v>490</v>
      </c>
      <c r="L178" s="54" t="s">
        <v>489</v>
      </c>
      <c r="M178" s="47" t="s">
        <v>1172</v>
      </c>
      <c r="N178" s="53" t="s">
        <v>838</v>
      </c>
      <c r="O178" s="47" t="s">
        <v>1171</v>
      </c>
      <c r="P178" s="47" t="s">
        <v>826</v>
      </c>
      <c r="Q178" s="47" t="s">
        <v>1173</v>
      </c>
      <c r="R178" s="47" t="s">
        <v>1174</v>
      </c>
      <c r="S178" s="47" t="s">
        <v>839</v>
      </c>
      <c r="T178" s="47" t="s">
        <v>1171</v>
      </c>
      <c r="U178" s="47" t="s">
        <v>1392</v>
      </c>
      <c r="V178" s="47" t="s">
        <v>841</v>
      </c>
      <c r="W178" s="231" t="s">
        <v>1173</v>
      </c>
      <c r="X178" s="47" t="s">
        <v>1394</v>
      </c>
      <c r="Y178" s="47" t="s">
        <v>839</v>
      </c>
      <c r="Z178" s="55"/>
      <c r="AA178" s="1"/>
      <c r="AB178" s="1"/>
      <c r="AC178" s="245"/>
      <c r="AD178" s="56"/>
      <c r="AQ178" s="139"/>
      <c r="AR178" s="139"/>
      <c r="AS178" s="139"/>
      <c r="AX178" s="3"/>
      <c r="AY178" s="3"/>
      <c r="AZ178" s="3"/>
      <c r="BA178" s="3"/>
    </row>
    <row r="179" spans="1:53" ht="12.75" customHeight="1" x14ac:dyDescent="0.25">
      <c r="A179" s="1013"/>
      <c r="B179" s="36" t="s">
        <v>1175</v>
      </c>
      <c r="C179" s="222">
        <f>C186</f>
        <v>106.32693857057801</v>
      </c>
      <c r="D179" s="732">
        <f>C179*$D$5</f>
        <v>21.478041591256758</v>
      </c>
      <c r="E179" s="227" t="s">
        <v>1176</v>
      </c>
      <c r="F179" s="165"/>
      <c r="G179" s="58"/>
      <c r="H179" s="58"/>
      <c r="I179" s="2">
        <f>SUM(I180:I187)</f>
        <v>19.86</v>
      </c>
      <c r="J179" s="59" t="s">
        <v>1176</v>
      </c>
      <c r="K179" s="169"/>
      <c r="L179" s="60"/>
      <c r="M179" s="60"/>
      <c r="N179" s="399">
        <f>SUM(N180:N187)</f>
        <v>0.17845824384780587</v>
      </c>
      <c r="O179" s="60" t="s">
        <v>1176</v>
      </c>
      <c r="P179" s="60"/>
      <c r="Q179" s="62"/>
      <c r="R179" s="63"/>
      <c r="S179" s="399">
        <f>SUM(S180:S187)</f>
        <v>1.3361537940838015</v>
      </c>
      <c r="T179" s="61"/>
      <c r="U179" s="61"/>
      <c r="V179" s="61"/>
      <c r="W179" s="61"/>
      <c r="X179" s="61"/>
      <c r="Y179" s="399">
        <f>SUM(Y180:Y187)</f>
        <v>18.929180458206922</v>
      </c>
      <c r="Z179" s="64">
        <f>(C179+D179+I179+N179+S179+Y179)*$Z$5</f>
        <v>218.57295726073258</v>
      </c>
      <c r="AA179" s="65">
        <f>C179+D179+I179+N179+S179+Y179+Z179</f>
        <v>386.68172991870586</v>
      </c>
      <c r="AB179" s="66">
        <v>0.25</v>
      </c>
      <c r="AC179" s="244">
        <f>AA179*(1+AB179)</f>
        <v>483.35216239838235</v>
      </c>
      <c r="AD179" s="67"/>
      <c r="AI179" s="139"/>
      <c r="AJ179" s="140"/>
      <c r="AK179" s="141"/>
      <c r="AM179" s="142"/>
      <c r="AN179" s="143"/>
      <c r="AO179" s="142"/>
      <c r="AP179" s="139"/>
      <c r="AQ179" s="139"/>
      <c r="AR179" s="139"/>
      <c r="AS179" s="139"/>
      <c r="AT179" s="139"/>
      <c r="AU179" s="142"/>
      <c r="AV179" s="142"/>
      <c r="AW179" s="144"/>
      <c r="AX179" s="3"/>
      <c r="AY179" s="3"/>
      <c r="AZ179" s="3"/>
      <c r="BA179" s="3"/>
    </row>
    <row r="180" spans="1:53" x14ac:dyDescent="0.25">
      <c r="A180" s="1013"/>
      <c r="B180" s="50" t="s">
        <v>830</v>
      </c>
      <c r="C180" s="222"/>
      <c r="D180" s="733"/>
      <c r="E180" s="68" t="s">
        <v>1437</v>
      </c>
      <c r="F180" s="69" t="s">
        <v>1438</v>
      </c>
      <c r="G180" s="70">
        <v>0.3</v>
      </c>
      <c r="H180" s="69">
        <v>10</v>
      </c>
      <c r="I180" s="71">
        <f>G180*H180</f>
        <v>3</v>
      </c>
      <c r="J180" s="59" t="s">
        <v>1291</v>
      </c>
      <c r="K180" s="72">
        <v>2</v>
      </c>
      <c r="L180" s="73">
        <v>750</v>
      </c>
      <c r="M180" s="72">
        <v>2</v>
      </c>
      <c r="N180" s="399">
        <f>L180/'Исп. коэффициенты'!E34*C184</f>
        <v>0.15384331366190163</v>
      </c>
      <c r="O180" s="60" t="s">
        <v>2114</v>
      </c>
      <c r="P180" s="60">
        <v>2994195.8</v>
      </c>
      <c r="Q180" s="60">
        <v>19.670000000000002</v>
      </c>
      <c r="R180" s="60">
        <v>6513.87</v>
      </c>
      <c r="S180" s="739">
        <f>R180/'Исп. коэффициенты'!E34*+('КМУ УЗИ'!C184)</f>
        <v>1.3361537940838015</v>
      </c>
      <c r="T180" s="239" t="s">
        <v>1435</v>
      </c>
      <c r="U180" s="240">
        <v>6785401.3499999996</v>
      </c>
      <c r="V180" s="740">
        <f>'Исп. коэффициенты'!E124</f>
        <v>2978.5</v>
      </c>
      <c r="W180" s="241">
        <f>'Исп. коэффициенты'!D124</f>
        <v>1.3599999999999999E-2</v>
      </c>
      <c r="X180" s="61">
        <f>U180*W180</f>
        <v>92281.45835999999</v>
      </c>
      <c r="Y180" s="739">
        <f>X180/'Исп. коэффициенты'!E34*'КМУ УЗИ'!C184</f>
        <v>18.929180458206922</v>
      </c>
      <c r="Z180" s="60"/>
      <c r="AA180" s="1"/>
      <c r="AB180" s="1"/>
      <c r="AC180" s="1"/>
      <c r="AD180" s="56"/>
      <c r="AF180" s="151"/>
      <c r="AJ180" s="136"/>
      <c r="AX180" s="3"/>
      <c r="AY180" s="3"/>
      <c r="AZ180" s="3"/>
      <c r="BA180" s="3"/>
    </row>
    <row r="181" spans="1:53" x14ac:dyDescent="0.25">
      <c r="A181" s="1013"/>
      <c r="B181" s="74" t="s">
        <v>1178</v>
      </c>
      <c r="C181" s="223">
        <f>C161</f>
        <v>33.667709452234185</v>
      </c>
      <c r="D181" s="733"/>
      <c r="E181" s="68" t="s">
        <v>2112</v>
      </c>
      <c r="F181" s="69" t="s">
        <v>1</v>
      </c>
      <c r="G181" s="70">
        <v>0.47</v>
      </c>
      <c r="H181" s="69">
        <v>10</v>
      </c>
      <c r="I181" s="242">
        <f>G181*H181</f>
        <v>4.6999999999999993</v>
      </c>
      <c r="J181" s="59" t="s">
        <v>1445</v>
      </c>
      <c r="K181" s="61">
        <v>2</v>
      </c>
      <c r="L181" s="76">
        <v>95</v>
      </c>
      <c r="M181" s="72">
        <v>2</v>
      </c>
      <c r="N181" s="399">
        <f>L181/'Исп. коэффициенты'!E34*C184</f>
        <v>1.9486819730507539E-2</v>
      </c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1"/>
      <c r="AB181" s="1"/>
      <c r="AC181" s="1"/>
      <c r="AD181" s="56"/>
      <c r="AF181" s="151"/>
      <c r="AJ181" s="136"/>
      <c r="AM181" s="145"/>
      <c r="AX181" s="3"/>
      <c r="AY181" s="3"/>
      <c r="AZ181" s="3"/>
      <c r="BA181" s="3"/>
    </row>
    <row r="182" spans="1:53" x14ac:dyDescent="0.25">
      <c r="A182" s="1013"/>
      <c r="B182" s="57" t="s">
        <v>1179</v>
      </c>
      <c r="C182" s="222">
        <f>C162</f>
        <v>19.495759833054819</v>
      </c>
      <c r="D182" s="733"/>
      <c r="E182" s="68" t="s">
        <v>1598</v>
      </c>
      <c r="F182" s="69" t="s">
        <v>1441</v>
      </c>
      <c r="G182" s="70">
        <v>5.36</v>
      </c>
      <c r="H182" s="70">
        <v>1</v>
      </c>
      <c r="I182" s="71">
        <f>G182*H182</f>
        <v>5.36</v>
      </c>
      <c r="J182" s="59" t="s">
        <v>1513</v>
      </c>
      <c r="K182" s="61">
        <v>2</v>
      </c>
      <c r="L182" s="61">
        <v>25</v>
      </c>
      <c r="M182" s="72">
        <v>0.5</v>
      </c>
      <c r="N182" s="399">
        <f>L182/'Исп. коэффициенты'!E34*C184</f>
        <v>5.1281104553967212E-3</v>
      </c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1"/>
      <c r="AB182" s="1"/>
      <c r="AC182" s="1"/>
      <c r="AD182" s="56"/>
      <c r="AF182" s="151"/>
      <c r="AJ182" s="136"/>
      <c r="AX182" s="3"/>
      <c r="AY182" s="3"/>
      <c r="AZ182" s="3"/>
      <c r="BA182" s="3"/>
    </row>
    <row r="183" spans="1:53" x14ac:dyDescent="0.25">
      <c r="A183" s="1013"/>
      <c r="B183" s="57" t="s">
        <v>831</v>
      </c>
      <c r="C183" s="224"/>
      <c r="D183" s="733"/>
      <c r="E183" s="68" t="s">
        <v>2113</v>
      </c>
      <c r="F183" s="69" t="s">
        <v>1</v>
      </c>
      <c r="G183" s="70">
        <v>0.17</v>
      </c>
      <c r="H183" s="69">
        <v>40</v>
      </c>
      <c r="I183" s="71">
        <f>G183*H183</f>
        <v>6.8000000000000007</v>
      </c>
      <c r="J183" s="59"/>
      <c r="K183" s="61"/>
      <c r="L183" s="61"/>
      <c r="M183" s="61"/>
      <c r="N183" s="61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1"/>
      <c r="AB183" s="1"/>
      <c r="AC183" s="1"/>
      <c r="AD183" s="56"/>
      <c r="AF183" s="151"/>
      <c r="AJ183" s="136"/>
      <c r="AX183" s="3"/>
      <c r="AY183" s="3"/>
      <c r="AZ183" s="3"/>
      <c r="BA183" s="3"/>
    </row>
    <row r="184" spans="1:53" x14ac:dyDescent="0.25">
      <c r="A184" s="1013"/>
      <c r="B184" s="74" t="s">
        <v>1178</v>
      </c>
      <c r="C184" s="225">
        <v>2</v>
      </c>
      <c r="D184" s="733"/>
      <c r="E184" s="68"/>
      <c r="F184" s="69"/>
      <c r="G184" s="70"/>
      <c r="H184" s="69"/>
      <c r="I184" s="71"/>
      <c r="J184" s="59"/>
      <c r="K184" s="61"/>
      <c r="L184" s="61"/>
      <c r="M184" s="61"/>
      <c r="N184" s="61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1"/>
      <c r="AB184" s="1"/>
      <c r="AC184" s="1"/>
      <c r="AD184" s="56"/>
      <c r="AF184" s="151"/>
      <c r="AJ184" s="146"/>
      <c r="AX184" s="3"/>
      <c r="AY184" s="3"/>
      <c r="AZ184" s="3"/>
      <c r="BA184" s="3"/>
    </row>
    <row r="185" spans="1:53" x14ac:dyDescent="0.25">
      <c r="A185" s="1013"/>
      <c r="B185" s="57" t="s">
        <v>1179</v>
      </c>
      <c r="C185" s="225">
        <v>2</v>
      </c>
      <c r="D185" s="733"/>
      <c r="E185" s="68"/>
      <c r="F185" s="69"/>
      <c r="G185" s="70"/>
      <c r="H185" s="69"/>
      <c r="I185" s="71"/>
      <c r="J185" s="59"/>
      <c r="K185" s="61"/>
      <c r="L185" s="61"/>
      <c r="M185" s="61"/>
      <c r="N185" s="61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1"/>
      <c r="AB185" s="1"/>
      <c r="AC185" s="1"/>
      <c r="AD185" s="56"/>
      <c r="AF185" s="151"/>
      <c r="AJ185" s="146"/>
      <c r="AX185" s="3"/>
      <c r="AY185" s="3"/>
      <c r="AZ185" s="3"/>
      <c r="BA185" s="3"/>
    </row>
    <row r="186" spans="1:53" x14ac:dyDescent="0.25">
      <c r="A186" s="1013"/>
      <c r="B186" s="79" t="s">
        <v>1181</v>
      </c>
      <c r="C186" s="222">
        <f>C181*C184+C182*C185</f>
        <v>106.32693857057801</v>
      </c>
      <c r="D186" s="733"/>
      <c r="E186" s="228"/>
      <c r="F186" s="166"/>
      <c r="G186" s="70"/>
      <c r="H186" s="69"/>
      <c r="I186" s="71"/>
      <c r="J186" s="59"/>
      <c r="K186" s="170"/>
      <c r="L186" s="76"/>
      <c r="M186" s="72"/>
      <c r="N186" s="61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1"/>
      <c r="AB186" s="1"/>
      <c r="AC186" s="1"/>
      <c r="AD186" s="56"/>
      <c r="AF186" s="151"/>
      <c r="AJ186" s="136"/>
      <c r="AX186" s="3"/>
      <c r="AY186" s="3"/>
      <c r="AZ186" s="3"/>
      <c r="BA186" s="3"/>
    </row>
    <row r="187" spans="1:53" x14ac:dyDescent="0.25">
      <c r="A187" s="1014"/>
      <c r="B187" s="123"/>
      <c r="C187" s="225"/>
      <c r="D187" s="734"/>
      <c r="E187" s="228"/>
      <c r="F187" s="166"/>
      <c r="G187" s="70"/>
      <c r="H187" s="69"/>
      <c r="I187" s="71"/>
      <c r="J187" s="59"/>
      <c r="K187" s="170"/>
      <c r="L187" s="61"/>
      <c r="M187" s="72"/>
      <c r="N187" s="61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1"/>
      <c r="AB187" s="1"/>
      <c r="AC187" s="1"/>
      <c r="AD187" s="56"/>
      <c r="AF187" s="151"/>
      <c r="AJ187" s="146"/>
      <c r="AX187" s="3"/>
      <c r="AY187" s="3"/>
      <c r="AZ187" s="3"/>
      <c r="BA187" s="3"/>
    </row>
    <row r="188" spans="1:53" ht="56.25" customHeight="1" x14ac:dyDescent="0.25">
      <c r="A188" s="1012" t="s">
        <v>2149</v>
      </c>
      <c r="B188" s="258" t="s">
        <v>2150</v>
      </c>
      <c r="C188" s="222"/>
      <c r="D188" s="732"/>
      <c r="E188" s="226" t="s">
        <v>488</v>
      </c>
      <c r="F188" s="53" t="s">
        <v>837</v>
      </c>
      <c r="G188" s="735" t="s">
        <v>489</v>
      </c>
      <c r="H188" s="52" t="s">
        <v>1170</v>
      </c>
      <c r="I188" s="53" t="s">
        <v>838</v>
      </c>
      <c r="J188" s="47" t="s">
        <v>1171</v>
      </c>
      <c r="K188" s="47" t="s">
        <v>490</v>
      </c>
      <c r="L188" s="54" t="s">
        <v>489</v>
      </c>
      <c r="M188" s="47" t="s">
        <v>1172</v>
      </c>
      <c r="N188" s="53" t="s">
        <v>838</v>
      </c>
      <c r="O188" s="47" t="s">
        <v>1171</v>
      </c>
      <c r="P188" s="47" t="s">
        <v>826</v>
      </c>
      <c r="Q188" s="47" t="s">
        <v>1173</v>
      </c>
      <c r="R188" s="47" t="s">
        <v>1174</v>
      </c>
      <c r="S188" s="47" t="s">
        <v>839</v>
      </c>
      <c r="T188" s="47" t="s">
        <v>1171</v>
      </c>
      <c r="U188" s="47" t="s">
        <v>1392</v>
      </c>
      <c r="V188" s="47" t="s">
        <v>841</v>
      </c>
      <c r="W188" s="231" t="s">
        <v>1173</v>
      </c>
      <c r="X188" s="47" t="s">
        <v>1394</v>
      </c>
      <c r="Y188" s="47" t="s">
        <v>839</v>
      </c>
      <c r="Z188" s="55"/>
      <c r="AA188" s="1"/>
      <c r="AB188" s="1"/>
      <c r="AC188" s="245"/>
      <c r="AD188" s="56"/>
      <c r="AQ188" s="139"/>
      <c r="AR188" s="139"/>
      <c r="AS188" s="139"/>
      <c r="AX188" s="3"/>
      <c r="AY188" s="3"/>
      <c r="AZ188" s="3"/>
      <c r="BA188" s="3"/>
    </row>
    <row r="189" spans="1:53" ht="12.75" customHeight="1" x14ac:dyDescent="0.25">
      <c r="A189" s="1013"/>
      <c r="B189" s="36" t="s">
        <v>1175</v>
      </c>
      <c r="C189" s="222">
        <f>C196</f>
        <v>79.745203927933503</v>
      </c>
      <c r="D189" s="732">
        <f>C189*$D$5</f>
        <v>16.10853119344257</v>
      </c>
      <c r="E189" s="227" t="s">
        <v>1176</v>
      </c>
      <c r="F189" s="165"/>
      <c r="G189" s="58"/>
      <c r="H189" s="58"/>
      <c r="I189" s="2">
        <f>SUM(I190:I197)</f>
        <v>19.86</v>
      </c>
      <c r="J189" s="59" t="s">
        <v>1176</v>
      </c>
      <c r="K189" s="169"/>
      <c r="L189" s="60"/>
      <c r="M189" s="60"/>
      <c r="N189" s="399">
        <f>SUM(N190:N197)</f>
        <v>0.13384368288585441</v>
      </c>
      <c r="O189" s="60" t="s">
        <v>1176</v>
      </c>
      <c r="P189" s="60"/>
      <c r="Q189" s="62"/>
      <c r="R189" s="63"/>
      <c r="S189" s="399">
        <f>SUM(S190:S197)</f>
        <v>1.0021153455628511</v>
      </c>
      <c r="T189" s="61"/>
      <c r="U189" s="61"/>
      <c r="V189" s="61"/>
      <c r="W189" s="61"/>
      <c r="X189" s="61"/>
      <c r="Y189" s="399">
        <f>SUM(Y190:Y197)</f>
        <v>14.196885343655191</v>
      </c>
      <c r="Z189" s="64">
        <f>(C189+D189+I189+N189+S189+Y189)*$Z$5</f>
        <v>170.38514984027552</v>
      </c>
      <c r="AA189" s="65">
        <f>C189+D189+I189+N189+S189+Y189+Z189</f>
        <v>301.43172933375547</v>
      </c>
      <c r="AB189" s="66">
        <v>0.25</v>
      </c>
      <c r="AC189" s="244">
        <f>AA189*(1+AB189)</f>
        <v>376.78966166719431</v>
      </c>
      <c r="AD189" s="67"/>
      <c r="AI189" s="139"/>
      <c r="AJ189" s="140"/>
      <c r="AK189" s="141"/>
      <c r="AM189" s="142"/>
      <c r="AN189" s="143"/>
      <c r="AO189" s="142"/>
      <c r="AP189" s="139"/>
      <c r="AQ189" s="139"/>
      <c r="AR189" s="139"/>
      <c r="AS189" s="139"/>
      <c r="AT189" s="139"/>
      <c r="AU189" s="142"/>
      <c r="AV189" s="142"/>
      <c r="AW189" s="144"/>
      <c r="AX189" s="3"/>
      <c r="AY189" s="3"/>
      <c r="AZ189" s="3"/>
      <c r="BA189" s="3"/>
    </row>
    <row r="190" spans="1:53" x14ac:dyDescent="0.25">
      <c r="A190" s="1013"/>
      <c r="B190" s="50" t="s">
        <v>830</v>
      </c>
      <c r="C190" s="222"/>
      <c r="D190" s="733"/>
      <c r="E190" s="68" t="s">
        <v>1437</v>
      </c>
      <c r="F190" s="69" t="s">
        <v>1438</v>
      </c>
      <c r="G190" s="70">
        <v>0.3</v>
      </c>
      <c r="H190" s="69">
        <v>10</v>
      </c>
      <c r="I190" s="71">
        <f>G190*H190</f>
        <v>3</v>
      </c>
      <c r="J190" s="59" t="s">
        <v>1291</v>
      </c>
      <c r="K190" s="72">
        <v>2</v>
      </c>
      <c r="L190" s="73">
        <v>750</v>
      </c>
      <c r="M190" s="72">
        <v>2</v>
      </c>
      <c r="N190" s="399">
        <f>L190/'Исп. коэффициенты'!E34*C194</f>
        <v>0.11538248524642622</v>
      </c>
      <c r="O190" s="60" t="s">
        <v>2114</v>
      </c>
      <c r="P190" s="60">
        <v>2994195.8</v>
      </c>
      <c r="Q190" s="60">
        <v>19.670000000000002</v>
      </c>
      <c r="R190" s="60">
        <v>6513.87</v>
      </c>
      <c r="S190" s="739">
        <f>R190/'Исп. коэффициенты'!E34*+('КМУ УЗИ'!C194)</f>
        <v>1.0021153455628511</v>
      </c>
      <c r="T190" s="239" t="s">
        <v>1435</v>
      </c>
      <c r="U190" s="240">
        <v>6785401.3499999996</v>
      </c>
      <c r="V190" s="740">
        <f>'Исп. коэффициенты'!E124</f>
        <v>2978.5</v>
      </c>
      <c r="W190" s="241">
        <f>'Исп. коэффициенты'!D124</f>
        <v>1.3599999999999999E-2</v>
      </c>
      <c r="X190" s="61">
        <f>U190*W190</f>
        <v>92281.45835999999</v>
      </c>
      <c r="Y190" s="739">
        <f>X190/'Исп. коэффициенты'!E34*'КМУ УЗИ'!C194</f>
        <v>14.196885343655191</v>
      </c>
      <c r="Z190" s="60"/>
      <c r="AA190" s="1"/>
      <c r="AB190" s="1"/>
      <c r="AC190" s="1"/>
      <c r="AD190" s="56"/>
      <c r="AF190" s="151"/>
      <c r="AJ190" s="136"/>
      <c r="AX190" s="3"/>
      <c r="AY190" s="3"/>
      <c r="AZ190" s="3"/>
      <c r="BA190" s="3"/>
    </row>
    <row r="191" spans="1:53" x14ac:dyDescent="0.25">
      <c r="A191" s="1013"/>
      <c r="B191" s="74" t="s">
        <v>1178</v>
      </c>
      <c r="C191" s="223">
        <f>C171</f>
        <v>33.667709452234185</v>
      </c>
      <c r="D191" s="733"/>
      <c r="E191" s="68" t="s">
        <v>2112</v>
      </c>
      <c r="F191" s="69" t="s">
        <v>1</v>
      </c>
      <c r="G191" s="70">
        <v>0.47</v>
      </c>
      <c r="H191" s="69">
        <v>10</v>
      </c>
      <c r="I191" s="242">
        <f>G191*H191</f>
        <v>4.6999999999999993</v>
      </c>
      <c r="J191" s="59" t="s">
        <v>1445</v>
      </c>
      <c r="K191" s="61">
        <v>2</v>
      </c>
      <c r="L191" s="76">
        <v>95</v>
      </c>
      <c r="M191" s="72">
        <v>2</v>
      </c>
      <c r="N191" s="399">
        <f>L191/'Исп. коэффициенты'!E34*C194</f>
        <v>1.4615114797880654E-2</v>
      </c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1"/>
      <c r="AB191" s="1"/>
      <c r="AC191" s="1"/>
      <c r="AD191" s="56"/>
      <c r="AF191" s="151"/>
      <c r="AJ191" s="136"/>
      <c r="AM191" s="145"/>
      <c r="AX191" s="3"/>
      <c r="AY191" s="3"/>
      <c r="AZ191" s="3"/>
      <c r="BA191" s="3"/>
    </row>
    <row r="192" spans="1:53" x14ac:dyDescent="0.25">
      <c r="A192" s="1013"/>
      <c r="B192" s="57" t="s">
        <v>1179</v>
      </c>
      <c r="C192" s="222">
        <f>C172</f>
        <v>19.495759833054819</v>
      </c>
      <c r="D192" s="733"/>
      <c r="E192" s="68" t="s">
        <v>1598</v>
      </c>
      <c r="F192" s="69" t="s">
        <v>1441</v>
      </c>
      <c r="G192" s="70">
        <v>5.36</v>
      </c>
      <c r="H192" s="70">
        <v>1</v>
      </c>
      <c r="I192" s="71">
        <f>G192*H192</f>
        <v>5.36</v>
      </c>
      <c r="J192" s="59" t="s">
        <v>1513</v>
      </c>
      <c r="K192" s="61">
        <v>2</v>
      </c>
      <c r="L192" s="61">
        <v>25</v>
      </c>
      <c r="M192" s="72">
        <v>0.5</v>
      </c>
      <c r="N192" s="399">
        <f>L192/'Исп. коэффициенты'!E34*C194</f>
        <v>3.8460828415475407E-3</v>
      </c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1"/>
      <c r="AB192" s="1"/>
      <c r="AC192" s="1"/>
      <c r="AD192" s="56"/>
      <c r="AF192" s="151"/>
      <c r="AJ192" s="136"/>
      <c r="AX192" s="3"/>
      <c r="AY192" s="3"/>
      <c r="AZ192" s="3"/>
      <c r="BA192" s="3"/>
    </row>
    <row r="193" spans="1:53" x14ac:dyDescent="0.25">
      <c r="A193" s="1013"/>
      <c r="B193" s="57" t="s">
        <v>831</v>
      </c>
      <c r="C193" s="224"/>
      <c r="D193" s="733"/>
      <c r="E193" s="68" t="s">
        <v>2113</v>
      </c>
      <c r="F193" s="69" t="s">
        <v>1</v>
      </c>
      <c r="G193" s="70">
        <v>0.17</v>
      </c>
      <c r="H193" s="69">
        <v>40</v>
      </c>
      <c r="I193" s="71">
        <f>G193*H193</f>
        <v>6.8000000000000007</v>
      </c>
      <c r="J193" s="59"/>
      <c r="K193" s="61"/>
      <c r="L193" s="61"/>
      <c r="M193" s="61"/>
      <c r="N193" s="61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1"/>
      <c r="AB193" s="1"/>
      <c r="AC193" s="1"/>
      <c r="AD193" s="56"/>
      <c r="AF193" s="151"/>
      <c r="AJ193" s="136"/>
      <c r="AX193" s="3"/>
      <c r="AY193" s="3"/>
      <c r="AZ193" s="3"/>
      <c r="BA193" s="3"/>
    </row>
    <row r="194" spans="1:53" x14ac:dyDescent="0.25">
      <c r="A194" s="1013"/>
      <c r="B194" s="74" t="s">
        <v>1178</v>
      </c>
      <c r="C194" s="225">
        <v>1.5</v>
      </c>
      <c r="D194" s="733"/>
      <c r="E194" s="68"/>
      <c r="F194" s="69"/>
      <c r="G194" s="70"/>
      <c r="H194" s="69"/>
      <c r="I194" s="71"/>
      <c r="J194" s="59"/>
      <c r="K194" s="61"/>
      <c r="L194" s="61"/>
      <c r="M194" s="61"/>
      <c r="N194" s="61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1"/>
      <c r="AB194" s="1"/>
      <c r="AC194" s="1"/>
      <c r="AD194" s="56"/>
      <c r="AF194" s="151"/>
      <c r="AJ194" s="146"/>
      <c r="AX194" s="3"/>
      <c r="AY194" s="3"/>
      <c r="AZ194" s="3"/>
      <c r="BA194" s="3"/>
    </row>
    <row r="195" spans="1:53" x14ac:dyDescent="0.25">
      <c r="A195" s="1013"/>
      <c r="B195" s="57" t="s">
        <v>1179</v>
      </c>
      <c r="C195" s="225">
        <v>1.5</v>
      </c>
      <c r="D195" s="733"/>
      <c r="E195" s="68"/>
      <c r="F195" s="69"/>
      <c r="G195" s="70"/>
      <c r="H195" s="69"/>
      <c r="I195" s="71"/>
      <c r="J195" s="59"/>
      <c r="K195" s="61"/>
      <c r="L195" s="61"/>
      <c r="M195" s="61"/>
      <c r="N195" s="61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1"/>
      <c r="AB195" s="1"/>
      <c r="AC195" s="1"/>
      <c r="AD195" s="56"/>
      <c r="AF195" s="151"/>
      <c r="AJ195" s="146"/>
      <c r="AX195" s="3"/>
      <c r="AY195" s="3"/>
      <c r="AZ195" s="3"/>
      <c r="BA195" s="3"/>
    </row>
    <row r="196" spans="1:53" x14ac:dyDescent="0.25">
      <c r="A196" s="1013"/>
      <c r="B196" s="79" t="s">
        <v>1181</v>
      </c>
      <c r="C196" s="222">
        <f>C191*C194+C192*C195</f>
        <v>79.745203927933503</v>
      </c>
      <c r="D196" s="733"/>
      <c r="E196" s="228"/>
      <c r="F196" s="166"/>
      <c r="G196" s="70"/>
      <c r="H196" s="69"/>
      <c r="I196" s="71"/>
      <c r="J196" s="59"/>
      <c r="K196" s="170"/>
      <c r="L196" s="76"/>
      <c r="M196" s="72"/>
      <c r="N196" s="61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1"/>
      <c r="AB196" s="1"/>
      <c r="AC196" s="1"/>
      <c r="AD196" s="56"/>
      <c r="AF196" s="151"/>
      <c r="AJ196" s="136"/>
      <c r="AX196" s="3"/>
      <c r="AY196" s="3"/>
      <c r="AZ196" s="3"/>
      <c r="BA196" s="3"/>
    </row>
    <row r="197" spans="1:53" x14ac:dyDescent="0.25">
      <c r="A197" s="1014"/>
      <c r="B197" s="123"/>
      <c r="C197" s="225"/>
      <c r="D197" s="734"/>
      <c r="E197" s="228"/>
      <c r="F197" s="166"/>
      <c r="G197" s="70"/>
      <c r="H197" s="69"/>
      <c r="I197" s="71"/>
      <c r="J197" s="59"/>
      <c r="K197" s="170"/>
      <c r="L197" s="61"/>
      <c r="M197" s="72"/>
      <c r="N197" s="61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1"/>
      <c r="AB197" s="1"/>
      <c r="AC197" s="1"/>
      <c r="AD197" s="56"/>
      <c r="AF197" s="151"/>
      <c r="AJ197" s="146"/>
      <c r="AX197" s="3"/>
      <c r="AY197" s="3"/>
      <c r="AZ197" s="3"/>
      <c r="BA197" s="3"/>
    </row>
    <row r="198" spans="1:53" ht="56.25" customHeight="1" x14ac:dyDescent="0.25">
      <c r="A198" s="1012" t="s">
        <v>2151</v>
      </c>
      <c r="B198" s="258" t="s">
        <v>2152</v>
      </c>
      <c r="C198" s="222"/>
      <c r="D198" s="732"/>
      <c r="E198" s="226" t="s">
        <v>488</v>
      </c>
      <c r="F198" s="53" t="s">
        <v>837</v>
      </c>
      <c r="G198" s="735" t="s">
        <v>489</v>
      </c>
      <c r="H198" s="52" t="s">
        <v>1170</v>
      </c>
      <c r="I198" s="53" t="s">
        <v>838</v>
      </c>
      <c r="J198" s="47" t="s">
        <v>1171</v>
      </c>
      <c r="K198" s="47" t="s">
        <v>490</v>
      </c>
      <c r="L198" s="54" t="s">
        <v>489</v>
      </c>
      <c r="M198" s="47" t="s">
        <v>1172</v>
      </c>
      <c r="N198" s="53" t="s">
        <v>838</v>
      </c>
      <c r="O198" s="47" t="s">
        <v>1171</v>
      </c>
      <c r="P198" s="47" t="s">
        <v>826</v>
      </c>
      <c r="Q198" s="47" t="s">
        <v>1173</v>
      </c>
      <c r="R198" s="47" t="s">
        <v>1174</v>
      </c>
      <c r="S198" s="47" t="s">
        <v>839</v>
      </c>
      <c r="T198" s="47" t="s">
        <v>1171</v>
      </c>
      <c r="U198" s="47" t="s">
        <v>1392</v>
      </c>
      <c r="V198" s="47" t="s">
        <v>841</v>
      </c>
      <c r="W198" s="231" t="s">
        <v>1173</v>
      </c>
      <c r="X198" s="47" t="s">
        <v>1394</v>
      </c>
      <c r="Y198" s="47" t="s">
        <v>839</v>
      </c>
      <c r="Z198" s="55"/>
      <c r="AA198" s="1"/>
      <c r="AB198" s="1"/>
      <c r="AC198" s="245"/>
      <c r="AD198" s="56"/>
      <c r="AQ198" s="139"/>
      <c r="AR198" s="139"/>
      <c r="AS198" s="139"/>
      <c r="AX198" s="3"/>
      <c r="AY198" s="3"/>
      <c r="AZ198" s="3"/>
      <c r="BA198" s="3"/>
    </row>
    <row r="199" spans="1:53" ht="12.75" customHeight="1" x14ac:dyDescent="0.25">
      <c r="A199" s="1013"/>
      <c r="B199" s="36" t="s">
        <v>1175</v>
      </c>
      <c r="C199" s="222">
        <f>C206</f>
        <v>106.32693857057801</v>
      </c>
      <c r="D199" s="732">
        <f>C199*$D$5</f>
        <v>21.478041591256758</v>
      </c>
      <c r="E199" s="227" t="s">
        <v>1176</v>
      </c>
      <c r="F199" s="165"/>
      <c r="G199" s="58"/>
      <c r="H199" s="58"/>
      <c r="I199" s="2">
        <f>SUM(I200:I207)</f>
        <v>19.86</v>
      </c>
      <c r="J199" s="59" t="s">
        <v>1176</v>
      </c>
      <c r="K199" s="169"/>
      <c r="L199" s="60"/>
      <c r="M199" s="60"/>
      <c r="N199" s="399">
        <f>SUM(N200:N207)</f>
        <v>0.17845824384780587</v>
      </c>
      <c r="O199" s="60" t="s">
        <v>1176</v>
      </c>
      <c r="P199" s="60"/>
      <c r="Q199" s="62"/>
      <c r="R199" s="63"/>
      <c r="S199" s="399">
        <f>SUM(S200:S207)</f>
        <v>1.3361537940838015</v>
      </c>
      <c r="T199" s="61"/>
      <c r="U199" s="61"/>
      <c r="V199" s="61"/>
      <c r="W199" s="61"/>
      <c r="X199" s="61"/>
      <c r="Y199" s="399">
        <f>SUM(Y200:Y207)</f>
        <v>18.929180458206922</v>
      </c>
      <c r="Z199" s="64">
        <f>(C199+D199+I199+N199+S199+Y199)*$Z$5</f>
        <v>218.57295726073258</v>
      </c>
      <c r="AA199" s="65">
        <f>C199+D199+I199+N199+S199+Y199+Z199</f>
        <v>386.68172991870586</v>
      </c>
      <c r="AB199" s="66">
        <v>0.25</v>
      </c>
      <c r="AC199" s="244">
        <f>AA199*(1+AB199)</f>
        <v>483.35216239838235</v>
      </c>
      <c r="AD199" s="67"/>
      <c r="AI199" s="139"/>
      <c r="AJ199" s="140"/>
      <c r="AK199" s="141"/>
      <c r="AM199" s="142"/>
      <c r="AN199" s="143"/>
      <c r="AO199" s="142"/>
      <c r="AP199" s="139"/>
      <c r="AQ199" s="139"/>
      <c r="AR199" s="139"/>
      <c r="AS199" s="139"/>
      <c r="AT199" s="139"/>
      <c r="AU199" s="142"/>
      <c r="AV199" s="142"/>
      <c r="AW199" s="144"/>
      <c r="AX199" s="3"/>
      <c r="AY199" s="3"/>
      <c r="AZ199" s="3"/>
      <c r="BA199" s="3"/>
    </row>
    <row r="200" spans="1:53" x14ac:dyDescent="0.25">
      <c r="A200" s="1013"/>
      <c r="B200" s="50" t="s">
        <v>830</v>
      </c>
      <c r="C200" s="222"/>
      <c r="D200" s="733"/>
      <c r="E200" s="68" t="s">
        <v>1437</v>
      </c>
      <c r="F200" s="69" t="s">
        <v>1438</v>
      </c>
      <c r="G200" s="70">
        <v>0.3</v>
      </c>
      <c r="H200" s="69">
        <v>10</v>
      </c>
      <c r="I200" s="71">
        <f>G200*H200</f>
        <v>3</v>
      </c>
      <c r="J200" s="59" t="s">
        <v>1291</v>
      </c>
      <c r="K200" s="72">
        <v>2</v>
      </c>
      <c r="L200" s="73">
        <v>750</v>
      </c>
      <c r="M200" s="72">
        <v>2</v>
      </c>
      <c r="N200" s="399">
        <f>L200/'Исп. коэффициенты'!E34*C204</f>
        <v>0.15384331366190163</v>
      </c>
      <c r="O200" s="60" t="s">
        <v>2114</v>
      </c>
      <c r="P200" s="60">
        <v>2994195.8</v>
      </c>
      <c r="Q200" s="60">
        <v>19.670000000000002</v>
      </c>
      <c r="R200" s="60">
        <v>6513.87</v>
      </c>
      <c r="S200" s="739">
        <f>R200/'Исп. коэффициенты'!E34*+('КМУ УЗИ'!C204)</f>
        <v>1.3361537940838015</v>
      </c>
      <c r="T200" s="239" t="s">
        <v>1435</v>
      </c>
      <c r="U200" s="240">
        <v>6785401.3499999996</v>
      </c>
      <c r="V200" s="740">
        <f>'Исп. коэффициенты'!E124</f>
        <v>2978.5</v>
      </c>
      <c r="W200" s="241">
        <f>'Исп. коэффициенты'!D124</f>
        <v>1.3599999999999999E-2</v>
      </c>
      <c r="X200" s="61">
        <f>U200*W200</f>
        <v>92281.45835999999</v>
      </c>
      <c r="Y200" s="739">
        <f>X200/'Исп. коэффициенты'!E34*'КМУ УЗИ'!C204</f>
        <v>18.929180458206922</v>
      </c>
      <c r="Z200" s="60"/>
      <c r="AA200" s="1"/>
      <c r="AB200" s="1"/>
      <c r="AC200" s="1"/>
      <c r="AD200" s="56"/>
      <c r="AF200" s="151"/>
      <c r="AJ200" s="136"/>
      <c r="AX200" s="3"/>
      <c r="AY200" s="3"/>
      <c r="AZ200" s="3"/>
      <c r="BA200" s="3"/>
    </row>
    <row r="201" spans="1:53" x14ac:dyDescent="0.25">
      <c r="A201" s="1013"/>
      <c r="B201" s="74" t="s">
        <v>1178</v>
      </c>
      <c r="C201" s="223">
        <f>C181</f>
        <v>33.667709452234185</v>
      </c>
      <c r="D201" s="733"/>
      <c r="E201" s="68" t="s">
        <v>2112</v>
      </c>
      <c r="F201" s="69" t="s">
        <v>1</v>
      </c>
      <c r="G201" s="70">
        <v>0.47</v>
      </c>
      <c r="H201" s="69">
        <v>10</v>
      </c>
      <c r="I201" s="242">
        <f>G201*H201</f>
        <v>4.6999999999999993</v>
      </c>
      <c r="J201" s="59" t="s">
        <v>1445</v>
      </c>
      <c r="K201" s="61">
        <v>2</v>
      </c>
      <c r="L201" s="76">
        <v>95</v>
      </c>
      <c r="M201" s="72">
        <v>2</v>
      </c>
      <c r="N201" s="399">
        <f>L201/'Исп. коэффициенты'!E34*C204</f>
        <v>1.9486819730507539E-2</v>
      </c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1"/>
      <c r="AB201" s="1"/>
      <c r="AC201" s="1"/>
      <c r="AD201" s="56"/>
      <c r="AF201" s="151"/>
      <c r="AJ201" s="136"/>
      <c r="AM201" s="145"/>
      <c r="AX201" s="3"/>
      <c r="AY201" s="3"/>
      <c r="AZ201" s="3"/>
      <c r="BA201" s="3"/>
    </row>
    <row r="202" spans="1:53" x14ac:dyDescent="0.25">
      <c r="A202" s="1013"/>
      <c r="B202" s="57" t="s">
        <v>1179</v>
      </c>
      <c r="C202" s="222">
        <f>C182</f>
        <v>19.495759833054819</v>
      </c>
      <c r="D202" s="733"/>
      <c r="E202" s="68" t="s">
        <v>1598</v>
      </c>
      <c r="F202" s="69" t="s">
        <v>1441</v>
      </c>
      <c r="G202" s="70">
        <v>5.36</v>
      </c>
      <c r="H202" s="70">
        <v>1</v>
      </c>
      <c r="I202" s="71">
        <f>G202*H202</f>
        <v>5.36</v>
      </c>
      <c r="J202" s="59" t="s">
        <v>1513</v>
      </c>
      <c r="K202" s="61">
        <v>2</v>
      </c>
      <c r="L202" s="61">
        <v>25</v>
      </c>
      <c r="M202" s="72">
        <v>0.5</v>
      </c>
      <c r="N202" s="399">
        <f>L202/'Исп. коэффициенты'!E34*C204</f>
        <v>5.1281104553967212E-3</v>
      </c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1"/>
      <c r="AB202" s="1"/>
      <c r="AC202" s="1"/>
      <c r="AD202" s="56"/>
      <c r="AF202" s="151"/>
      <c r="AJ202" s="136"/>
      <c r="AX202" s="3"/>
      <c r="AY202" s="3"/>
      <c r="AZ202" s="3"/>
      <c r="BA202" s="3"/>
    </row>
    <row r="203" spans="1:53" x14ac:dyDescent="0.25">
      <c r="A203" s="1013"/>
      <c r="B203" s="57" t="s">
        <v>831</v>
      </c>
      <c r="C203" s="224"/>
      <c r="D203" s="733"/>
      <c r="E203" s="68" t="s">
        <v>2113</v>
      </c>
      <c r="F203" s="69" t="s">
        <v>1</v>
      </c>
      <c r="G203" s="70">
        <v>0.17</v>
      </c>
      <c r="H203" s="69">
        <v>40</v>
      </c>
      <c r="I203" s="71">
        <f>G203*H203</f>
        <v>6.8000000000000007</v>
      </c>
      <c r="J203" s="59"/>
      <c r="K203" s="61"/>
      <c r="L203" s="61"/>
      <c r="M203" s="61"/>
      <c r="N203" s="61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1"/>
      <c r="AB203" s="1"/>
      <c r="AC203" s="1"/>
      <c r="AD203" s="56"/>
      <c r="AF203" s="151"/>
      <c r="AJ203" s="136"/>
      <c r="AX203" s="3"/>
      <c r="AY203" s="3"/>
      <c r="AZ203" s="3"/>
      <c r="BA203" s="3"/>
    </row>
    <row r="204" spans="1:53" x14ac:dyDescent="0.25">
      <c r="A204" s="1013"/>
      <c r="B204" s="74" t="s">
        <v>1178</v>
      </c>
      <c r="C204" s="225">
        <v>2</v>
      </c>
      <c r="D204" s="733"/>
      <c r="E204" s="68"/>
      <c r="F204" s="69"/>
      <c r="G204" s="70"/>
      <c r="H204" s="69"/>
      <c r="I204" s="71"/>
      <c r="J204" s="59"/>
      <c r="K204" s="61"/>
      <c r="L204" s="61"/>
      <c r="M204" s="61"/>
      <c r="N204" s="61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1"/>
      <c r="AB204" s="1"/>
      <c r="AC204" s="1"/>
      <c r="AD204" s="56"/>
      <c r="AF204" s="151"/>
      <c r="AJ204" s="146"/>
      <c r="AX204" s="3"/>
      <c r="AY204" s="3"/>
      <c r="AZ204" s="3"/>
      <c r="BA204" s="3"/>
    </row>
    <row r="205" spans="1:53" x14ac:dyDescent="0.25">
      <c r="A205" s="1013"/>
      <c r="B205" s="57" t="s">
        <v>1179</v>
      </c>
      <c r="C205" s="225">
        <v>2</v>
      </c>
      <c r="D205" s="733"/>
      <c r="E205" s="68"/>
      <c r="F205" s="69"/>
      <c r="G205" s="70"/>
      <c r="H205" s="69"/>
      <c r="I205" s="71"/>
      <c r="J205" s="59"/>
      <c r="K205" s="61"/>
      <c r="L205" s="61"/>
      <c r="M205" s="61"/>
      <c r="N205" s="61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1"/>
      <c r="AB205" s="1"/>
      <c r="AC205" s="1"/>
      <c r="AD205" s="56"/>
      <c r="AF205" s="151"/>
      <c r="AJ205" s="146"/>
      <c r="AX205" s="3"/>
      <c r="AY205" s="3"/>
      <c r="AZ205" s="3"/>
      <c r="BA205" s="3"/>
    </row>
    <row r="206" spans="1:53" x14ac:dyDescent="0.25">
      <c r="A206" s="1013"/>
      <c r="B206" s="79" t="s">
        <v>1181</v>
      </c>
      <c r="C206" s="222">
        <f>C201*C204+C202*C205</f>
        <v>106.32693857057801</v>
      </c>
      <c r="D206" s="733"/>
      <c r="E206" s="228"/>
      <c r="F206" s="166"/>
      <c r="G206" s="70"/>
      <c r="H206" s="69"/>
      <c r="I206" s="71"/>
      <c r="J206" s="59"/>
      <c r="K206" s="170"/>
      <c r="L206" s="76"/>
      <c r="M206" s="72"/>
      <c r="N206" s="61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1"/>
      <c r="AB206" s="1"/>
      <c r="AC206" s="1"/>
      <c r="AD206" s="56"/>
      <c r="AF206" s="151"/>
      <c r="AJ206" s="136"/>
      <c r="AX206" s="3"/>
      <c r="AY206" s="3"/>
      <c r="AZ206" s="3"/>
      <c r="BA206" s="3"/>
    </row>
    <row r="207" spans="1:53" x14ac:dyDescent="0.25">
      <c r="A207" s="1014"/>
      <c r="B207" s="123"/>
      <c r="C207" s="225"/>
      <c r="D207" s="734"/>
      <c r="E207" s="228"/>
      <c r="F207" s="166"/>
      <c r="G207" s="70"/>
      <c r="H207" s="69"/>
      <c r="I207" s="71"/>
      <c r="J207" s="59"/>
      <c r="K207" s="170"/>
      <c r="L207" s="61"/>
      <c r="M207" s="72"/>
      <c r="N207" s="61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1"/>
      <c r="AB207" s="1"/>
      <c r="AC207" s="1"/>
      <c r="AD207" s="56"/>
      <c r="AF207" s="151"/>
      <c r="AJ207" s="146"/>
      <c r="AX207" s="3"/>
      <c r="AY207" s="3"/>
      <c r="AZ207" s="3"/>
      <c r="BA207" s="3"/>
    </row>
    <row r="208" spans="1:53" ht="56.25" customHeight="1" x14ac:dyDescent="0.25">
      <c r="A208" s="1012" t="s">
        <v>2153</v>
      </c>
      <c r="B208" s="258" t="s">
        <v>2154</v>
      </c>
      <c r="C208" s="222"/>
      <c r="D208" s="732"/>
      <c r="E208" s="226" t="s">
        <v>488</v>
      </c>
      <c r="F208" s="53" t="s">
        <v>837</v>
      </c>
      <c r="G208" s="735" t="s">
        <v>489</v>
      </c>
      <c r="H208" s="52" t="s">
        <v>1170</v>
      </c>
      <c r="I208" s="53" t="s">
        <v>838</v>
      </c>
      <c r="J208" s="47" t="s">
        <v>1171</v>
      </c>
      <c r="K208" s="47" t="s">
        <v>490</v>
      </c>
      <c r="L208" s="54" t="s">
        <v>489</v>
      </c>
      <c r="M208" s="47" t="s">
        <v>1172</v>
      </c>
      <c r="N208" s="53" t="s">
        <v>838</v>
      </c>
      <c r="O208" s="47" t="s">
        <v>1171</v>
      </c>
      <c r="P208" s="47" t="s">
        <v>826</v>
      </c>
      <c r="Q208" s="47" t="s">
        <v>1173</v>
      </c>
      <c r="R208" s="47" t="s">
        <v>1174</v>
      </c>
      <c r="S208" s="47" t="s">
        <v>839</v>
      </c>
      <c r="T208" s="47" t="s">
        <v>1171</v>
      </c>
      <c r="U208" s="47" t="s">
        <v>1392</v>
      </c>
      <c r="V208" s="47" t="s">
        <v>841</v>
      </c>
      <c r="W208" s="231" t="s">
        <v>1173</v>
      </c>
      <c r="X208" s="47" t="s">
        <v>1394</v>
      </c>
      <c r="Y208" s="47" t="s">
        <v>839</v>
      </c>
      <c r="Z208" s="55"/>
      <c r="AA208" s="1"/>
      <c r="AB208" s="1"/>
      <c r="AC208" s="245"/>
      <c r="AD208" s="56"/>
      <c r="AQ208" s="139"/>
      <c r="AR208" s="139"/>
      <c r="AS208" s="139"/>
      <c r="AX208" s="3"/>
      <c r="AY208" s="3"/>
      <c r="AZ208" s="3"/>
      <c r="BA208" s="3"/>
    </row>
    <row r="209" spans="1:53" ht="12.75" customHeight="1" x14ac:dyDescent="0.25">
      <c r="A209" s="1013"/>
      <c r="B209" s="36" t="s">
        <v>1175</v>
      </c>
      <c r="C209" s="222">
        <f>C216</f>
        <v>132.90867321322253</v>
      </c>
      <c r="D209" s="732">
        <f>C209*$D$5</f>
        <v>26.847551989070951</v>
      </c>
      <c r="E209" s="227" t="s">
        <v>1176</v>
      </c>
      <c r="F209" s="165"/>
      <c r="G209" s="58"/>
      <c r="H209" s="58"/>
      <c r="I209" s="2">
        <f>SUM(I210:I217)</f>
        <v>19.86</v>
      </c>
      <c r="J209" s="59" t="s">
        <v>1176</v>
      </c>
      <c r="K209" s="169"/>
      <c r="L209" s="60"/>
      <c r="M209" s="60"/>
      <c r="N209" s="399">
        <f>SUM(N210:N217)</f>
        <v>0.22307280480975736</v>
      </c>
      <c r="O209" s="60" t="s">
        <v>1176</v>
      </c>
      <c r="P209" s="60"/>
      <c r="Q209" s="62"/>
      <c r="R209" s="63"/>
      <c r="S209" s="399">
        <f>SUM(S210:S217)</f>
        <v>1.670192242604752</v>
      </c>
      <c r="T209" s="61"/>
      <c r="U209" s="61"/>
      <c r="V209" s="61"/>
      <c r="W209" s="61"/>
      <c r="X209" s="61"/>
      <c r="Y209" s="399">
        <f>SUM(Y210:Y217)</f>
        <v>23.661475572758654</v>
      </c>
      <c r="Z209" s="64">
        <f>(C209+D209+I209+N209+S209+Y209)*$Z$5</f>
        <v>266.76076468118964</v>
      </c>
      <c r="AA209" s="65">
        <f>C209+D209+I209+N209+S209+Y209+Z209</f>
        <v>471.9317305036563</v>
      </c>
      <c r="AB209" s="66">
        <v>0.25</v>
      </c>
      <c r="AC209" s="244">
        <f>AA209*(1+AB209)</f>
        <v>589.91466312957039</v>
      </c>
      <c r="AD209" s="67"/>
      <c r="AI209" s="139"/>
      <c r="AJ209" s="140"/>
      <c r="AK209" s="141"/>
      <c r="AM209" s="142"/>
      <c r="AN209" s="143"/>
      <c r="AO209" s="142"/>
      <c r="AP209" s="139"/>
      <c r="AQ209" s="139"/>
      <c r="AR209" s="139"/>
      <c r="AS209" s="139"/>
      <c r="AT209" s="139"/>
      <c r="AU209" s="142"/>
      <c r="AV209" s="142"/>
      <c r="AW209" s="144"/>
      <c r="AX209" s="3"/>
      <c r="AY209" s="3"/>
      <c r="AZ209" s="3"/>
      <c r="BA209" s="3"/>
    </row>
    <row r="210" spans="1:53" x14ac:dyDescent="0.25">
      <c r="A210" s="1013"/>
      <c r="B210" s="50" t="s">
        <v>830</v>
      </c>
      <c r="C210" s="222"/>
      <c r="D210" s="733"/>
      <c r="E210" s="68" t="s">
        <v>1437</v>
      </c>
      <c r="F210" s="69" t="s">
        <v>1438</v>
      </c>
      <c r="G210" s="70">
        <v>0.3</v>
      </c>
      <c r="H210" s="69">
        <v>10</v>
      </c>
      <c r="I210" s="71">
        <f>G210*H210</f>
        <v>3</v>
      </c>
      <c r="J210" s="59" t="s">
        <v>1291</v>
      </c>
      <c r="K210" s="72">
        <v>2</v>
      </c>
      <c r="L210" s="73">
        <v>750</v>
      </c>
      <c r="M210" s="72">
        <v>2</v>
      </c>
      <c r="N210" s="399">
        <f>L210/'Исп. коэффициенты'!E34*C214</f>
        <v>0.19230414207737703</v>
      </c>
      <c r="O210" s="60" t="s">
        <v>2114</v>
      </c>
      <c r="P210" s="60">
        <v>2994195.8</v>
      </c>
      <c r="Q210" s="60">
        <v>19.670000000000002</v>
      </c>
      <c r="R210" s="60">
        <v>6513.87</v>
      </c>
      <c r="S210" s="739">
        <f>R210/'Исп. коэффициенты'!E34*+('КМУ УЗИ'!C214)</f>
        <v>1.670192242604752</v>
      </c>
      <c r="T210" s="239" t="s">
        <v>1435</v>
      </c>
      <c r="U210" s="240">
        <v>6785401.3499999996</v>
      </c>
      <c r="V210" s="740">
        <f>'Исп. коэффициенты'!E124</f>
        <v>2978.5</v>
      </c>
      <c r="W210" s="241">
        <f>'Исп. коэффициенты'!D124</f>
        <v>1.3599999999999999E-2</v>
      </c>
      <c r="X210" s="61">
        <f>U210*W210</f>
        <v>92281.45835999999</v>
      </c>
      <c r="Y210" s="739">
        <f>X210/'Исп. коэффициенты'!E34*'КМУ УЗИ'!C214</f>
        <v>23.661475572758654</v>
      </c>
      <c r="Z210" s="60"/>
      <c r="AA210" s="1"/>
      <c r="AB210" s="1"/>
      <c r="AC210" s="1"/>
      <c r="AD210" s="56"/>
      <c r="AF210" s="151"/>
      <c r="AJ210" s="136"/>
      <c r="AX210" s="3"/>
      <c r="AY210" s="3"/>
      <c r="AZ210" s="3"/>
      <c r="BA210" s="3"/>
    </row>
    <row r="211" spans="1:53" x14ac:dyDescent="0.25">
      <c r="A211" s="1013"/>
      <c r="B211" s="74" t="s">
        <v>1178</v>
      </c>
      <c r="C211" s="223">
        <f>C191</f>
        <v>33.667709452234185</v>
      </c>
      <c r="D211" s="733"/>
      <c r="E211" s="68" t="s">
        <v>2112</v>
      </c>
      <c r="F211" s="69" t="s">
        <v>1</v>
      </c>
      <c r="G211" s="70">
        <v>0.47</v>
      </c>
      <c r="H211" s="69">
        <v>10</v>
      </c>
      <c r="I211" s="242">
        <f>G211*H211</f>
        <v>4.6999999999999993</v>
      </c>
      <c r="J211" s="59" t="s">
        <v>1445</v>
      </c>
      <c r="K211" s="61">
        <v>2</v>
      </c>
      <c r="L211" s="76">
        <v>95</v>
      </c>
      <c r="M211" s="72">
        <v>2</v>
      </c>
      <c r="N211" s="399">
        <f>L211/'Исп. коэффициенты'!E34*C214</f>
        <v>2.4358524663134422E-2</v>
      </c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1"/>
      <c r="AB211" s="1"/>
      <c r="AC211" s="1"/>
      <c r="AD211" s="56"/>
      <c r="AF211" s="151"/>
      <c r="AJ211" s="136"/>
      <c r="AM211" s="145"/>
      <c r="AX211" s="3"/>
      <c r="AY211" s="3"/>
      <c r="AZ211" s="3"/>
      <c r="BA211" s="3"/>
    </row>
    <row r="212" spans="1:53" x14ac:dyDescent="0.25">
      <c r="A212" s="1013"/>
      <c r="B212" s="57" t="s">
        <v>1179</v>
      </c>
      <c r="C212" s="222">
        <f>C192</f>
        <v>19.495759833054819</v>
      </c>
      <c r="D212" s="733"/>
      <c r="E212" s="68" t="s">
        <v>1598</v>
      </c>
      <c r="F212" s="69" t="s">
        <v>1441</v>
      </c>
      <c r="G212" s="70">
        <v>5.36</v>
      </c>
      <c r="H212" s="70">
        <v>1</v>
      </c>
      <c r="I212" s="71">
        <f>G212*H212</f>
        <v>5.36</v>
      </c>
      <c r="J212" s="59" t="s">
        <v>1513</v>
      </c>
      <c r="K212" s="61">
        <v>2</v>
      </c>
      <c r="L212" s="61">
        <v>25</v>
      </c>
      <c r="M212" s="72">
        <v>0.5</v>
      </c>
      <c r="N212" s="399">
        <f>L212/'Исп. коэффициенты'!E34*C214</f>
        <v>6.4101380692459017E-3</v>
      </c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1"/>
      <c r="AB212" s="1"/>
      <c r="AC212" s="1"/>
      <c r="AD212" s="56"/>
      <c r="AF212" s="151"/>
      <c r="AJ212" s="136"/>
      <c r="AX212" s="3"/>
      <c r="AY212" s="3"/>
      <c r="AZ212" s="3"/>
      <c r="BA212" s="3"/>
    </row>
    <row r="213" spans="1:53" x14ac:dyDescent="0.25">
      <c r="A213" s="1013"/>
      <c r="B213" s="57" t="s">
        <v>831</v>
      </c>
      <c r="C213" s="224"/>
      <c r="D213" s="733"/>
      <c r="E213" s="68" t="s">
        <v>2113</v>
      </c>
      <c r="F213" s="69" t="s">
        <v>1</v>
      </c>
      <c r="G213" s="70">
        <v>0.17</v>
      </c>
      <c r="H213" s="69">
        <v>40</v>
      </c>
      <c r="I213" s="71">
        <f>G213*H213</f>
        <v>6.8000000000000007</v>
      </c>
      <c r="J213" s="59"/>
      <c r="K213" s="61"/>
      <c r="L213" s="61"/>
      <c r="M213" s="61"/>
      <c r="N213" s="61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1"/>
      <c r="AB213" s="1"/>
      <c r="AC213" s="1"/>
      <c r="AD213" s="56"/>
      <c r="AF213" s="151"/>
      <c r="AJ213" s="136"/>
      <c r="AX213" s="3"/>
      <c r="AY213" s="3"/>
      <c r="AZ213" s="3"/>
      <c r="BA213" s="3"/>
    </row>
    <row r="214" spans="1:53" x14ac:dyDescent="0.25">
      <c r="A214" s="1013"/>
      <c r="B214" s="74" t="s">
        <v>1178</v>
      </c>
      <c r="C214" s="225">
        <v>2.5</v>
      </c>
      <c r="D214" s="733"/>
      <c r="E214" s="68"/>
      <c r="F214" s="69"/>
      <c r="G214" s="70"/>
      <c r="H214" s="69"/>
      <c r="I214" s="71"/>
      <c r="J214" s="59"/>
      <c r="K214" s="61"/>
      <c r="L214" s="61"/>
      <c r="M214" s="61"/>
      <c r="N214" s="61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1"/>
      <c r="AB214" s="1"/>
      <c r="AC214" s="1"/>
      <c r="AD214" s="56"/>
      <c r="AF214" s="151"/>
      <c r="AJ214" s="146"/>
      <c r="AX214" s="3"/>
      <c r="AY214" s="3"/>
      <c r="AZ214" s="3"/>
      <c r="BA214" s="3"/>
    </row>
    <row r="215" spans="1:53" x14ac:dyDescent="0.25">
      <c r="A215" s="1013"/>
      <c r="B215" s="57" t="s">
        <v>1179</v>
      </c>
      <c r="C215" s="225">
        <v>2.5</v>
      </c>
      <c r="D215" s="733"/>
      <c r="E215" s="68"/>
      <c r="F215" s="69"/>
      <c r="G215" s="70"/>
      <c r="H215" s="69"/>
      <c r="I215" s="71"/>
      <c r="J215" s="59"/>
      <c r="K215" s="61"/>
      <c r="L215" s="61"/>
      <c r="M215" s="61"/>
      <c r="N215" s="61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1"/>
      <c r="AB215" s="1"/>
      <c r="AC215" s="1"/>
      <c r="AD215" s="56"/>
      <c r="AF215" s="151"/>
      <c r="AJ215" s="146"/>
      <c r="AX215" s="3"/>
      <c r="AY215" s="3"/>
      <c r="AZ215" s="3"/>
      <c r="BA215" s="3"/>
    </row>
    <row r="216" spans="1:53" x14ac:dyDescent="0.25">
      <c r="A216" s="1013"/>
      <c r="B216" s="79" t="s">
        <v>1181</v>
      </c>
      <c r="C216" s="222">
        <f>C211*C214+C212*C215</f>
        <v>132.90867321322253</v>
      </c>
      <c r="D216" s="733"/>
      <c r="E216" s="228"/>
      <c r="F216" s="166"/>
      <c r="G216" s="70"/>
      <c r="H216" s="69"/>
      <c r="I216" s="71"/>
      <c r="J216" s="59"/>
      <c r="K216" s="170"/>
      <c r="L216" s="76"/>
      <c r="M216" s="72"/>
      <c r="N216" s="61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1"/>
      <c r="AB216" s="1"/>
      <c r="AC216" s="1"/>
      <c r="AD216" s="56"/>
      <c r="AF216" s="151"/>
      <c r="AJ216" s="136"/>
      <c r="AX216" s="3"/>
      <c r="AY216" s="3"/>
      <c r="AZ216" s="3"/>
      <c r="BA216" s="3"/>
    </row>
    <row r="217" spans="1:53" x14ac:dyDescent="0.25">
      <c r="A217" s="1014"/>
      <c r="B217" s="123"/>
      <c r="C217" s="225"/>
      <c r="D217" s="734"/>
      <c r="E217" s="228"/>
      <c r="F217" s="166"/>
      <c r="G217" s="70"/>
      <c r="H217" s="69"/>
      <c r="I217" s="71"/>
      <c r="J217" s="59"/>
      <c r="K217" s="170"/>
      <c r="L217" s="61"/>
      <c r="M217" s="72"/>
      <c r="N217" s="61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1"/>
      <c r="AB217" s="1"/>
      <c r="AC217" s="1"/>
      <c r="AD217" s="56"/>
      <c r="AF217" s="151"/>
      <c r="AJ217" s="146"/>
      <c r="AX217" s="3"/>
      <c r="AY217" s="3"/>
      <c r="AZ217" s="3"/>
      <c r="BA217" s="3"/>
    </row>
    <row r="218" spans="1:53" ht="56.25" customHeight="1" x14ac:dyDescent="0.25">
      <c r="A218" s="1012" t="s">
        <v>2155</v>
      </c>
      <c r="B218" s="258" t="s">
        <v>2154</v>
      </c>
      <c r="C218" s="222"/>
      <c r="D218" s="732"/>
      <c r="E218" s="226" t="s">
        <v>488</v>
      </c>
      <c r="F218" s="53" t="s">
        <v>837</v>
      </c>
      <c r="G218" s="735" t="s">
        <v>489</v>
      </c>
      <c r="H218" s="52" t="s">
        <v>1170</v>
      </c>
      <c r="I218" s="53" t="s">
        <v>838</v>
      </c>
      <c r="J218" s="47" t="s">
        <v>1171</v>
      </c>
      <c r="K218" s="47" t="s">
        <v>490</v>
      </c>
      <c r="L218" s="54" t="s">
        <v>489</v>
      </c>
      <c r="M218" s="47" t="s">
        <v>1172</v>
      </c>
      <c r="N218" s="53" t="s">
        <v>838</v>
      </c>
      <c r="O218" s="47" t="s">
        <v>1171</v>
      </c>
      <c r="P218" s="47" t="s">
        <v>826</v>
      </c>
      <c r="Q218" s="47" t="s">
        <v>1173</v>
      </c>
      <c r="R218" s="47" t="s">
        <v>1174</v>
      </c>
      <c r="S218" s="47" t="s">
        <v>839</v>
      </c>
      <c r="T218" s="47" t="s">
        <v>1171</v>
      </c>
      <c r="U218" s="47" t="s">
        <v>1392</v>
      </c>
      <c r="V218" s="47" t="s">
        <v>841</v>
      </c>
      <c r="W218" s="231" t="s">
        <v>1173</v>
      </c>
      <c r="X218" s="47" t="s">
        <v>1394</v>
      </c>
      <c r="Y218" s="47" t="s">
        <v>839</v>
      </c>
      <c r="Z218" s="55"/>
      <c r="AA218" s="1"/>
      <c r="AB218" s="1"/>
      <c r="AC218" s="245"/>
      <c r="AD218" s="56"/>
      <c r="AQ218" s="139"/>
      <c r="AR218" s="139"/>
      <c r="AS218" s="139"/>
      <c r="AX218" s="3"/>
      <c r="AY218" s="3"/>
      <c r="AZ218" s="3"/>
      <c r="BA218" s="3"/>
    </row>
    <row r="219" spans="1:53" ht="12.75" customHeight="1" x14ac:dyDescent="0.25">
      <c r="A219" s="1013"/>
      <c r="B219" s="36" t="s">
        <v>1175</v>
      </c>
      <c r="C219" s="222">
        <f>C226</f>
        <v>106.32693857057801</v>
      </c>
      <c r="D219" s="732">
        <f>C219*$D$5</f>
        <v>21.478041591256758</v>
      </c>
      <c r="E219" s="227" t="s">
        <v>1176</v>
      </c>
      <c r="F219" s="165"/>
      <c r="G219" s="58"/>
      <c r="H219" s="58"/>
      <c r="I219" s="2">
        <f>SUM(I220:I227)</f>
        <v>19.86</v>
      </c>
      <c r="J219" s="59" t="s">
        <v>1176</v>
      </c>
      <c r="K219" s="169"/>
      <c r="L219" s="60"/>
      <c r="M219" s="60"/>
      <c r="N219" s="399">
        <f>SUM(N220:N227)</f>
        <v>0.17845824384780587</v>
      </c>
      <c r="O219" s="60" t="s">
        <v>1176</v>
      </c>
      <c r="P219" s="60"/>
      <c r="Q219" s="62"/>
      <c r="R219" s="63"/>
      <c r="S219" s="399">
        <f>SUM(S220:S227)</f>
        <v>1.3361537940838015</v>
      </c>
      <c r="T219" s="61"/>
      <c r="U219" s="61"/>
      <c r="V219" s="61"/>
      <c r="W219" s="61"/>
      <c r="X219" s="61"/>
      <c r="Y219" s="399">
        <f>SUM(Y220:Y227)</f>
        <v>18.929180458206922</v>
      </c>
      <c r="Z219" s="64">
        <f>(C219+D219+I219+N219+S219+Y219)*$Z$5</f>
        <v>218.57295726073258</v>
      </c>
      <c r="AA219" s="65">
        <f>C219+D219+I219+N219+S219+Y219+Z219</f>
        <v>386.68172991870586</v>
      </c>
      <c r="AB219" s="66">
        <v>0.25</v>
      </c>
      <c r="AC219" s="244">
        <f>AA219*(1+AB219)</f>
        <v>483.35216239838235</v>
      </c>
      <c r="AD219" s="67"/>
      <c r="AI219" s="139"/>
      <c r="AJ219" s="140"/>
      <c r="AK219" s="141"/>
      <c r="AM219" s="142"/>
      <c r="AN219" s="143"/>
      <c r="AO219" s="142"/>
      <c r="AP219" s="139"/>
      <c r="AQ219" s="139"/>
      <c r="AR219" s="139"/>
      <c r="AS219" s="139"/>
      <c r="AT219" s="139"/>
      <c r="AU219" s="142"/>
      <c r="AV219" s="142"/>
      <c r="AW219" s="144"/>
      <c r="AX219" s="3"/>
      <c r="AY219" s="3"/>
      <c r="AZ219" s="3"/>
      <c r="BA219" s="3"/>
    </row>
    <row r="220" spans="1:53" x14ac:dyDescent="0.25">
      <c r="A220" s="1013"/>
      <c r="B220" s="50" t="s">
        <v>830</v>
      </c>
      <c r="C220" s="222"/>
      <c r="D220" s="733"/>
      <c r="E220" s="68" t="s">
        <v>1437</v>
      </c>
      <c r="F220" s="69" t="s">
        <v>1438</v>
      </c>
      <c r="G220" s="70">
        <v>0.3</v>
      </c>
      <c r="H220" s="69">
        <v>10</v>
      </c>
      <c r="I220" s="71">
        <f>G220*H220</f>
        <v>3</v>
      </c>
      <c r="J220" s="59" t="s">
        <v>1291</v>
      </c>
      <c r="K220" s="72">
        <v>2</v>
      </c>
      <c r="L220" s="73">
        <v>750</v>
      </c>
      <c r="M220" s="72">
        <v>2</v>
      </c>
      <c r="N220" s="399">
        <f>L220/'Исп. коэффициенты'!E34*C224</f>
        <v>0.15384331366190163</v>
      </c>
      <c r="O220" s="60" t="s">
        <v>2114</v>
      </c>
      <c r="P220" s="60">
        <v>2994195.8</v>
      </c>
      <c r="Q220" s="60">
        <v>19.670000000000002</v>
      </c>
      <c r="R220" s="60">
        <v>6513.87</v>
      </c>
      <c r="S220" s="739">
        <f>R220/'Исп. коэффициенты'!E34*+('КМУ УЗИ'!C224)</f>
        <v>1.3361537940838015</v>
      </c>
      <c r="T220" s="239" t="s">
        <v>1435</v>
      </c>
      <c r="U220" s="240">
        <v>6785401.3499999996</v>
      </c>
      <c r="V220" s="740">
        <f>'Исп. коэффициенты'!E124</f>
        <v>2978.5</v>
      </c>
      <c r="W220" s="241">
        <f>'Исп. коэффициенты'!D124</f>
        <v>1.3599999999999999E-2</v>
      </c>
      <c r="X220" s="61">
        <f>U220*W220</f>
        <v>92281.45835999999</v>
      </c>
      <c r="Y220" s="739">
        <f>X220/'Исп. коэффициенты'!E34*'КМУ УЗИ'!C224</f>
        <v>18.929180458206922</v>
      </c>
      <c r="Z220" s="60"/>
      <c r="AA220" s="1"/>
      <c r="AB220" s="1"/>
      <c r="AC220" s="1"/>
      <c r="AD220" s="56"/>
      <c r="AF220" s="151"/>
      <c r="AJ220" s="136"/>
      <c r="AX220" s="3"/>
      <c r="AY220" s="3"/>
      <c r="AZ220" s="3"/>
      <c r="BA220" s="3"/>
    </row>
    <row r="221" spans="1:53" x14ac:dyDescent="0.25">
      <c r="A221" s="1013"/>
      <c r="B221" s="74" t="s">
        <v>1178</v>
      </c>
      <c r="C221" s="223">
        <f>C201</f>
        <v>33.667709452234185</v>
      </c>
      <c r="D221" s="733"/>
      <c r="E221" s="68" t="s">
        <v>2112</v>
      </c>
      <c r="F221" s="69" t="s">
        <v>1</v>
      </c>
      <c r="G221" s="70">
        <v>0.47</v>
      </c>
      <c r="H221" s="69">
        <v>10</v>
      </c>
      <c r="I221" s="242">
        <f>G221*H221</f>
        <v>4.6999999999999993</v>
      </c>
      <c r="J221" s="59" t="s">
        <v>1445</v>
      </c>
      <c r="K221" s="61">
        <v>2</v>
      </c>
      <c r="L221" s="76">
        <v>95</v>
      </c>
      <c r="M221" s="72">
        <v>2</v>
      </c>
      <c r="N221" s="399">
        <f>L221/'Исп. коэффициенты'!E34*C224</f>
        <v>1.9486819730507539E-2</v>
      </c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1"/>
      <c r="AB221" s="1"/>
      <c r="AC221" s="1"/>
      <c r="AD221" s="56"/>
      <c r="AF221" s="151"/>
      <c r="AJ221" s="136"/>
      <c r="AM221" s="145"/>
      <c r="AX221" s="3"/>
      <c r="AY221" s="3"/>
      <c r="AZ221" s="3"/>
      <c r="BA221" s="3"/>
    </row>
    <row r="222" spans="1:53" x14ac:dyDescent="0.25">
      <c r="A222" s="1013"/>
      <c r="B222" s="57" t="s">
        <v>1179</v>
      </c>
      <c r="C222" s="222">
        <f>C202</f>
        <v>19.495759833054819</v>
      </c>
      <c r="D222" s="733"/>
      <c r="E222" s="68" t="s">
        <v>1598</v>
      </c>
      <c r="F222" s="69" t="s">
        <v>1441</v>
      </c>
      <c r="G222" s="70">
        <v>5.36</v>
      </c>
      <c r="H222" s="70">
        <v>1</v>
      </c>
      <c r="I222" s="71">
        <f>G222*H222</f>
        <v>5.36</v>
      </c>
      <c r="J222" s="59" t="s">
        <v>1513</v>
      </c>
      <c r="K222" s="61">
        <v>2</v>
      </c>
      <c r="L222" s="61">
        <v>25</v>
      </c>
      <c r="M222" s="72">
        <v>0.5</v>
      </c>
      <c r="N222" s="399">
        <f>L222/'Исп. коэффициенты'!E34*C224</f>
        <v>5.1281104553967212E-3</v>
      </c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1"/>
      <c r="AB222" s="1"/>
      <c r="AC222" s="1"/>
      <c r="AD222" s="56"/>
      <c r="AF222" s="151"/>
      <c r="AJ222" s="136"/>
      <c r="AX222" s="3"/>
      <c r="AY222" s="3"/>
      <c r="AZ222" s="3"/>
      <c r="BA222" s="3"/>
    </row>
    <row r="223" spans="1:53" x14ac:dyDescent="0.25">
      <c r="A223" s="1013"/>
      <c r="B223" s="57" t="s">
        <v>831</v>
      </c>
      <c r="C223" s="224"/>
      <c r="D223" s="733"/>
      <c r="E223" s="68" t="s">
        <v>2113</v>
      </c>
      <c r="F223" s="69" t="s">
        <v>1</v>
      </c>
      <c r="G223" s="70">
        <v>0.17</v>
      </c>
      <c r="H223" s="69">
        <v>40</v>
      </c>
      <c r="I223" s="71">
        <f>G223*H223</f>
        <v>6.8000000000000007</v>
      </c>
      <c r="J223" s="59"/>
      <c r="K223" s="61"/>
      <c r="L223" s="61"/>
      <c r="M223" s="61"/>
      <c r="N223" s="61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1"/>
      <c r="AB223" s="1"/>
      <c r="AC223" s="1"/>
      <c r="AD223" s="56"/>
      <c r="AF223" s="151"/>
      <c r="AJ223" s="136"/>
      <c r="AX223" s="3"/>
      <c r="AY223" s="3"/>
      <c r="AZ223" s="3"/>
      <c r="BA223" s="3"/>
    </row>
    <row r="224" spans="1:53" x14ac:dyDescent="0.25">
      <c r="A224" s="1013"/>
      <c r="B224" s="74" t="s">
        <v>1178</v>
      </c>
      <c r="C224" s="225">
        <v>2</v>
      </c>
      <c r="D224" s="733"/>
      <c r="E224" s="68"/>
      <c r="F224" s="69"/>
      <c r="G224" s="70"/>
      <c r="H224" s="69"/>
      <c r="I224" s="71"/>
      <c r="J224" s="59"/>
      <c r="K224" s="61"/>
      <c r="L224" s="61"/>
      <c r="M224" s="61"/>
      <c r="N224" s="61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1"/>
      <c r="AB224" s="1"/>
      <c r="AC224" s="1"/>
      <c r="AD224" s="56"/>
      <c r="AF224" s="151"/>
      <c r="AJ224" s="146"/>
      <c r="AX224" s="3"/>
      <c r="AY224" s="3"/>
      <c r="AZ224" s="3"/>
      <c r="BA224" s="3"/>
    </row>
    <row r="225" spans="1:53" x14ac:dyDescent="0.25">
      <c r="A225" s="1013"/>
      <c r="B225" s="57" t="s">
        <v>1179</v>
      </c>
      <c r="C225" s="225">
        <v>2</v>
      </c>
      <c r="D225" s="733"/>
      <c r="E225" s="68"/>
      <c r="F225" s="69"/>
      <c r="G225" s="70"/>
      <c r="H225" s="69"/>
      <c r="I225" s="71"/>
      <c r="J225" s="59"/>
      <c r="K225" s="61"/>
      <c r="L225" s="61"/>
      <c r="M225" s="61"/>
      <c r="N225" s="61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1"/>
      <c r="AB225" s="1"/>
      <c r="AC225" s="1"/>
      <c r="AD225" s="56"/>
      <c r="AF225" s="151"/>
      <c r="AJ225" s="146"/>
      <c r="AX225" s="3"/>
      <c r="AY225" s="3"/>
      <c r="AZ225" s="3"/>
      <c r="BA225" s="3"/>
    </row>
    <row r="226" spans="1:53" x14ac:dyDescent="0.25">
      <c r="A226" s="1013"/>
      <c r="B226" s="79" t="s">
        <v>1181</v>
      </c>
      <c r="C226" s="222">
        <f>C221*C224+C222*C225</f>
        <v>106.32693857057801</v>
      </c>
      <c r="D226" s="733"/>
      <c r="E226" s="228"/>
      <c r="F226" s="166"/>
      <c r="G226" s="70"/>
      <c r="H226" s="69"/>
      <c r="I226" s="71"/>
      <c r="J226" s="59"/>
      <c r="K226" s="170"/>
      <c r="L226" s="76"/>
      <c r="M226" s="72"/>
      <c r="N226" s="61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1"/>
      <c r="AB226" s="1"/>
      <c r="AC226" s="1"/>
      <c r="AD226" s="56"/>
      <c r="AF226" s="151"/>
      <c r="AJ226" s="136"/>
      <c r="AX226" s="3"/>
      <c r="AY226" s="3"/>
      <c r="AZ226" s="3"/>
      <c r="BA226" s="3"/>
    </row>
    <row r="227" spans="1:53" x14ac:dyDescent="0.25">
      <c r="A227" s="1014"/>
      <c r="B227" s="123"/>
      <c r="C227" s="225"/>
      <c r="D227" s="734"/>
      <c r="E227" s="228"/>
      <c r="F227" s="166"/>
      <c r="G227" s="70"/>
      <c r="H227" s="69"/>
      <c r="I227" s="71"/>
      <c r="J227" s="59"/>
      <c r="K227" s="170"/>
      <c r="L227" s="61"/>
      <c r="M227" s="72"/>
      <c r="N227" s="61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1"/>
      <c r="AB227" s="1"/>
      <c r="AC227" s="1"/>
      <c r="AD227" s="56"/>
      <c r="AF227" s="151"/>
      <c r="AJ227" s="146"/>
      <c r="AX227" s="3"/>
      <c r="AY227" s="3"/>
      <c r="AZ227" s="3"/>
      <c r="BA227" s="3"/>
    </row>
    <row r="228" spans="1:53" ht="56.25" customHeight="1" x14ac:dyDescent="0.25">
      <c r="A228" s="1012" t="s">
        <v>2156</v>
      </c>
      <c r="B228" s="258" t="s">
        <v>2157</v>
      </c>
      <c r="C228" s="222"/>
      <c r="D228" s="732"/>
      <c r="E228" s="226" t="s">
        <v>488</v>
      </c>
      <c r="F228" s="53" t="s">
        <v>837</v>
      </c>
      <c r="G228" s="735" t="s">
        <v>489</v>
      </c>
      <c r="H228" s="52" t="s">
        <v>1170</v>
      </c>
      <c r="I228" s="53" t="s">
        <v>838</v>
      </c>
      <c r="J228" s="47" t="s">
        <v>1171</v>
      </c>
      <c r="K228" s="47" t="s">
        <v>490</v>
      </c>
      <c r="L228" s="54" t="s">
        <v>489</v>
      </c>
      <c r="M228" s="47" t="s">
        <v>1172</v>
      </c>
      <c r="N228" s="53" t="s">
        <v>838</v>
      </c>
      <c r="O228" s="47" t="s">
        <v>1171</v>
      </c>
      <c r="P228" s="47" t="s">
        <v>826</v>
      </c>
      <c r="Q228" s="47" t="s">
        <v>1173</v>
      </c>
      <c r="R228" s="47" t="s">
        <v>1174</v>
      </c>
      <c r="S228" s="47" t="s">
        <v>839</v>
      </c>
      <c r="T228" s="47" t="s">
        <v>1171</v>
      </c>
      <c r="U228" s="47" t="s">
        <v>1392</v>
      </c>
      <c r="V228" s="47" t="s">
        <v>841</v>
      </c>
      <c r="W228" s="231" t="s">
        <v>1173</v>
      </c>
      <c r="X228" s="47" t="s">
        <v>1394</v>
      </c>
      <c r="Y228" s="47" t="s">
        <v>839</v>
      </c>
      <c r="Z228" s="55"/>
      <c r="AA228" s="1"/>
      <c r="AB228" s="1"/>
      <c r="AC228" s="245"/>
      <c r="AD228" s="56"/>
      <c r="AQ228" s="139"/>
      <c r="AR228" s="139"/>
      <c r="AS228" s="139"/>
      <c r="AX228" s="3"/>
      <c r="AY228" s="3"/>
      <c r="AZ228" s="3"/>
      <c r="BA228" s="3"/>
    </row>
    <row r="229" spans="1:53" ht="12.75" customHeight="1" x14ac:dyDescent="0.25">
      <c r="A229" s="1013"/>
      <c r="B229" s="36" t="s">
        <v>1175</v>
      </c>
      <c r="C229" s="222">
        <f>C236</f>
        <v>106.32693857057801</v>
      </c>
      <c r="D229" s="732">
        <f>C229*$D$5</f>
        <v>21.478041591256758</v>
      </c>
      <c r="E229" s="227" t="s">
        <v>1176</v>
      </c>
      <c r="F229" s="165"/>
      <c r="G229" s="58"/>
      <c r="H229" s="58"/>
      <c r="I229" s="2">
        <f>SUM(I230:I237)</f>
        <v>19.86</v>
      </c>
      <c r="J229" s="59" t="s">
        <v>1176</v>
      </c>
      <c r="K229" s="169"/>
      <c r="L229" s="60"/>
      <c r="M229" s="60"/>
      <c r="N229" s="399">
        <f>SUM(N230:N237)</f>
        <v>0.17845824384780587</v>
      </c>
      <c r="O229" s="60" t="s">
        <v>1176</v>
      </c>
      <c r="P229" s="60"/>
      <c r="Q229" s="62"/>
      <c r="R229" s="63"/>
      <c r="S229" s="399">
        <f>SUM(S230:S237)</f>
        <v>1.3361537940838015</v>
      </c>
      <c r="T229" s="61"/>
      <c r="U229" s="61"/>
      <c r="V229" s="61"/>
      <c r="W229" s="61"/>
      <c r="X229" s="61"/>
      <c r="Y229" s="399">
        <f>SUM(Y230:Y237)</f>
        <v>18.929180458206922</v>
      </c>
      <c r="Z229" s="64">
        <f>(C229+D229+I229+N229+S229+Y229)*$Z$5</f>
        <v>218.57295726073258</v>
      </c>
      <c r="AA229" s="65">
        <f>C229+D229+I229+N229+S229+Y229+Z229</f>
        <v>386.68172991870586</v>
      </c>
      <c r="AB229" s="66">
        <v>0.25</v>
      </c>
      <c r="AC229" s="244">
        <f>AA229*(1+AB229)</f>
        <v>483.35216239838235</v>
      </c>
      <c r="AD229" s="67"/>
      <c r="AI229" s="139"/>
      <c r="AJ229" s="140"/>
      <c r="AK229" s="141"/>
      <c r="AM229" s="142"/>
      <c r="AN229" s="143"/>
      <c r="AO229" s="142"/>
      <c r="AP229" s="139"/>
      <c r="AQ229" s="139"/>
      <c r="AR229" s="139"/>
      <c r="AS229" s="139"/>
      <c r="AT229" s="139"/>
      <c r="AU229" s="142"/>
      <c r="AV229" s="142"/>
      <c r="AW229" s="144"/>
      <c r="AX229" s="3"/>
      <c r="AY229" s="3"/>
      <c r="AZ229" s="3"/>
      <c r="BA229" s="3"/>
    </row>
    <row r="230" spans="1:53" x14ac:dyDescent="0.25">
      <c r="A230" s="1013"/>
      <c r="B230" s="50" t="s">
        <v>830</v>
      </c>
      <c r="C230" s="222"/>
      <c r="D230" s="733"/>
      <c r="E230" s="68" t="s">
        <v>1437</v>
      </c>
      <c r="F230" s="69" t="s">
        <v>1438</v>
      </c>
      <c r="G230" s="70">
        <v>0.3</v>
      </c>
      <c r="H230" s="69">
        <v>10</v>
      </c>
      <c r="I230" s="71">
        <f>G230*H230</f>
        <v>3</v>
      </c>
      <c r="J230" s="59" t="s">
        <v>1291</v>
      </c>
      <c r="K230" s="72">
        <v>2</v>
      </c>
      <c r="L230" s="73">
        <v>750</v>
      </c>
      <c r="M230" s="72">
        <v>2</v>
      </c>
      <c r="N230" s="399">
        <f>L230/'Исп. коэффициенты'!E34*C234</f>
        <v>0.15384331366190163</v>
      </c>
      <c r="O230" s="60" t="s">
        <v>2114</v>
      </c>
      <c r="P230" s="60">
        <v>2994195.8</v>
      </c>
      <c r="Q230" s="60">
        <v>19.670000000000002</v>
      </c>
      <c r="R230" s="60">
        <v>6513.87</v>
      </c>
      <c r="S230" s="739">
        <f>R230/'Исп. коэффициенты'!E34*+('КМУ УЗИ'!C234)</f>
        <v>1.3361537940838015</v>
      </c>
      <c r="T230" s="239" t="s">
        <v>1435</v>
      </c>
      <c r="U230" s="240">
        <v>6785401.3499999996</v>
      </c>
      <c r="V230" s="740">
        <f>'Исп. коэффициенты'!E124</f>
        <v>2978.5</v>
      </c>
      <c r="W230" s="241">
        <f>'Исп. коэффициенты'!D124</f>
        <v>1.3599999999999999E-2</v>
      </c>
      <c r="X230" s="61">
        <f>U230*W230</f>
        <v>92281.45835999999</v>
      </c>
      <c r="Y230" s="739">
        <f>X230/'Исп. коэффициенты'!E34*'КМУ УЗИ'!C234</f>
        <v>18.929180458206922</v>
      </c>
      <c r="Z230" s="60"/>
      <c r="AA230" s="1"/>
      <c r="AB230" s="1"/>
      <c r="AC230" s="1"/>
      <c r="AD230" s="56"/>
      <c r="AF230" s="151"/>
      <c r="AJ230" s="136"/>
      <c r="AX230" s="3"/>
      <c r="AY230" s="3"/>
      <c r="AZ230" s="3"/>
      <c r="BA230" s="3"/>
    </row>
    <row r="231" spans="1:53" x14ac:dyDescent="0.25">
      <c r="A231" s="1013"/>
      <c r="B231" s="74" t="s">
        <v>1178</v>
      </c>
      <c r="C231" s="223">
        <f>C211</f>
        <v>33.667709452234185</v>
      </c>
      <c r="D231" s="733"/>
      <c r="E231" s="68" t="s">
        <v>2112</v>
      </c>
      <c r="F231" s="69" t="s">
        <v>1</v>
      </c>
      <c r="G231" s="70">
        <v>0.47</v>
      </c>
      <c r="H231" s="69">
        <v>10</v>
      </c>
      <c r="I231" s="242">
        <f>G231*H231</f>
        <v>4.6999999999999993</v>
      </c>
      <c r="J231" s="59" t="s">
        <v>1445</v>
      </c>
      <c r="K231" s="61">
        <v>2</v>
      </c>
      <c r="L231" s="76">
        <v>95</v>
      </c>
      <c r="M231" s="72">
        <v>2</v>
      </c>
      <c r="N231" s="399">
        <f>L231/'Исп. коэффициенты'!E34*C234</f>
        <v>1.9486819730507539E-2</v>
      </c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1"/>
      <c r="AB231" s="1"/>
      <c r="AC231" s="1"/>
      <c r="AD231" s="56"/>
      <c r="AF231" s="151"/>
      <c r="AJ231" s="136"/>
      <c r="AM231" s="145"/>
      <c r="AX231" s="3"/>
      <c r="AY231" s="3"/>
      <c r="AZ231" s="3"/>
      <c r="BA231" s="3"/>
    </row>
    <row r="232" spans="1:53" x14ac:dyDescent="0.25">
      <c r="A232" s="1013"/>
      <c r="B232" s="57" t="s">
        <v>1179</v>
      </c>
      <c r="C232" s="222">
        <f>C212</f>
        <v>19.495759833054819</v>
      </c>
      <c r="D232" s="733"/>
      <c r="E232" s="68" t="s">
        <v>1598</v>
      </c>
      <c r="F232" s="69" t="s">
        <v>1441</v>
      </c>
      <c r="G232" s="70">
        <v>5.36</v>
      </c>
      <c r="H232" s="70">
        <v>1</v>
      </c>
      <c r="I232" s="71">
        <f>G232*H232</f>
        <v>5.36</v>
      </c>
      <c r="J232" s="59" t="s">
        <v>1513</v>
      </c>
      <c r="K232" s="61">
        <v>2</v>
      </c>
      <c r="L232" s="61">
        <v>25</v>
      </c>
      <c r="M232" s="72">
        <v>0.5</v>
      </c>
      <c r="N232" s="399">
        <f>L232/'Исп. коэффициенты'!E34*C234</f>
        <v>5.1281104553967212E-3</v>
      </c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1"/>
      <c r="AB232" s="1"/>
      <c r="AC232" s="1"/>
      <c r="AD232" s="56"/>
      <c r="AF232" s="151"/>
      <c r="AJ232" s="136"/>
      <c r="AX232" s="3"/>
      <c r="AY232" s="3"/>
      <c r="AZ232" s="3"/>
      <c r="BA232" s="3"/>
    </row>
    <row r="233" spans="1:53" x14ac:dyDescent="0.25">
      <c r="A233" s="1013"/>
      <c r="B233" s="57" t="s">
        <v>831</v>
      </c>
      <c r="C233" s="224"/>
      <c r="D233" s="733"/>
      <c r="E233" s="68" t="s">
        <v>2113</v>
      </c>
      <c r="F233" s="69" t="s">
        <v>1</v>
      </c>
      <c r="G233" s="70">
        <v>0.17</v>
      </c>
      <c r="H233" s="69">
        <v>40</v>
      </c>
      <c r="I233" s="71">
        <f>G233*H233</f>
        <v>6.8000000000000007</v>
      </c>
      <c r="J233" s="59"/>
      <c r="K233" s="61"/>
      <c r="L233" s="61"/>
      <c r="M233" s="61"/>
      <c r="N233" s="61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1"/>
      <c r="AB233" s="1"/>
      <c r="AC233" s="1"/>
      <c r="AD233" s="56"/>
      <c r="AF233" s="151"/>
      <c r="AJ233" s="136"/>
      <c r="AX233" s="3"/>
      <c r="AY233" s="3"/>
      <c r="AZ233" s="3"/>
      <c r="BA233" s="3"/>
    </row>
    <row r="234" spans="1:53" x14ac:dyDescent="0.25">
      <c r="A234" s="1013"/>
      <c r="B234" s="74" t="s">
        <v>1178</v>
      </c>
      <c r="C234" s="225">
        <v>2</v>
      </c>
      <c r="D234" s="733"/>
      <c r="E234" s="68"/>
      <c r="F234" s="69"/>
      <c r="G234" s="70"/>
      <c r="H234" s="69"/>
      <c r="I234" s="71"/>
      <c r="J234" s="59"/>
      <c r="K234" s="61"/>
      <c r="L234" s="61"/>
      <c r="M234" s="61"/>
      <c r="N234" s="61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1"/>
      <c r="AB234" s="1"/>
      <c r="AC234" s="1"/>
      <c r="AD234" s="56"/>
      <c r="AF234" s="151"/>
      <c r="AJ234" s="146"/>
      <c r="AX234" s="3"/>
      <c r="AY234" s="3"/>
      <c r="AZ234" s="3"/>
      <c r="BA234" s="3"/>
    </row>
    <row r="235" spans="1:53" x14ac:dyDescent="0.25">
      <c r="A235" s="1013"/>
      <c r="B235" s="57" t="s">
        <v>1179</v>
      </c>
      <c r="C235" s="225">
        <v>2</v>
      </c>
      <c r="D235" s="733"/>
      <c r="E235" s="68"/>
      <c r="F235" s="69"/>
      <c r="G235" s="70"/>
      <c r="H235" s="69"/>
      <c r="I235" s="71"/>
      <c r="J235" s="59"/>
      <c r="K235" s="61"/>
      <c r="L235" s="61"/>
      <c r="M235" s="61"/>
      <c r="N235" s="61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1"/>
      <c r="AB235" s="1"/>
      <c r="AC235" s="1"/>
      <c r="AD235" s="56"/>
      <c r="AF235" s="151"/>
      <c r="AJ235" s="146"/>
      <c r="AX235" s="3"/>
      <c r="AY235" s="3"/>
      <c r="AZ235" s="3"/>
      <c r="BA235" s="3"/>
    </row>
    <row r="236" spans="1:53" x14ac:dyDescent="0.25">
      <c r="A236" s="1013"/>
      <c r="B236" s="79" t="s">
        <v>1181</v>
      </c>
      <c r="C236" s="222">
        <f>C231*C234+C232*C235</f>
        <v>106.32693857057801</v>
      </c>
      <c r="D236" s="733"/>
      <c r="E236" s="228"/>
      <c r="F236" s="166"/>
      <c r="G236" s="70"/>
      <c r="H236" s="69"/>
      <c r="I236" s="71"/>
      <c r="J236" s="59"/>
      <c r="K236" s="170"/>
      <c r="L236" s="76"/>
      <c r="M236" s="72"/>
      <c r="N236" s="61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1"/>
      <c r="AB236" s="1"/>
      <c r="AC236" s="1"/>
      <c r="AD236" s="56"/>
      <c r="AF236" s="151"/>
      <c r="AJ236" s="136"/>
      <c r="AX236" s="3"/>
      <c r="AY236" s="3"/>
      <c r="AZ236" s="3"/>
      <c r="BA236" s="3"/>
    </row>
    <row r="237" spans="1:53" x14ac:dyDescent="0.25">
      <c r="A237" s="1014"/>
      <c r="B237" s="123"/>
      <c r="C237" s="225"/>
      <c r="D237" s="734"/>
      <c r="E237" s="228"/>
      <c r="F237" s="166"/>
      <c r="G237" s="70"/>
      <c r="H237" s="69"/>
      <c r="I237" s="71"/>
      <c r="J237" s="59"/>
      <c r="K237" s="170"/>
      <c r="L237" s="61"/>
      <c r="M237" s="72"/>
      <c r="N237" s="61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1"/>
      <c r="AB237" s="1"/>
      <c r="AC237" s="1"/>
      <c r="AD237" s="56"/>
      <c r="AF237" s="151"/>
      <c r="AJ237" s="146"/>
      <c r="AX237" s="3"/>
      <c r="AY237" s="3"/>
      <c r="AZ237" s="3"/>
      <c r="BA237" s="3"/>
    </row>
    <row r="238" spans="1:53" ht="56.25" customHeight="1" x14ac:dyDescent="0.25">
      <c r="A238" s="1012" t="s">
        <v>2159</v>
      </c>
      <c r="B238" s="258" t="s">
        <v>2158</v>
      </c>
      <c r="C238" s="222"/>
      <c r="D238" s="732"/>
      <c r="E238" s="226" t="s">
        <v>488</v>
      </c>
      <c r="F238" s="53" t="s">
        <v>837</v>
      </c>
      <c r="G238" s="735" t="s">
        <v>489</v>
      </c>
      <c r="H238" s="52" t="s">
        <v>1170</v>
      </c>
      <c r="I238" s="53" t="s">
        <v>838</v>
      </c>
      <c r="J238" s="47" t="s">
        <v>1171</v>
      </c>
      <c r="K238" s="47" t="s">
        <v>490</v>
      </c>
      <c r="L238" s="54" t="s">
        <v>489</v>
      </c>
      <c r="M238" s="745" t="s">
        <v>1172</v>
      </c>
      <c r="N238" s="53" t="s">
        <v>838</v>
      </c>
      <c r="O238" s="47" t="s">
        <v>1171</v>
      </c>
      <c r="P238" s="47" t="s">
        <v>826</v>
      </c>
      <c r="Q238" s="47" t="s">
        <v>1173</v>
      </c>
      <c r="R238" s="47" t="s">
        <v>1174</v>
      </c>
      <c r="S238" s="47" t="s">
        <v>839</v>
      </c>
      <c r="T238" s="47" t="s">
        <v>1171</v>
      </c>
      <c r="U238" s="47" t="s">
        <v>1392</v>
      </c>
      <c r="V238" s="47" t="s">
        <v>841</v>
      </c>
      <c r="W238" s="231" t="s">
        <v>1173</v>
      </c>
      <c r="X238" s="47" t="s">
        <v>1394</v>
      </c>
      <c r="Y238" s="47" t="s">
        <v>839</v>
      </c>
      <c r="Z238" s="55"/>
      <c r="AA238" s="1"/>
      <c r="AB238" s="1"/>
      <c r="AC238" s="245"/>
      <c r="AD238" s="56"/>
      <c r="AQ238" s="139"/>
      <c r="AR238" s="139"/>
      <c r="AS238" s="139"/>
      <c r="AX238" s="3"/>
      <c r="AY238" s="3"/>
      <c r="AZ238" s="3"/>
      <c r="BA238" s="3"/>
    </row>
    <row r="239" spans="1:53" ht="12.75" customHeight="1" x14ac:dyDescent="0.25">
      <c r="A239" s="1013"/>
      <c r="B239" s="36" t="s">
        <v>1175</v>
      </c>
      <c r="C239" s="222">
        <f>C246</f>
        <v>159.49040785586701</v>
      </c>
      <c r="D239" s="732">
        <f>C239*$D$5</f>
        <v>32.217062386885139</v>
      </c>
      <c r="E239" s="227" t="s">
        <v>1176</v>
      </c>
      <c r="F239" s="165"/>
      <c r="G239" s="58"/>
      <c r="H239" s="58"/>
      <c r="I239" s="2">
        <f>SUM(I240:I247)</f>
        <v>19.86</v>
      </c>
      <c r="J239" s="59" t="s">
        <v>1176</v>
      </c>
      <c r="K239" s="169"/>
      <c r="L239" s="60"/>
      <c r="M239" s="60"/>
      <c r="N239" s="399">
        <f>SUM(N240:N247)</f>
        <v>0.26768736577170882</v>
      </c>
      <c r="O239" s="60" t="s">
        <v>1176</v>
      </c>
      <c r="P239" s="60"/>
      <c r="Q239" s="62"/>
      <c r="R239" s="63"/>
      <c r="S239" s="399">
        <f>SUM(S240:S247)</f>
        <v>2.0042306911257022</v>
      </c>
      <c r="T239" s="61"/>
      <c r="U239" s="61"/>
      <c r="V239" s="61"/>
      <c r="W239" s="61"/>
      <c r="X239" s="61"/>
      <c r="Y239" s="399">
        <f>SUM(Y240:Y247)</f>
        <v>28.393770687310383</v>
      </c>
      <c r="Z239" s="64">
        <f>(C239+D239+I239+N239+S239+Y239)*$Z$5</f>
        <v>314.94857210164673</v>
      </c>
      <c r="AA239" s="65">
        <f>C239+D239+I239+N239+S239+Y239+Z239</f>
        <v>557.18173108860674</v>
      </c>
      <c r="AB239" s="66">
        <v>0.25</v>
      </c>
      <c r="AC239" s="244">
        <f>AA239*(1+AB239)</f>
        <v>696.47716386075842</v>
      </c>
      <c r="AD239" s="67"/>
      <c r="AI239" s="139"/>
      <c r="AJ239" s="140"/>
      <c r="AK239" s="141"/>
      <c r="AM239" s="142"/>
      <c r="AN239" s="143"/>
      <c r="AO239" s="142"/>
      <c r="AP239" s="139"/>
      <c r="AQ239" s="139"/>
      <c r="AR239" s="139"/>
      <c r="AS239" s="139"/>
      <c r="AT239" s="139"/>
      <c r="AU239" s="142"/>
      <c r="AV239" s="142"/>
      <c r="AW239" s="144"/>
      <c r="AX239" s="3"/>
      <c r="AY239" s="3"/>
      <c r="AZ239" s="3"/>
      <c r="BA239" s="3"/>
    </row>
    <row r="240" spans="1:53" x14ac:dyDescent="0.25">
      <c r="A240" s="1013"/>
      <c r="B240" s="50" t="s">
        <v>830</v>
      </c>
      <c r="C240" s="222"/>
      <c r="D240" s="733"/>
      <c r="E240" s="68" t="s">
        <v>1437</v>
      </c>
      <c r="F240" s="69" t="s">
        <v>1438</v>
      </c>
      <c r="G240" s="70">
        <v>0.3</v>
      </c>
      <c r="H240" s="69">
        <v>10</v>
      </c>
      <c r="I240" s="71">
        <f>G240*H240</f>
        <v>3</v>
      </c>
      <c r="J240" s="59" t="s">
        <v>1291</v>
      </c>
      <c r="K240" s="72">
        <v>2</v>
      </c>
      <c r="L240" s="73">
        <v>750</v>
      </c>
      <c r="M240" s="72">
        <v>2</v>
      </c>
      <c r="N240" s="399">
        <f>L240/'Исп. коэффициенты'!E34*C244</f>
        <v>0.23076497049285244</v>
      </c>
      <c r="O240" s="60" t="s">
        <v>2114</v>
      </c>
      <c r="P240" s="60">
        <v>2994195.8</v>
      </c>
      <c r="Q240" s="60">
        <v>19.670000000000002</v>
      </c>
      <c r="R240" s="60">
        <v>6513.87</v>
      </c>
      <c r="S240" s="739">
        <f>R240/'Исп. коэффициенты'!E34*+('КМУ УЗИ'!C244)</f>
        <v>2.0042306911257022</v>
      </c>
      <c r="T240" s="239" t="s">
        <v>1435</v>
      </c>
      <c r="U240" s="240">
        <v>6785401.3499999996</v>
      </c>
      <c r="V240" s="740">
        <f>'Исп. коэффициенты'!E124</f>
        <v>2978.5</v>
      </c>
      <c r="W240" s="241">
        <f>'Исп. коэффициенты'!D124</f>
        <v>1.3599999999999999E-2</v>
      </c>
      <c r="X240" s="61">
        <f>U240*W240</f>
        <v>92281.45835999999</v>
      </c>
      <c r="Y240" s="739">
        <f>X240/'Исп. коэффициенты'!E34*'КМУ УЗИ'!C244</f>
        <v>28.393770687310383</v>
      </c>
      <c r="Z240" s="60"/>
      <c r="AA240" s="1"/>
      <c r="AB240" s="1"/>
      <c r="AC240" s="1"/>
      <c r="AD240" s="56"/>
      <c r="AF240" s="151"/>
      <c r="AJ240" s="136"/>
      <c r="AX240" s="3"/>
      <c r="AY240" s="3"/>
      <c r="AZ240" s="3"/>
      <c r="BA240" s="3"/>
    </row>
    <row r="241" spans="1:53" x14ac:dyDescent="0.25">
      <c r="A241" s="1013"/>
      <c r="B241" s="74" t="s">
        <v>1178</v>
      </c>
      <c r="C241" s="223">
        <f>C221</f>
        <v>33.667709452234185</v>
      </c>
      <c r="D241" s="733"/>
      <c r="E241" s="68" t="s">
        <v>2112</v>
      </c>
      <c r="F241" s="69" t="s">
        <v>1</v>
      </c>
      <c r="G241" s="70">
        <v>0.47</v>
      </c>
      <c r="H241" s="69">
        <v>10</v>
      </c>
      <c r="I241" s="242">
        <f>G241*H241</f>
        <v>4.6999999999999993</v>
      </c>
      <c r="J241" s="59" t="s">
        <v>1445</v>
      </c>
      <c r="K241" s="61">
        <v>2</v>
      </c>
      <c r="L241" s="76">
        <v>95</v>
      </c>
      <c r="M241" s="72">
        <v>2</v>
      </c>
      <c r="N241" s="399">
        <f>L241/'Исп. коэффициенты'!E34*C244</f>
        <v>2.9230229595761308E-2</v>
      </c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1"/>
      <c r="AB241" s="1"/>
      <c r="AC241" s="1"/>
      <c r="AD241" s="56"/>
      <c r="AF241" s="151"/>
      <c r="AJ241" s="136"/>
      <c r="AM241" s="145"/>
      <c r="AX241" s="3"/>
      <c r="AY241" s="3"/>
      <c r="AZ241" s="3"/>
      <c r="BA241" s="3"/>
    </row>
    <row r="242" spans="1:53" x14ac:dyDescent="0.25">
      <c r="A242" s="1013"/>
      <c r="B242" s="57" t="s">
        <v>1179</v>
      </c>
      <c r="C242" s="222">
        <f>C222</f>
        <v>19.495759833054819</v>
      </c>
      <c r="D242" s="733"/>
      <c r="E242" s="68" t="s">
        <v>1598</v>
      </c>
      <c r="F242" s="69" t="s">
        <v>1441</v>
      </c>
      <c r="G242" s="70">
        <v>5.36</v>
      </c>
      <c r="H242" s="70">
        <v>1</v>
      </c>
      <c r="I242" s="71">
        <f>G242*H242</f>
        <v>5.36</v>
      </c>
      <c r="J242" s="59" t="s">
        <v>1513</v>
      </c>
      <c r="K242" s="61">
        <v>2</v>
      </c>
      <c r="L242" s="61">
        <v>25</v>
      </c>
      <c r="M242" s="72">
        <v>0.5</v>
      </c>
      <c r="N242" s="399">
        <f>L242/'Исп. коэффициенты'!E34*C244</f>
        <v>7.6921656830950813E-3</v>
      </c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1"/>
      <c r="AB242" s="1"/>
      <c r="AC242" s="1"/>
      <c r="AD242" s="56"/>
      <c r="AF242" s="151"/>
      <c r="AJ242" s="136"/>
      <c r="AX242" s="3"/>
      <c r="AY242" s="3"/>
      <c r="AZ242" s="3"/>
      <c r="BA242" s="3"/>
    </row>
    <row r="243" spans="1:53" x14ac:dyDescent="0.25">
      <c r="A243" s="1013"/>
      <c r="B243" s="57" t="s">
        <v>831</v>
      </c>
      <c r="C243" s="224"/>
      <c r="D243" s="733"/>
      <c r="E243" s="68" t="s">
        <v>2113</v>
      </c>
      <c r="F243" s="69" t="s">
        <v>1</v>
      </c>
      <c r="G243" s="70">
        <v>0.17</v>
      </c>
      <c r="H243" s="69">
        <v>40</v>
      </c>
      <c r="I243" s="71">
        <f>G243*H243</f>
        <v>6.8000000000000007</v>
      </c>
      <c r="J243" s="59"/>
      <c r="K243" s="61"/>
      <c r="L243" s="61"/>
      <c r="M243" s="61"/>
      <c r="N243" s="61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1"/>
      <c r="AB243" s="1"/>
      <c r="AC243" s="1"/>
      <c r="AD243" s="56"/>
      <c r="AF243" s="151"/>
      <c r="AJ243" s="136"/>
      <c r="AX243" s="3"/>
      <c r="AY243" s="3"/>
      <c r="AZ243" s="3"/>
      <c r="BA243" s="3"/>
    </row>
    <row r="244" spans="1:53" x14ac:dyDescent="0.25">
      <c r="A244" s="1013"/>
      <c r="B244" s="74" t="s">
        <v>1178</v>
      </c>
      <c r="C244" s="225">
        <v>3</v>
      </c>
      <c r="D244" s="733"/>
      <c r="E244" s="68"/>
      <c r="F244" s="69"/>
      <c r="G244" s="70"/>
      <c r="H244" s="69"/>
      <c r="I244" s="71"/>
      <c r="J244" s="59"/>
      <c r="K244" s="61"/>
      <c r="L244" s="61"/>
      <c r="M244" s="61"/>
      <c r="N244" s="61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1"/>
      <c r="AB244" s="1"/>
      <c r="AC244" s="1"/>
      <c r="AD244" s="56"/>
      <c r="AF244" s="151"/>
      <c r="AJ244" s="146"/>
      <c r="AX244" s="3"/>
      <c r="AY244" s="3"/>
      <c r="AZ244" s="3"/>
      <c r="BA244" s="3"/>
    </row>
    <row r="245" spans="1:53" x14ac:dyDescent="0.25">
      <c r="A245" s="1013"/>
      <c r="B245" s="57" t="s">
        <v>1179</v>
      </c>
      <c r="C245" s="225">
        <v>3</v>
      </c>
      <c r="D245" s="733"/>
      <c r="E245" s="68"/>
      <c r="F245" s="69"/>
      <c r="G245" s="70"/>
      <c r="H245" s="69"/>
      <c r="I245" s="71"/>
      <c r="J245" s="59"/>
      <c r="K245" s="61"/>
      <c r="L245" s="61"/>
      <c r="M245" s="61"/>
      <c r="N245" s="61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1"/>
      <c r="AB245" s="1"/>
      <c r="AC245" s="1"/>
      <c r="AD245" s="56"/>
      <c r="AF245" s="151"/>
      <c r="AJ245" s="146"/>
      <c r="AX245" s="3"/>
      <c r="AY245" s="3"/>
      <c r="AZ245" s="3"/>
      <c r="BA245" s="3"/>
    </row>
    <row r="246" spans="1:53" x14ac:dyDescent="0.25">
      <c r="A246" s="1013"/>
      <c r="B246" s="79" t="s">
        <v>1181</v>
      </c>
      <c r="C246" s="222">
        <f>C241*C244+C242*C245</f>
        <v>159.49040785586701</v>
      </c>
      <c r="D246" s="733"/>
      <c r="E246" s="228"/>
      <c r="F246" s="166"/>
      <c r="G246" s="70"/>
      <c r="H246" s="69"/>
      <c r="I246" s="71"/>
      <c r="J246" s="59"/>
      <c r="K246" s="170"/>
      <c r="L246" s="76"/>
      <c r="M246" s="72"/>
      <c r="N246" s="61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1"/>
      <c r="AB246" s="1"/>
      <c r="AC246" s="1"/>
      <c r="AD246" s="56"/>
      <c r="AF246" s="151"/>
      <c r="AJ246" s="136"/>
      <c r="AX246" s="3"/>
      <c r="AY246" s="3"/>
      <c r="AZ246" s="3"/>
      <c r="BA246" s="3"/>
    </row>
    <row r="247" spans="1:53" x14ac:dyDescent="0.25">
      <c r="A247" s="1014"/>
      <c r="B247" s="123"/>
      <c r="C247" s="225"/>
      <c r="D247" s="734"/>
      <c r="E247" s="228"/>
      <c r="F247" s="166"/>
      <c r="G247" s="70"/>
      <c r="H247" s="69"/>
      <c r="I247" s="71"/>
      <c r="J247" s="59"/>
      <c r="K247" s="170"/>
      <c r="L247" s="61"/>
      <c r="M247" s="72"/>
      <c r="N247" s="61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1"/>
      <c r="AB247" s="1"/>
      <c r="AC247" s="1"/>
      <c r="AD247" s="56"/>
      <c r="AF247" s="151"/>
      <c r="AJ247" s="146"/>
      <c r="AX247" s="3"/>
      <c r="AY247" s="3"/>
      <c r="AZ247" s="3"/>
      <c r="BA247" s="3"/>
    </row>
    <row r="248" spans="1:53" ht="56.25" customHeight="1" x14ac:dyDescent="0.25">
      <c r="A248" s="1012" t="s">
        <v>2160</v>
      </c>
      <c r="B248" s="258" t="s">
        <v>2161</v>
      </c>
      <c r="C248" s="222"/>
      <c r="D248" s="732"/>
      <c r="E248" s="226" t="s">
        <v>488</v>
      </c>
      <c r="F248" s="53" t="s">
        <v>837</v>
      </c>
      <c r="G248" s="735" t="s">
        <v>489</v>
      </c>
      <c r="H248" s="52" t="s">
        <v>1170</v>
      </c>
      <c r="I248" s="53" t="s">
        <v>838</v>
      </c>
      <c r="J248" s="47" t="s">
        <v>1171</v>
      </c>
      <c r="K248" s="47" t="s">
        <v>490</v>
      </c>
      <c r="L248" s="54" t="s">
        <v>489</v>
      </c>
      <c r="M248" s="47" t="s">
        <v>1172</v>
      </c>
      <c r="N248" s="53" t="s">
        <v>838</v>
      </c>
      <c r="O248" s="47" t="s">
        <v>1171</v>
      </c>
      <c r="P248" s="47" t="s">
        <v>826</v>
      </c>
      <c r="Q248" s="47" t="s">
        <v>1173</v>
      </c>
      <c r="R248" s="47" t="s">
        <v>1174</v>
      </c>
      <c r="S248" s="47" t="s">
        <v>839</v>
      </c>
      <c r="T248" s="47" t="s">
        <v>1171</v>
      </c>
      <c r="U248" s="47" t="s">
        <v>1392</v>
      </c>
      <c r="V248" s="47" t="s">
        <v>841</v>
      </c>
      <c r="W248" s="231" t="s">
        <v>1173</v>
      </c>
      <c r="X248" s="47" t="s">
        <v>1394</v>
      </c>
      <c r="Y248" s="47" t="s">
        <v>839</v>
      </c>
      <c r="Z248" s="55"/>
      <c r="AA248" s="1"/>
      <c r="AB248" s="1"/>
      <c r="AC248" s="245"/>
      <c r="AD248" s="56"/>
      <c r="AQ248" s="139"/>
      <c r="AR248" s="139"/>
      <c r="AS248" s="139"/>
      <c r="AX248" s="3"/>
      <c r="AY248" s="3"/>
      <c r="AZ248" s="3"/>
      <c r="BA248" s="3"/>
    </row>
    <row r="249" spans="1:53" ht="12.75" customHeight="1" x14ac:dyDescent="0.25">
      <c r="A249" s="1013"/>
      <c r="B249" s="36" t="s">
        <v>1175</v>
      </c>
      <c r="C249" s="222">
        <f>C256</f>
        <v>132.90867321322253</v>
      </c>
      <c r="D249" s="732">
        <f>C249*$D$5</f>
        <v>26.847551989070951</v>
      </c>
      <c r="E249" s="227" t="s">
        <v>1176</v>
      </c>
      <c r="F249" s="165"/>
      <c r="G249" s="58"/>
      <c r="H249" s="58"/>
      <c r="I249" s="2">
        <f>SUM(I250:I257)</f>
        <v>19.86</v>
      </c>
      <c r="J249" s="59" t="s">
        <v>1176</v>
      </c>
      <c r="K249" s="169"/>
      <c r="L249" s="60"/>
      <c r="M249" s="60"/>
      <c r="N249" s="399">
        <f>SUM(N250:N257)</f>
        <v>0.22307280480975736</v>
      </c>
      <c r="O249" s="60" t="s">
        <v>1176</v>
      </c>
      <c r="P249" s="60"/>
      <c r="Q249" s="62"/>
      <c r="R249" s="63"/>
      <c r="S249" s="399">
        <f>SUM(S250:S257)</f>
        <v>1.670192242604752</v>
      </c>
      <c r="T249" s="61"/>
      <c r="U249" s="61"/>
      <c r="V249" s="61"/>
      <c r="W249" s="61"/>
      <c r="X249" s="61"/>
      <c r="Y249" s="399">
        <f>SUM(Y250:Y257)</f>
        <v>23.661475572758654</v>
      </c>
      <c r="Z249" s="64">
        <f>(C249+D249+I249+N249+S249+Y249)*$Z$5</f>
        <v>266.76076468118964</v>
      </c>
      <c r="AA249" s="65">
        <f>C249+D249+I249+N249+S249+Y249+Z249</f>
        <v>471.9317305036563</v>
      </c>
      <c r="AB249" s="66">
        <v>0.25</v>
      </c>
      <c r="AC249" s="244">
        <f>AA249*(1+AB249)</f>
        <v>589.91466312957039</v>
      </c>
      <c r="AD249" s="67"/>
      <c r="AI249" s="139"/>
      <c r="AJ249" s="140"/>
      <c r="AK249" s="141"/>
      <c r="AM249" s="142"/>
      <c r="AN249" s="143"/>
      <c r="AO249" s="142"/>
      <c r="AP249" s="139"/>
      <c r="AQ249" s="139"/>
      <c r="AR249" s="139"/>
      <c r="AS249" s="139"/>
      <c r="AT249" s="139"/>
      <c r="AU249" s="142"/>
      <c r="AV249" s="142"/>
      <c r="AW249" s="144"/>
      <c r="AX249" s="3"/>
      <c r="AY249" s="3"/>
      <c r="AZ249" s="3"/>
      <c r="BA249" s="3"/>
    </row>
    <row r="250" spans="1:53" x14ac:dyDescent="0.25">
      <c r="A250" s="1013"/>
      <c r="B250" s="50" t="s">
        <v>830</v>
      </c>
      <c r="C250" s="222"/>
      <c r="D250" s="733"/>
      <c r="E250" s="68" t="s">
        <v>1437</v>
      </c>
      <c r="F250" s="69" t="s">
        <v>1438</v>
      </c>
      <c r="G250" s="70">
        <v>0.3</v>
      </c>
      <c r="H250" s="69">
        <v>10</v>
      </c>
      <c r="I250" s="71">
        <f>G250*H250</f>
        <v>3</v>
      </c>
      <c r="J250" s="59" t="s">
        <v>1291</v>
      </c>
      <c r="K250" s="72">
        <v>2</v>
      </c>
      <c r="L250" s="73">
        <v>750</v>
      </c>
      <c r="M250" s="72">
        <v>2</v>
      </c>
      <c r="N250" s="399">
        <f>L250/'Исп. коэффициенты'!E34*C254</f>
        <v>0.19230414207737703</v>
      </c>
      <c r="O250" s="60" t="s">
        <v>2114</v>
      </c>
      <c r="P250" s="60">
        <v>2994195.8</v>
      </c>
      <c r="Q250" s="60">
        <v>19.670000000000002</v>
      </c>
      <c r="R250" s="60">
        <v>6513.87</v>
      </c>
      <c r="S250" s="739">
        <f>R250/'Исп. коэффициенты'!E34*+('КМУ УЗИ'!C254)</f>
        <v>1.670192242604752</v>
      </c>
      <c r="T250" s="239" t="s">
        <v>1435</v>
      </c>
      <c r="U250" s="240">
        <v>6785401.3499999996</v>
      </c>
      <c r="V250" s="740">
        <f>'Исп. коэффициенты'!E124</f>
        <v>2978.5</v>
      </c>
      <c r="W250" s="241">
        <f>'Исп. коэффициенты'!D124</f>
        <v>1.3599999999999999E-2</v>
      </c>
      <c r="X250" s="61">
        <f>U250*W250</f>
        <v>92281.45835999999</v>
      </c>
      <c r="Y250" s="739">
        <f>X250/'Исп. коэффициенты'!E34*'КМУ УЗИ'!C254</f>
        <v>23.661475572758654</v>
      </c>
      <c r="Z250" s="60"/>
      <c r="AA250" s="1"/>
      <c r="AB250" s="1"/>
      <c r="AC250" s="1"/>
      <c r="AD250" s="56"/>
      <c r="AF250" s="151"/>
      <c r="AJ250" s="136"/>
      <c r="AX250" s="3"/>
      <c r="AY250" s="3"/>
      <c r="AZ250" s="3"/>
      <c r="BA250" s="3"/>
    </row>
    <row r="251" spans="1:53" x14ac:dyDescent="0.25">
      <c r="A251" s="1013"/>
      <c r="B251" s="74" t="s">
        <v>1178</v>
      </c>
      <c r="C251" s="223">
        <f>C231</f>
        <v>33.667709452234185</v>
      </c>
      <c r="D251" s="733"/>
      <c r="E251" s="68" t="s">
        <v>2112</v>
      </c>
      <c r="F251" s="69" t="s">
        <v>1</v>
      </c>
      <c r="G251" s="70">
        <v>0.47</v>
      </c>
      <c r="H251" s="69">
        <v>10</v>
      </c>
      <c r="I251" s="242">
        <f>G251*H251</f>
        <v>4.6999999999999993</v>
      </c>
      <c r="J251" s="59" t="s">
        <v>1445</v>
      </c>
      <c r="K251" s="61">
        <v>2</v>
      </c>
      <c r="L251" s="76">
        <v>95</v>
      </c>
      <c r="M251" s="72">
        <v>2</v>
      </c>
      <c r="N251" s="399">
        <f>L251/'Исп. коэффициенты'!E34*C254</f>
        <v>2.4358524663134422E-2</v>
      </c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1"/>
      <c r="AB251" s="1"/>
      <c r="AC251" s="1"/>
      <c r="AD251" s="56"/>
      <c r="AF251" s="151"/>
      <c r="AJ251" s="136"/>
      <c r="AM251" s="145"/>
      <c r="AX251" s="3"/>
      <c r="AY251" s="3"/>
      <c r="AZ251" s="3"/>
      <c r="BA251" s="3"/>
    </row>
    <row r="252" spans="1:53" x14ac:dyDescent="0.25">
      <c r="A252" s="1013"/>
      <c r="B252" s="57" t="s">
        <v>1179</v>
      </c>
      <c r="C252" s="222">
        <f>C232</f>
        <v>19.495759833054819</v>
      </c>
      <c r="D252" s="733"/>
      <c r="E252" s="68" t="s">
        <v>1598</v>
      </c>
      <c r="F252" s="69" t="s">
        <v>1441</v>
      </c>
      <c r="G252" s="70">
        <v>5.36</v>
      </c>
      <c r="H252" s="70">
        <v>1</v>
      </c>
      <c r="I252" s="71">
        <f>G252*H252</f>
        <v>5.36</v>
      </c>
      <c r="J252" s="59" t="s">
        <v>1513</v>
      </c>
      <c r="K252" s="61">
        <v>2</v>
      </c>
      <c r="L252" s="61">
        <v>25</v>
      </c>
      <c r="M252" s="72">
        <v>0.5</v>
      </c>
      <c r="N252" s="399">
        <f>L252/'Исп. коэффициенты'!E34*C254</f>
        <v>6.4101380692459017E-3</v>
      </c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1"/>
      <c r="AB252" s="1"/>
      <c r="AC252" s="1"/>
      <c r="AD252" s="56"/>
      <c r="AF252" s="151"/>
      <c r="AJ252" s="136"/>
      <c r="AX252" s="3"/>
      <c r="AY252" s="3"/>
      <c r="AZ252" s="3"/>
      <c r="BA252" s="3"/>
    </row>
    <row r="253" spans="1:53" x14ac:dyDescent="0.25">
      <c r="A253" s="1013"/>
      <c r="B253" s="57" t="s">
        <v>831</v>
      </c>
      <c r="C253" s="224"/>
      <c r="D253" s="733"/>
      <c r="E253" s="68" t="s">
        <v>2113</v>
      </c>
      <c r="F253" s="69" t="s">
        <v>1</v>
      </c>
      <c r="G253" s="70">
        <v>0.17</v>
      </c>
      <c r="H253" s="69">
        <v>40</v>
      </c>
      <c r="I253" s="71">
        <f>G253*H253</f>
        <v>6.8000000000000007</v>
      </c>
      <c r="J253" s="59"/>
      <c r="K253" s="61"/>
      <c r="L253" s="61"/>
      <c r="M253" s="61"/>
      <c r="N253" s="61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1"/>
      <c r="AB253" s="1"/>
      <c r="AC253" s="1"/>
      <c r="AD253" s="56"/>
      <c r="AF253" s="151"/>
      <c r="AJ253" s="136"/>
      <c r="AX253" s="3"/>
      <c r="AY253" s="3"/>
      <c r="AZ253" s="3"/>
      <c r="BA253" s="3"/>
    </row>
    <row r="254" spans="1:53" x14ac:dyDescent="0.25">
      <c r="A254" s="1013"/>
      <c r="B254" s="74" t="s">
        <v>1178</v>
      </c>
      <c r="C254" s="225">
        <v>2.5</v>
      </c>
      <c r="D254" s="733"/>
      <c r="E254" s="68"/>
      <c r="F254" s="69"/>
      <c r="G254" s="70"/>
      <c r="H254" s="69"/>
      <c r="I254" s="71"/>
      <c r="J254" s="59"/>
      <c r="K254" s="61"/>
      <c r="L254" s="61"/>
      <c r="M254" s="61"/>
      <c r="N254" s="61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1"/>
      <c r="AB254" s="1"/>
      <c r="AC254" s="1"/>
      <c r="AD254" s="56"/>
      <c r="AF254" s="151"/>
      <c r="AJ254" s="146"/>
      <c r="AX254" s="3"/>
      <c r="AY254" s="3"/>
      <c r="AZ254" s="3"/>
      <c r="BA254" s="3"/>
    </row>
    <row r="255" spans="1:53" x14ac:dyDescent="0.25">
      <c r="A255" s="1013"/>
      <c r="B255" s="57" t="s">
        <v>1179</v>
      </c>
      <c r="C255" s="225">
        <v>2.5</v>
      </c>
      <c r="D255" s="733"/>
      <c r="E255" s="68"/>
      <c r="F255" s="69"/>
      <c r="G255" s="70"/>
      <c r="H255" s="69"/>
      <c r="I255" s="71"/>
      <c r="J255" s="59"/>
      <c r="K255" s="61"/>
      <c r="L255" s="61"/>
      <c r="M255" s="61"/>
      <c r="N255" s="61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1"/>
      <c r="AB255" s="1"/>
      <c r="AC255" s="1"/>
      <c r="AD255" s="56"/>
      <c r="AF255" s="151"/>
      <c r="AJ255" s="146"/>
      <c r="AX255" s="3"/>
      <c r="AY255" s="3"/>
      <c r="AZ255" s="3"/>
      <c r="BA255" s="3"/>
    </row>
    <row r="256" spans="1:53" x14ac:dyDescent="0.25">
      <c r="A256" s="1013"/>
      <c r="B256" s="79" t="s">
        <v>1181</v>
      </c>
      <c r="C256" s="222">
        <f>C251*C254+C252*C255</f>
        <v>132.90867321322253</v>
      </c>
      <c r="D256" s="733"/>
      <c r="E256" s="228"/>
      <c r="F256" s="166"/>
      <c r="G256" s="70"/>
      <c r="H256" s="69"/>
      <c r="I256" s="71"/>
      <c r="J256" s="59"/>
      <c r="K256" s="170"/>
      <c r="L256" s="76"/>
      <c r="M256" s="72"/>
      <c r="N256" s="61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1"/>
      <c r="AB256" s="1"/>
      <c r="AC256" s="1"/>
      <c r="AD256" s="56"/>
      <c r="AF256" s="151"/>
      <c r="AJ256" s="136"/>
      <c r="AX256" s="3"/>
      <c r="AY256" s="3"/>
      <c r="AZ256" s="3"/>
      <c r="BA256" s="3"/>
    </row>
    <row r="257" spans="1:53" x14ac:dyDescent="0.25">
      <c r="A257" s="1014"/>
      <c r="B257" s="123"/>
      <c r="C257" s="225"/>
      <c r="D257" s="734"/>
      <c r="E257" s="228"/>
      <c r="F257" s="166"/>
      <c r="G257" s="70"/>
      <c r="H257" s="69"/>
      <c r="I257" s="71"/>
      <c r="J257" s="59"/>
      <c r="K257" s="170"/>
      <c r="L257" s="61"/>
      <c r="M257" s="72"/>
      <c r="N257" s="61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1"/>
      <c r="AB257" s="1"/>
      <c r="AC257" s="1"/>
      <c r="AD257" s="56"/>
      <c r="AF257" s="151"/>
      <c r="AJ257" s="146"/>
      <c r="AX257" s="3"/>
      <c r="AY257" s="3"/>
      <c r="AZ257" s="3"/>
      <c r="BA257" s="3"/>
    </row>
    <row r="258" spans="1:53" ht="56.25" customHeight="1" x14ac:dyDescent="0.25">
      <c r="A258" s="1012" t="s">
        <v>2162</v>
      </c>
      <c r="B258" s="258" t="s">
        <v>2163</v>
      </c>
      <c r="C258" s="222"/>
      <c r="D258" s="732"/>
      <c r="E258" s="226" t="s">
        <v>488</v>
      </c>
      <c r="F258" s="53" t="s">
        <v>837</v>
      </c>
      <c r="G258" s="735" t="s">
        <v>489</v>
      </c>
      <c r="H258" s="52" t="s">
        <v>1170</v>
      </c>
      <c r="I258" s="53" t="s">
        <v>838</v>
      </c>
      <c r="J258" s="47" t="s">
        <v>1171</v>
      </c>
      <c r="K258" s="47" t="s">
        <v>490</v>
      </c>
      <c r="L258" s="54" t="s">
        <v>489</v>
      </c>
      <c r="M258" s="47" t="s">
        <v>1172</v>
      </c>
      <c r="N258" s="53" t="s">
        <v>838</v>
      </c>
      <c r="O258" s="47" t="s">
        <v>1171</v>
      </c>
      <c r="P258" s="47" t="s">
        <v>826</v>
      </c>
      <c r="Q258" s="47" t="s">
        <v>1173</v>
      </c>
      <c r="R258" s="47" t="s">
        <v>1174</v>
      </c>
      <c r="S258" s="47" t="s">
        <v>839</v>
      </c>
      <c r="T258" s="47" t="s">
        <v>1171</v>
      </c>
      <c r="U258" s="47" t="s">
        <v>1392</v>
      </c>
      <c r="V258" s="47" t="s">
        <v>841</v>
      </c>
      <c r="W258" s="231" t="s">
        <v>1173</v>
      </c>
      <c r="X258" s="47" t="s">
        <v>1394</v>
      </c>
      <c r="Y258" s="47" t="s">
        <v>839</v>
      </c>
      <c r="Z258" s="55"/>
      <c r="AA258" s="1"/>
      <c r="AB258" s="1"/>
      <c r="AC258" s="245"/>
      <c r="AD258" s="56"/>
      <c r="AQ258" s="139"/>
      <c r="AR258" s="139"/>
      <c r="AS258" s="139"/>
      <c r="AX258" s="3"/>
      <c r="AY258" s="3"/>
      <c r="AZ258" s="3"/>
      <c r="BA258" s="3"/>
    </row>
    <row r="259" spans="1:53" ht="12.75" customHeight="1" x14ac:dyDescent="0.25">
      <c r="A259" s="1013"/>
      <c r="B259" s="36" t="s">
        <v>1175</v>
      </c>
      <c r="C259" s="222">
        <f>C266</f>
        <v>106.32693857057801</v>
      </c>
      <c r="D259" s="732">
        <f>C259*$D$5</f>
        <v>21.478041591256758</v>
      </c>
      <c r="E259" s="227" t="s">
        <v>1176</v>
      </c>
      <c r="F259" s="165"/>
      <c r="G259" s="58"/>
      <c r="H259" s="58"/>
      <c r="I259" s="2">
        <f>SUM(I260:I267)</f>
        <v>19.86</v>
      </c>
      <c r="J259" s="59" t="s">
        <v>1176</v>
      </c>
      <c r="K259" s="169"/>
      <c r="L259" s="60"/>
      <c r="M259" s="60"/>
      <c r="N259" s="399">
        <f>SUM(N260:N267)</f>
        <v>0.17845824384780587</v>
      </c>
      <c r="O259" s="60" t="s">
        <v>1176</v>
      </c>
      <c r="P259" s="60"/>
      <c r="Q259" s="62"/>
      <c r="R259" s="63"/>
      <c r="S259" s="399">
        <f>SUM(S260:S267)</f>
        <v>1.3361537940838015</v>
      </c>
      <c r="T259" s="61"/>
      <c r="U259" s="61"/>
      <c r="V259" s="61"/>
      <c r="W259" s="61"/>
      <c r="X259" s="61"/>
      <c r="Y259" s="399">
        <f>SUM(Y260:Y267)</f>
        <v>18.929180458206922</v>
      </c>
      <c r="Z259" s="64">
        <f>(C259+D259+I259+N259+S259+Y259)*$Z$5</f>
        <v>218.57295726073258</v>
      </c>
      <c r="AA259" s="65">
        <f>C259+D259+I259+N259+S259+Y259+Z259</f>
        <v>386.68172991870586</v>
      </c>
      <c r="AB259" s="66">
        <v>0.25</v>
      </c>
      <c r="AC259" s="244">
        <f>AA259*(1+AB259)</f>
        <v>483.35216239838235</v>
      </c>
      <c r="AD259" s="67"/>
      <c r="AI259" s="139"/>
      <c r="AJ259" s="140"/>
      <c r="AK259" s="141"/>
      <c r="AM259" s="142"/>
      <c r="AN259" s="143"/>
      <c r="AO259" s="142"/>
      <c r="AP259" s="139"/>
      <c r="AQ259" s="139"/>
      <c r="AR259" s="139"/>
      <c r="AS259" s="139"/>
      <c r="AT259" s="139"/>
      <c r="AU259" s="142"/>
      <c r="AV259" s="142"/>
      <c r="AW259" s="144"/>
      <c r="AX259" s="3"/>
      <c r="AY259" s="3"/>
      <c r="AZ259" s="3"/>
      <c r="BA259" s="3"/>
    </row>
    <row r="260" spans="1:53" x14ac:dyDescent="0.25">
      <c r="A260" s="1013"/>
      <c r="B260" s="50" t="s">
        <v>830</v>
      </c>
      <c r="C260" s="222"/>
      <c r="D260" s="733"/>
      <c r="E260" s="68" t="s">
        <v>1437</v>
      </c>
      <c r="F260" s="69" t="s">
        <v>1438</v>
      </c>
      <c r="G260" s="70">
        <v>0.3</v>
      </c>
      <c r="H260" s="69">
        <v>10</v>
      </c>
      <c r="I260" s="71">
        <f>G260*H260</f>
        <v>3</v>
      </c>
      <c r="J260" s="59" t="s">
        <v>1291</v>
      </c>
      <c r="K260" s="72">
        <v>2</v>
      </c>
      <c r="L260" s="73">
        <v>750</v>
      </c>
      <c r="M260" s="72">
        <v>2</v>
      </c>
      <c r="N260" s="399">
        <f>L260/'Исп. коэффициенты'!E34*C264</f>
        <v>0.15384331366190163</v>
      </c>
      <c r="O260" s="60" t="s">
        <v>2114</v>
      </c>
      <c r="P260" s="60">
        <v>2994195.8</v>
      </c>
      <c r="Q260" s="60">
        <v>19.670000000000002</v>
      </c>
      <c r="R260" s="60">
        <v>6513.87</v>
      </c>
      <c r="S260" s="739">
        <f>R260/'Исп. коэффициенты'!E34*+('КМУ УЗИ'!C264)</f>
        <v>1.3361537940838015</v>
      </c>
      <c r="T260" s="239" t="s">
        <v>1435</v>
      </c>
      <c r="U260" s="240">
        <v>6785401.3499999996</v>
      </c>
      <c r="V260" s="740">
        <f>'Исп. коэффициенты'!E124</f>
        <v>2978.5</v>
      </c>
      <c r="W260" s="241">
        <f>'Исп. коэффициенты'!D124</f>
        <v>1.3599999999999999E-2</v>
      </c>
      <c r="X260" s="61">
        <f>U260*W260</f>
        <v>92281.45835999999</v>
      </c>
      <c r="Y260" s="739">
        <f>X260/'Исп. коэффициенты'!E34*'КМУ УЗИ'!C264</f>
        <v>18.929180458206922</v>
      </c>
      <c r="Z260" s="60"/>
      <c r="AA260" s="1"/>
      <c r="AB260" s="1"/>
      <c r="AC260" s="1"/>
      <c r="AD260" s="56"/>
      <c r="AF260" s="151"/>
      <c r="AJ260" s="136"/>
      <c r="AX260" s="3"/>
      <c r="AY260" s="3"/>
      <c r="AZ260" s="3"/>
      <c r="BA260" s="3"/>
    </row>
    <row r="261" spans="1:53" x14ac:dyDescent="0.25">
      <c r="A261" s="1013"/>
      <c r="B261" s="74" t="s">
        <v>1178</v>
      </c>
      <c r="C261" s="223">
        <f>C241</f>
        <v>33.667709452234185</v>
      </c>
      <c r="D261" s="733"/>
      <c r="E261" s="68" t="s">
        <v>2112</v>
      </c>
      <c r="F261" s="69" t="s">
        <v>1</v>
      </c>
      <c r="G261" s="70">
        <v>0.47</v>
      </c>
      <c r="H261" s="69">
        <v>10</v>
      </c>
      <c r="I261" s="242">
        <f>G261*H261</f>
        <v>4.6999999999999993</v>
      </c>
      <c r="J261" s="59" t="s">
        <v>1445</v>
      </c>
      <c r="K261" s="61">
        <v>2</v>
      </c>
      <c r="L261" s="76">
        <v>95</v>
      </c>
      <c r="M261" s="72">
        <v>2</v>
      </c>
      <c r="N261" s="399">
        <f>L261/'Исп. коэффициенты'!E34*C264</f>
        <v>1.9486819730507539E-2</v>
      </c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1"/>
      <c r="AB261" s="1"/>
      <c r="AC261" s="1"/>
      <c r="AD261" s="56"/>
      <c r="AF261" s="151"/>
      <c r="AJ261" s="136"/>
      <c r="AM261" s="145"/>
      <c r="AX261" s="3"/>
      <c r="AY261" s="3"/>
      <c r="AZ261" s="3"/>
      <c r="BA261" s="3"/>
    </row>
    <row r="262" spans="1:53" x14ac:dyDescent="0.25">
      <c r="A262" s="1013"/>
      <c r="B262" s="57" t="s">
        <v>1179</v>
      </c>
      <c r="C262" s="222">
        <f>C242</f>
        <v>19.495759833054819</v>
      </c>
      <c r="D262" s="733"/>
      <c r="E262" s="68" t="s">
        <v>1598</v>
      </c>
      <c r="F262" s="69" t="s">
        <v>1441</v>
      </c>
      <c r="G262" s="70">
        <v>5.36</v>
      </c>
      <c r="H262" s="70">
        <v>1</v>
      </c>
      <c r="I262" s="71">
        <f>G262*H262</f>
        <v>5.36</v>
      </c>
      <c r="J262" s="59" t="s">
        <v>1513</v>
      </c>
      <c r="K262" s="61">
        <v>2</v>
      </c>
      <c r="L262" s="61">
        <v>25</v>
      </c>
      <c r="M262" s="72">
        <v>0.5</v>
      </c>
      <c r="N262" s="399">
        <f>L262/'Исп. коэффициенты'!E34*C264</f>
        <v>5.1281104553967212E-3</v>
      </c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1"/>
      <c r="AB262" s="1"/>
      <c r="AC262" s="1"/>
      <c r="AD262" s="56"/>
      <c r="AF262" s="151"/>
      <c r="AJ262" s="136"/>
      <c r="AX262" s="3"/>
      <c r="AY262" s="3"/>
      <c r="AZ262" s="3"/>
      <c r="BA262" s="3"/>
    </row>
    <row r="263" spans="1:53" x14ac:dyDescent="0.25">
      <c r="A263" s="1013"/>
      <c r="B263" s="57" t="s">
        <v>831</v>
      </c>
      <c r="C263" s="224"/>
      <c r="D263" s="733"/>
      <c r="E263" s="68" t="s">
        <v>2113</v>
      </c>
      <c r="F263" s="69" t="s">
        <v>1</v>
      </c>
      <c r="G263" s="70">
        <v>0.17</v>
      </c>
      <c r="H263" s="69">
        <v>40</v>
      </c>
      <c r="I263" s="71">
        <f>G263*H263</f>
        <v>6.8000000000000007</v>
      </c>
      <c r="J263" s="59"/>
      <c r="K263" s="61"/>
      <c r="L263" s="61"/>
      <c r="M263" s="61"/>
      <c r="N263" s="61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1"/>
      <c r="AB263" s="1"/>
      <c r="AC263" s="1"/>
      <c r="AD263" s="56"/>
      <c r="AF263" s="151"/>
      <c r="AJ263" s="136"/>
      <c r="AX263" s="3"/>
      <c r="AY263" s="3"/>
      <c r="AZ263" s="3"/>
      <c r="BA263" s="3"/>
    </row>
    <row r="264" spans="1:53" x14ac:dyDescent="0.25">
      <c r="A264" s="1013"/>
      <c r="B264" s="74" t="s">
        <v>1178</v>
      </c>
      <c r="C264" s="225">
        <v>2</v>
      </c>
      <c r="D264" s="733"/>
      <c r="E264" s="68"/>
      <c r="F264" s="69"/>
      <c r="G264" s="70"/>
      <c r="H264" s="69"/>
      <c r="I264" s="71"/>
      <c r="J264" s="59"/>
      <c r="K264" s="61"/>
      <c r="L264" s="61"/>
      <c r="M264" s="61"/>
      <c r="N264" s="61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1"/>
      <c r="AB264" s="1"/>
      <c r="AC264" s="1"/>
      <c r="AD264" s="56"/>
      <c r="AF264" s="151"/>
      <c r="AJ264" s="146"/>
      <c r="AX264" s="3"/>
      <c r="AY264" s="3"/>
      <c r="AZ264" s="3"/>
      <c r="BA264" s="3"/>
    </row>
    <row r="265" spans="1:53" x14ac:dyDescent="0.25">
      <c r="A265" s="1013"/>
      <c r="B265" s="57" t="s">
        <v>1179</v>
      </c>
      <c r="C265" s="225">
        <v>2</v>
      </c>
      <c r="D265" s="733"/>
      <c r="E265" s="68"/>
      <c r="F265" s="69"/>
      <c r="G265" s="70"/>
      <c r="H265" s="69"/>
      <c r="I265" s="71"/>
      <c r="J265" s="59"/>
      <c r="K265" s="61"/>
      <c r="L265" s="61"/>
      <c r="M265" s="61"/>
      <c r="N265" s="61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1"/>
      <c r="AB265" s="1"/>
      <c r="AC265" s="1"/>
      <c r="AD265" s="56"/>
      <c r="AF265" s="151"/>
      <c r="AJ265" s="146"/>
      <c r="AX265" s="3"/>
      <c r="AY265" s="3"/>
      <c r="AZ265" s="3"/>
      <c r="BA265" s="3"/>
    </row>
    <row r="266" spans="1:53" x14ac:dyDescent="0.25">
      <c r="A266" s="1013"/>
      <c r="B266" s="79" t="s">
        <v>1181</v>
      </c>
      <c r="C266" s="222">
        <f>C261*C264+C262*C265</f>
        <v>106.32693857057801</v>
      </c>
      <c r="D266" s="733"/>
      <c r="E266" s="228"/>
      <c r="F266" s="166"/>
      <c r="G266" s="70"/>
      <c r="H266" s="69"/>
      <c r="I266" s="71"/>
      <c r="J266" s="59"/>
      <c r="K266" s="170"/>
      <c r="L266" s="76"/>
      <c r="M266" s="72"/>
      <c r="N266" s="61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1"/>
      <c r="AB266" s="1"/>
      <c r="AC266" s="1"/>
      <c r="AD266" s="56"/>
      <c r="AF266" s="151"/>
      <c r="AJ266" s="136"/>
      <c r="AX266" s="3"/>
      <c r="AY266" s="3"/>
      <c r="AZ266" s="3"/>
      <c r="BA266" s="3"/>
    </row>
    <row r="267" spans="1:53" x14ac:dyDescent="0.25">
      <c r="A267" s="1014"/>
      <c r="B267" s="123"/>
      <c r="C267" s="225"/>
      <c r="D267" s="734"/>
      <c r="E267" s="228"/>
      <c r="F267" s="166"/>
      <c r="G267" s="70"/>
      <c r="H267" s="69"/>
      <c r="I267" s="71"/>
      <c r="J267" s="59"/>
      <c r="K267" s="170"/>
      <c r="L267" s="61"/>
      <c r="M267" s="72"/>
      <c r="N267" s="61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1"/>
      <c r="AB267" s="1"/>
      <c r="AC267" s="1"/>
      <c r="AD267" s="56"/>
      <c r="AF267" s="151"/>
      <c r="AJ267" s="146"/>
      <c r="AX267" s="3"/>
      <c r="AY267" s="3"/>
      <c r="AZ267" s="3"/>
      <c r="BA267" s="3"/>
    </row>
    <row r="268" spans="1:53" ht="56.25" customHeight="1" x14ac:dyDescent="0.25">
      <c r="A268" s="1012" t="s">
        <v>2164</v>
      </c>
      <c r="B268" s="258" t="s">
        <v>2165</v>
      </c>
      <c r="C268" s="222"/>
      <c r="D268" s="732"/>
      <c r="E268" s="226" t="s">
        <v>488</v>
      </c>
      <c r="F268" s="53" t="s">
        <v>837</v>
      </c>
      <c r="G268" s="735" t="s">
        <v>489</v>
      </c>
      <c r="H268" s="52" t="s">
        <v>1170</v>
      </c>
      <c r="I268" s="53" t="s">
        <v>838</v>
      </c>
      <c r="J268" s="47" t="s">
        <v>1171</v>
      </c>
      <c r="K268" s="47" t="s">
        <v>490</v>
      </c>
      <c r="L268" s="54" t="s">
        <v>489</v>
      </c>
      <c r="M268" s="47" t="s">
        <v>1172</v>
      </c>
      <c r="N268" s="53" t="s">
        <v>838</v>
      </c>
      <c r="O268" s="47" t="s">
        <v>1171</v>
      </c>
      <c r="P268" s="47" t="s">
        <v>826</v>
      </c>
      <c r="Q268" s="47" t="s">
        <v>1173</v>
      </c>
      <c r="R268" s="47" t="s">
        <v>1174</v>
      </c>
      <c r="S268" s="47" t="s">
        <v>839</v>
      </c>
      <c r="T268" s="47" t="s">
        <v>1171</v>
      </c>
      <c r="U268" s="47" t="s">
        <v>1392</v>
      </c>
      <c r="V268" s="47" t="s">
        <v>841</v>
      </c>
      <c r="W268" s="231" t="s">
        <v>1173</v>
      </c>
      <c r="X268" s="47" t="s">
        <v>1394</v>
      </c>
      <c r="Y268" s="47" t="s">
        <v>839</v>
      </c>
      <c r="Z268" s="55"/>
      <c r="AA268" s="1"/>
      <c r="AB268" s="1"/>
      <c r="AC268" s="245"/>
      <c r="AD268" s="56"/>
      <c r="AQ268" s="139"/>
      <c r="AR268" s="139"/>
      <c r="AS268" s="139"/>
      <c r="AX268" s="3"/>
      <c r="AY268" s="3"/>
      <c r="AZ268" s="3"/>
      <c r="BA268" s="3"/>
    </row>
    <row r="269" spans="1:53" ht="12.75" customHeight="1" x14ac:dyDescent="0.25">
      <c r="A269" s="1013"/>
      <c r="B269" s="36" t="s">
        <v>1175</v>
      </c>
      <c r="C269" s="222">
        <f>C276</f>
        <v>106.32693857057801</v>
      </c>
      <c r="D269" s="732">
        <f>C269*$D$5</f>
        <v>21.478041591256758</v>
      </c>
      <c r="E269" s="227" t="s">
        <v>1176</v>
      </c>
      <c r="F269" s="165"/>
      <c r="G269" s="58"/>
      <c r="H269" s="58"/>
      <c r="I269" s="2">
        <f>SUM(I270:I277)</f>
        <v>19.86</v>
      </c>
      <c r="J269" s="59" t="s">
        <v>1176</v>
      </c>
      <c r="K269" s="169"/>
      <c r="L269" s="60"/>
      <c r="M269" s="60"/>
      <c r="N269" s="399">
        <f>SUM(N270:N277)</f>
        <v>0.17845824384780587</v>
      </c>
      <c r="O269" s="60" t="s">
        <v>1176</v>
      </c>
      <c r="P269" s="60"/>
      <c r="Q269" s="62"/>
      <c r="R269" s="63"/>
      <c r="S269" s="399">
        <f>SUM(S270:S277)</f>
        <v>1.3361537940838015</v>
      </c>
      <c r="T269" s="61"/>
      <c r="U269" s="61"/>
      <c r="V269" s="61"/>
      <c r="W269" s="61"/>
      <c r="X269" s="61"/>
      <c r="Y269" s="399">
        <f>SUM(Y270:Y277)</f>
        <v>18.929180458206922</v>
      </c>
      <c r="Z269" s="64">
        <f>(C269+D269+I269+N269+S269+Y269)*$Z$5</f>
        <v>218.57295726073258</v>
      </c>
      <c r="AA269" s="65">
        <f>C269+D269+I269+N269+S269+Y269+Z269</f>
        <v>386.68172991870586</v>
      </c>
      <c r="AB269" s="66">
        <v>0.25</v>
      </c>
      <c r="AC269" s="244">
        <f>AA269*(1+AB269)</f>
        <v>483.35216239838235</v>
      </c>
      <c r="AD269" s="67"/>
      <c r="AI269" s="139"/>
      <c r="AJ269" s="140"/>
      <c r="AK269" s="141"/>
      <c r="AM269" s="142"/>
      <c r="AN269" s="143"/>
      <c r="AO269" s="142"/>
      <c r="AP269" s="139"/>
      <c r="AQ269" s="139"/>
      <c r="AR269" s="139"/>
      <c r="AS269" s="139"/>
      <c r="AT269" s="139"/>
      <c r="AU269" s="142"/>
      <c r="AV269" s="142"/>
      <c r="AW269" s="144"/>
      <c r="AX269" s="3"/>
      <c r="AY269" s="3"/>
      <c r="AZ269" s="3"/>
      <c r="BA269" s="3"/>
    </row>
    <row r="270" spans="1:53" x14ac:dyDescent="0.25">
      <c r="A270" s="1013"/>
      <c r="B270" s="50" t="s">
        <v>830</v>
      </c>
      <c r="C270" s="222"/>
      <c r="D270" s="733"/>
      <c r="E270" s="68" t="s">
        <v>1437</v>
      </c>
      <c r="F270" s="69" t="s">
        <v>1438</v>
      </c>
      <c r="G270" s="70">
        <v>0.3</v>
      </c>
      <c r="H270" s="69">
        <v>10</v>
      </c>
      <c r="I270" s="71">
        <f>G270*H270</f>
        <v>3</v>
      </c>
      <c r="J270" s="59" t="s">
        <v>1291</v>
      </c>
      <c r="K270" s="72">
        <v>2</v>
      </c>
      <c r="L270" s="73">
        <v>750</v>
      </c>
      <c r="M270" s="72">
        <v>2</v>
      </c>
      <c r="N270" s="399">
        <f>L270/'Исп. коэффициенты'!E34*C274</f>
        <v>0.15384331366190163</v>
      </c>
      <c r="O270" s="60" t="s">
        <v>2114</v>
      </c>
      <c r="P270" s="60">
        <v>2994195.8</v>
      </c>
      <c r="Q270" s="60">
        <v>19.670000000000002</v>
      </c>
      <c r="R270" s="60">
        <v>6513.87</v>
      </c>
      <c r="S270" s="739">
        <f>R270/'Исп. коэффициенты'!E34*+('КМУ УЗИ'!C274)</f>
        <v>1.3361537940838015</v>
      </c>
      <c r="T270" s="239" t="s">
        <v>1435</v>
      </c>
      <c r="U270" s="240">
        <v>6785401.3499999996</v>
      </c>
      <c r="V270" s="740">
        <f>'Исп. коэффициенты'!E124</f>
        <v>2978.5</v>
      </c>
      <c r="W270" s="241">
        <f>'Исп. коэффициенты'!D124</f>
        <v>1.3599999999999999E-2</v>
      </c>
      <c r="X270" s="61">
        <f>U270*W270</f>
        <v>92281.45835999999</v>
      </c>
      <c r="Y270" s="739">
        <f>X270/'Исп. коэффициенты'!E34*'КМУ УЗИ'!C274</f>
        <v>18.929180458206922</v>
      </c>
      <c r="Z270" s="60"/>
      <c r="AA270" s="1"/>
      <c r="AB270" s="1"/>
      <c r="AC270" s="1"/>
      <c r="AD270" s="56"/>
      <c r="AF270" s="151"/>
      <c r="AJ270" s="136"/>
      <c r="AX270" s="3"/>
      <c r="AY270" s="3"/>
      <c r="AZ270" s="3"/>
      <c r="BA270" s="3"/>
    </row>
    <row r="271" spans="1:53" x14ac:dyDescent="0.25">
      <c r="A271" s="1013"/>
      <c r="B271" s="74" t="s">
        <v>1178</v>
      </c>
      <c r="C271" s="223">
        <f>C251</f>
        <v>33.667709452234185</v>
      </c>
      <c r="D271" s="733"/>
      <c r="E271" s="68" t="s">
        <v>2112</v>
      </c>
      <c r="F271" s="69" t="s">
        <v>1</v>
      </c>
      <c r="G271" s="70">
        <v>0.47</v>
      </c>
      <c r="H271" s="69">
        <v>10</v>
      </c>
      <c r="I271" s="242">
        <f>G271*H271</f>
        <v>4.6999999999999993</v>
      </c>
      <c r="J271" s="59" t="s">
        <v>1445</v>
      </c>
      <c r="K271" s="61">
        <v>2</v>
      </c>
      <c r="L271" s="76">
        <v>95</v>
      </c>
      <c r="M271" s="72">
        <v>2</v>
      </c>
      <c r="N271" s="399">
        <f>L271/'Исп. коэффициенты'!E34*C274</f>
        <v>1.9486819730507539E-2</v>
      </c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1"/>
      <c r="AB271" s="1"/>
      <c r="AC271" s="1"/>
      <c r="AD271" s="56"/>
      <c r="AF271" s="151"/>
      <c r="AJ271" s="136"/>
      <c r="AM271" s="145"/>
      <c r="AX271" s="3"/>
      <c r="AY271" s="3"/>
      <c r="AZ271" s="3"/>
      <c r="BA271" s="3"/>
    </row>
    <row r="272" spans="1:53" x14ac:dyDescent="0.25">
      <c r="A272" s="1013"/>
      <c r="B272" s="57" t="s">
        <v>1179</v>
      </c>
      <c r="C272" s="222">
        <f>C252</f>
        <v>19.495759833054819</v>
      </c>
      <c r="D272" s="733"/>
      <c r="E272" s="68" t="s">
        <v>1598</v>
      </c>
      <c r="F272" s="69" t="s">
        <v>1441</v>
      </c>
      <c r="G272" s="70">
        <v>5.36</v>
      </c>
      <c r="H272" s="70">
        <v>1</v>
      </c>
      <c r="I272" s="71">
        <f>G272*H272</f>
        <v>5.36</v>
      </c>
      <c r="J272" s="59" t="s">
        <v>1513</v>
      </c>
      <c r="K272" s="61">
        <v>2</v>
      </c>
      <c r="L272" s="61">
        <v>25</v>
      </c>
      <c r="M272" s="72">
        <v>0.5</v>
      </c>
      <c r="N272" s="399">
        <f>L272/'Исп. коэффициенты'!E34*C274</f>
        <v>5.1281104553967212E-3</v>
      </c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1"/>
      <c r="AB272" s="1"/>
      <c r="AC272" s="1"/>
      <c r="AD272" s="56"/>
      <c r="AF272" s="151"/>
      <c r="AJ272" s="136"/>
      <c r="AX272" s="3"/>
      <c r="AY272" s="3"/>
      <c r="AZ272" s="3"/>
      <c r="BA272" s="3"/>
    </row>
    <row r="273" spans="1:53" x14ac:dyDescent="0.25">
      <c r="A273" s="1013"/>
      <c r="B273" s="57" t="s">
        <v>831</v>
      </c>
      <c r="C273" s="224"/>
      <c r="D273" s="733"/>
      <c r="E273" s="68" t="s">
        <v>2113</v>
      </c>
      <c r="F273" s="69" t="s">
        <v>1</v>
      </c>
      <c r="G273" s="70">
        <v>0.17</v>
      </c>
      <c r="H273" s="69">
        <v>40</v>
      </c>
      <c r="I273" s="71">
        <f>G273*H273</f>
        <v>6.8000000000000007</v>
      </c>
      <c r="J273" s="59"/>
      <c r="K273" s="61"/>
      <c r="L273" s="61"/>
      <c r="M273" s="61"/>
      <c r="N273" s="61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1"/>
      <c r="AB273" s="1"/>
      <c r="AC273" s="1"/>
      <c r="AD273" s="56"/>
      <c r="AF273" s="151"/>
      <c r="AJ273" s="136"/>
      <c r="AX273" s="3"/>
      <c r="AY273" s="3"/>
      <c r="AZ273" s="3"/>
      <c r="BA273" s="3"/>
    </row>
    <row r="274" spans="1:53" x14ac:dyDescent="0.25">
      <c r="A274" s="1013"/>
      <c r="B274" s="74" t="s">
        <v>1178</v>
      </c>
      <c r="C274" s="225">
        <v>2</v>
      </c>
      <c r="D274" s="733"/>
      <c r="E274" s="68"/>
      <c r="F274" s="69"/>
      <c r="G274" s="70"/>
      <c r="H274" s="69"/>
      <c r="I274" s="71"/>
      <c r="J274" s="59"/>
      <c r="K274" s="61"/>
      <c r="L274" s="61"/>
      <c r="M274" s="61"/>
      <c r="N274" s="61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1"/>
      <c r="AB274" s="1"/>
      <c r="AC274" s="1"/>
      <c r="AD274" s="56"/>
      <c r="AF274" s="151"/>
      <c r="AJ274" s="146"/>
      <c r="AX274" s="3"/>
      <c r="AY274" s="3"/>
      <c r="AZ274" s="3"/>
      <c r="BA274" s="3"/>
    </row>
    <row r="275" spans="1:53" x14ac:dyDescent="0.25">
      <c r="A275" s="1013"/>
      <c r="B275" s="57" t="s">
        <v>1179</v>
      </c>
      <c r="C275" s="225">
        <v>2</v>
      </c>
      <c r="D275" s="733"/>
      <c r="E275" s="68"/>
      <c r="F275" s="69"/>
      <c r="G275" s="70"/>
      <c r="H275" s="69"/>
      <c r="I275" s="71"/>
      <c r="J275" s="59"/>
      <c r="K275" s="61"/>
      <c r="L275" s="61"/>
      <c r="M275" s="61"/>
      <c r="N275" s="61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1"/>
      <c r="AB275" s="1"/>
      <c r="AC275" s="1"/>
      <c r="AD275" s="56"/>
      <c r="AF275" s="151"/>
      <c r="AJ275" s="146"/>
      <c r="AX275" s="3"/>
      <c r="AY275" s="3"/>
      <c r="AZ275" s="3"/>
      <c r="BA275" s="3"/>
    </row>
    <row r="276" spans="1:53" x14ac:dyDescent="0.25">
      <c r="A276" s="1013"/>
      <c r="B276" s="79" t="s">
        <v>1181</v>
      </c>
      <c r="C276" s="222">
        <f>C271*C274+C272*C275</f>
        <v>106.32693857057801</v>
      </c>
      <c r="D276" s="733"/>
      <c r="E276" s="228"/>
      <c r="F276" s="166"/>
      <c r="G276" s="70"/>
      <c r="H276" s="69"/>
      <c r="I276" s="71"/>
      <c r="J276" s="59"/>
      <c r="K276" s="170"/>
      <c r="L276" s="76"/>
      <c r="M276" s="72"/>
      <c r="N276" s="61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1"/>
      <c r="AB276" s="1"/>
      <c r="AC276" s="1"/>
      <c r="AD276" s="56"/>
      <c r="AF276" s="151"/>
      <c r="AJ276" s="136"/>
      <c r="AX276" s="3"/>
      <c r="AY276" s="3"/>
      <c r="AZ276" s="3"/>
      <c r="BA276" s="3"/>
    </row>
    <row r="277" spans="1:53" x14ac:dyDescent="0.25">
      <c r="A277" s="1014"/>
      <c r="B277" s="123"/>
      <c r="C277" s="225"/>
      <c r="D277" s="734"/>
      <c r="E277" s="228"/>
      <c r="F277" s="166"/>
      <c r="G277" s="70"/>
      <c r="H277" s="69"/>
      <c r="I277" s="71"/>
      <c r="J277" s="59"/>
      <c r="K277" s="170"/>
      <c r="L277" s="61"/>
      <c r="M277" s="72"/>
      <c r="N277" s="61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1"/>
      <c r="AB277" s="1"/>
      <c r="AC277" s="1"/>
      <c r="AD277" s="56"/>
      <c r="AF277" s="151"/>
      <c r="AJ277" s="146"/>
      <c r="AX277" s="3"/>
      <c r="AY277" s="3"/>
      <c r="AZ277" s="3"/>
      <c r="BA277" s="3"/>
    </row>
    <row r="278" spans="1:53" ht="56.25" customHeight="1" x14ac:dyDescent="0.25">
      <c r="A278" s="1012" t="s">
        <v>2168</v>
      </c>
      <c r="B278" s="258" t="s">
        <v>2167</v>
      </c>
      <c r="C278" s="222"/>
      <c r="D278" s="732"/>
      <c r="E278" s="226" t="s">
        <v>488</v>
      </c>
      <c r="F278" s="53" t="s">
        <v>837</v>
      </c>
      <c r="G278" s="735" t="s">
        <v>489</v>
      </c>
      <c r="H278" s="52" t="s">
        <v>1170</v>
      </c>
      <c r="I278" s="53" t="s">
        <v>838</v>
      </c>
      <c r="J278" s="47" t="s">
        <v>1171</v>
      </c>
      <c r="K278" s="47" t="s">
        <v>490</v>
      </c>
      <c r="L278" s="54" t="s">
        <v>489</v>
      </c>
      <c r="M278" s="47" t="s">
        <v>1172</v>
      </c>
      <c r="N278" s="53" t="s">
        <v>838</v>
      </c>
      <c r="O278" s="47" t="s">
        <v>1171</v>
      </c>
      <c r="P278" s="47" t="s">
        <v>826</v>
      </c>
      <c r="Q278" s="47" t="s">
        <v>1173</v>
      </c>
      <c r="R278" s="47" t="s">
        <v>1174</v>
      </c>
      <c r="S278" s="47" t="s">
        <v>839</v>
      </c>
      <c r="T278" s="47" t="s">
        <v>1171</v>
      </c>
      <c r="U278" s="47" t="s">
        <v>1392</v>
      </c>
      <c r="V278" s="47" t="s">
        <v>841</v>
      </c>
      <c r="W278" s="231" t="s">
        <v>1173</v>
      </c>
      <c r="X278" s="47" t="s">
        <v>1394</v>
      </c>
      <c r="Y278" s="47" t="s">
        <v>839</v>
      </c>
      <c r="Z278" s="55"/>
      <c r="AA278" s="1"/>
      <c r="AB278" s="1"/>
      <c r="AC278" s="245"/>
      <c r="AD278" s="56"/>
      <c r="AQ278" s="139"/>
      <c r="AR278" s="139"/>
      <c r="AS278" s="139"/>
      <c r="AX278" s="3"/>
      <c r="AY278" s="3"/>
      <c r="AZ278" s="3"/>
      <c r="BA278" s="3"/>
    </row>
    <row r="279" spans="1:53" ht="12.75" customHeight="1" x14ac:dyDescent="0.25">
      <c r="A279" s="1013"/>
      <c r="B279" s="36" t="s">
        <v>1175</v>
      </c>
      <c r="C279" s="222">
        <f>C286</f>
        <v>132.90867321322253</v>
      </c>
      <c r="D279" s="732">
        <f>C279*$D$5</f>
        <v>26.847551989070951</v>
      </c>
      <c r="E279" s="227" t="s">
        <v>1176</v>
      </c>
      <c r="F279" s="165"/>
      <c r="G279" s="58"/>
      <c r="H279" s="58"/>
      <c r="I279" s="2">
        <f>SUM(I280:I287)</f>
        <v>19.86</v>
      </c>
      <c r="J279" s="59" t="s">
        <v>1176</v>
      </c>
      <c r="K279" s="169"/>
      <c r="L279" s="60"/>
      <c r="M279" s="60"/>
      <c r="N279" s="399">
        <f>SUM(N280:N287)</f>
        <v>0.22307280480975736</v>
      </c>
      <c r="O279" s="60" t="s">
        <v>1176</v>
      </c>
      <c r="P279" s="60"/>
      <c r="Q279" s="62"/>
      <c r="R279" s="63"/>
      <c r="S279" s="399">
        <f>SUM(S280:S287)</f>
        <v>1.670192242604752</v>
      </c>
      <c r="T279" s="61"/>
      <c r="U279" s="61"/>
      <c r="V279" s="61"/>
      <c r="W279" s="61"/>
      <c r="X279" s="61"/>
      <c r="Y279" s="399">
        <f>SUM(Y280:Y287)</f>
        <v>23.661475572758654</v>
      </c>
      <c r="Z279" s="64">
        <f>(C279+D279+I279+N279+S279+Y279)*$Z$5</f>
        <v>266.76076468118964</v>
      </c>
      <c r="AA279" s="65">
        <f>C279+D279+I279+N279+S279+Y279+Z279</f>
        <v>471.9317305036563</v>
      </c>
      <c r="AB279" s="66">
        <v>0.25</v>
      </c>
      <c r="AC279" s="244">
        <f>AA279*(1+AB279)</f>
        <v>589.91466312957039</v>
      </c>
      <c r="AD279" s="67"/>
      <c r="AI279" s="139"/>
      <c r="AJ279" s="140"/>
      <c r="AK279" s="141"/>
      <c r="AM279" s="142"/>
      <c r="AN279" s="143"/>
      <c r="AO279" s="142"/>
      <c r="AP279" s="139"/>
      <c r="AQ279" s="139"/>
      <c r="AR279" s="139"/>
      <c r="AS279" s="139"/>
      <c r="AT279" s="139"/>
      <c r="AU279" s="142"/>
      <c r="AV279" s="142"/>
      <c r="AW279" s="144"/>
      <c r="AX279" s="3"/>
      <c r="AY279" s="3"/>
      <c r="AZ279" s="3"/>
      <c r="BA279" s="3"/>
    </row>
    <row r="280" spans="1:53" x14ac:dyDescent="0.25">
      <c r="A280" s="1013"/>
      <c r="B280" s="50" t="s">
        <v>830</v>
      </c>
      <c r="C280" s="222"/>
      <c r="D280" s="733"/>
      <c r="E280" s="68" t="s">
        <v>1437</v>
      </c>
      <c r="F280" s="69" t="s">
        <v>1438</v>
      </c>
      <c r="G280" s="70">
        <v>0.3</v>
      </c>
      <c r="H280" s="69">
        <v>10</v>
      </c>
      <c r="I280" s="71">
        <f>G280*H280</f>
        <v>3</v>
      </c>
      <c r="J280" s="59" t="s">
        <v>1291</v>
      </c>
      <c r="K280" s="72">
        <v>2</v>
      </c>
      <c r="L280" s="73">
        <v>750</v>
      </c>
      <c r="M280" s="72">
        <v>2</v>
      </c>
      <c r="N280" s="399">
        <f>L280/'Исп. коэффициенты'!E34*C284</f>
        <v>0.19230414207737703</v>
      </c>
      <c r="O280" s="60" t="s">
        <v>2114</v>
      </c>
      <c r="P280" s="60">
        <v>2994195.8</v>
      </c>
      <c r="Q280" s="60">
        <v>19.670000000000002</v>
      </c>
      <c r="R280" s="60">
        <v>6513.87</v>
      </c>
      <c r="S280" s="739">
        <f>R280/'Исп. коэффициенты'!E34*+('КМУ УЗИ'!C284)</f>
        <v>1.670192242604752</v>
      </c>
      <c r="T280" s="239" t="s">
        <v>1435</v>
      </c>
      <c r="U280" s="240">
        <v>6785401.3499999996</v>
      </c>
      <c r="V280" s="740">
        <f>'Исп. коэффициенты'!E124</f>
        <v>2978.5</v>
      </c>
      <c r="W280" s="241">
        <f>'Исп. коэффициенты'!D124</f>
        <v>1.3599999999999999E-2</v>
      </c>
      <c r="X280" s="61">
        <f>U280*W280</f>
        <v>92281.45835999999</v>
      </c>
      <c r="Y280" s="739">
        <f>X280/'Исп. коэффициенты'!E34*'КМУ УЗИ'!C284</f>
        <v>23.661475572758654</v>
      </c>
      <c r="Z280" s="60"/>
      <c r="AA280" s="1"/>
      <c r="AB280" s="1"/>
      <c r="AC280" s="1"/>
      <c r="AD280" s="56"/>
      <c r="AF280" s="151"/>
      <c r="AJ280" s="136"/>
      <c r="AX280" s="3"/>
      <c r="AY280" s="3"/>
      <c r="AZ280" s="3"/>
      <c r="BA280" s="3"/>
    </row>
    <row r="281" spans="1:53" x14ac:dyDescent="0.25">
      <c r="A281" s="1013"/>
      <c r="B281" s="74" t="s">
        <v>1178</v>
      </c>
      <c r="C281" s="223">
        <f>C261</f>
        <v>33.667709452234185</v>
      </c>
      <c r="D281" s="733"/>
      <c r="E281" s="68" t="s">
        <v>2112</v>
      </c>
      <c r="F281" s="69" t="s">
        <v>1</v>
      </c>
      <c r="G281" s="70">
        <v>0.47</v>
      </c>
      <c r="H281" s="69">
        <v>10</v>
      </c>
      <c r="I281" s="242">
        <f>G281*H281</f>
        <v>4.6999999999999993</v>
      </c>
      <c r="J281" s="59" t="s">
        <v>1445</v>
      </c>
      <c r="K281" s="61">
        <v>2</v>
      </c>
      <c r="L281" s="76">
        <v>95</v>
      </c>
      <c r="M281" s="72">
        <v>2</v>
      </c>
      <c r="N281" s="399">
        <f>L281/'Исп. коэффициенты'!E34*C284</f>
        <v>2.4358524663134422E-2</v>
      </c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1"/>
      <c r="AB281" s="1"/>
      <c r="AC281" s="1"/>
      <c r="AD281" s="56"/>
      <c r="AF281" s="151"/>
      <c r="AJ281" s="136"/>
      <c r="AM281" s="145"/>
      <c r="AX281" s="3"/>
      <c r="AY281" s="3"/>
      <c r="AZ281" s="3"/>
      <c r="BA281" s="3"/>
    </row>
    <row r="282" spans="1:53" x14ac:dyDescent="0.25">
      <c r="A282" s="1013"/>
      <c r="B282" s="57" t="s">
        <v>1179</v>
      </c>
      <c r="C282" s="222">
        <f>C262</f>
        <v>19.495759833054819</v>
      </c>
      <c r="D282" s="733"/>
      <c r="E282" s="68" t="s">
        <v>1598</v>
      </c>
      <c r="F282" s="69" t="s">
        <v>1441</v>
      </c>
      <c r="G282" s="70">
        <v>5.36</v>
      </c>
      <c r="H282" s="70">
        <v>1</v>
      </c>
      <c r="I282" s="71">
        <f>G282*H282</f>
        <v>5.36</v>
      </c>
      <c r="J282" s="59" t="s">
        <v>1513</v>
      </c>
      <c r="K282" s="61">
        <v>2</v>
      </c>
      <c r="L282" s="61">
        <v>25</v>
      </c>
      <c r="M282" s="72">
        <v>0.5</v>
      </c>
      <c r="N282" s="399">
        <f>L282/'Исп. коэффициенты'!E34*C284</f>
        <v>6.4101380692459017E-3</v>
      </c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1"/>
      <c r="AB282" s="1"/>
      <c r="AC282" s="1"/>
      <c r="AD282" s="56"/>
      <c r="AF282" s="151"/>
      <c r="AJ282" s="136"/>
      <c r="AX282" s="3"/>
      <c r="AY282" s="3"/>
      <c r="AZ282" s="3"/>
      <c r="BA282" s="3"/>
    </row>
    <row r="283" spans="1:53" x14ac:dyDescent="0.25">
      <c r="A283" s="1013"/>
      <c r="B283" s="57" t="s">
        <v>831</v>
      </c>
      <c r="C283" s="224"/>
      <c r="D283" s="733"/>
      <c r="E283" s="68" t="s">
        <v>2113</v>
      </c>
      <c r="F283" s="69" t="s">
        <v>1</v>
      </c>
      <c r="G283" s="70">
        <v>0.17</v>
      </c>
      <c r="H283" s="69">
        <v>40</v>
      </c>
      <c r="I283" s="71">
        <f>G283*H283</f>
        <v>6.8000000000000007</v>
      </c>
      <c r="J283" s="59"/>
      <c r="K283" s="61"/>
      <c r="L283" s="61"/>
      <c r="M283" s="61"/>
      <c r="N283" s="61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1"/>
      <c r="AB283" s="1"/>
      <c r="AC283" s="1"/>
      <c r="AD283" s="56"/>
      <c r="AF283" s="151"/>
      <c r="AJ283" s="136"/>
      <c r="AX283" s="3"/>
      <c r="AY283" s="3"/>
      <c r="AZ283" s="3"/>
      <c r="BA283" s="3"/>
    </row>
    <row r="284" spans="1:53" x14ac:dyDescent="0.25">
      <c r="A284" s="1013"/>
      <c r="B284" s="74" t="s">
        <v>1178</v>
      </c>
      <c r="C284" s="225">
        <v>2.5</v>
      </c>
      <c r="D284" s="733"/>
      <c r="E284" s="68"/>
      <c r="F284" s="69"/>
      <c r="G284" s="70"/>
      <c r="H284" s="69"/>
      <c r="I284" s="71"/>
      <c r="J284" s="59"/>
      <c r="K284" s="61"/>
      <c r="L284" s="61"/>
      <c r="M284" s="61"/>
      <c r="N284" s="61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1"/>
      <c r="AB284" s="1"/>
      <c r="AC284" s="1"/>
      <c r="AD284" s="56"/>
      <c r="AF284" s="151"/>
      <c r="AJ284" s="146"/>
      <c r="AX284" s="3"/>
      <c r="AY284" s="3"/>
      <c r="AZ284" s="3"/>
      <c r="BA284" s="3"/>
    </row>
    <row r="285" spans="1:53" x14ac:dyDescent="0.25">
      <c r="A285" s="1013"/>
      <c r="B285" s="57" t="s">
        <v>1179</v>
      </c>
      <c r="C285" s="225">
        <v>2.5</v>
      </c>
      <c r="D285" s="733"/>
      <c r="E285" s="68"/>
      <c r="F285" s="69"/>
      <c r="G285" s="70"/>
      <c r="H285" s="69"/>
      <c r="I285" s="71"/>
      <c r="J285" s="59"/>
      <c r="K285" s="61"/>
      <c r="L285" s="61"/>
      <c r="M285" s="61"/>
      <c r="N285" s="61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1"/>
      <c r="AB285" s="1"/>
      <c r="AC285" s="1"/>
      <c r="AD285" s="56"/>
      <c r="AF285" s="151"/>
      <c r="AJ285" s="146"/>
      <c r="AX285" s="3"/>
      <c r="AY285" s="3"/>
      <c r="AZ285" s="3"/>
      <c r="BA285" s="3"/>
    </row>
    <row r="286" spans="1:53" x14ac:dyDescent="0.25">
      <c r="A286" s="1013"/>
      <c r="B286" s="79" t="s">
        <v>1181</v>
      </c>
      <c r="C286" s="222">
        <f>C281*C284+C282*C285</f>
        <v>132.90867321322253</v>
      </c>
      <c r="D286" s="733"/>
      <c r="E286" s="228"/>
      <c r="F286" s="166"/>
      <c r="G286" s="70"/>
      <c r="H286" s="69"/>
      <c r="I286" s="71"/>
      <c r="J286" s="59"/>
      <c r="K286" s="170"/>
      <c r="L286" s="76"/>
      <c r="M286" s="72"/>
      <c r="N286" s="61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1"/>
      <c r="AB286" s="1"/>
      <c r="AC286" s="1"/>
      <c r="AD286" s="56"/>
      <c r="AF286" s="151"/>
      <c r="AJ286" s="136"/>
      <c r="AX286" s="3"/>
      <c r="AY286" s="3"/>
      <c r="AZ286" s="3"/>
      <c r="BA286" s="3"/>
    </row>
    <row r="287" spans="1:53" x14ac:dyDescent="0.25">
      <c r="A287" s="1014"/>
      <c r="B287" s="123"/>
      <c r="C287" s="225"/>
      <c r="D287" s="734"/>
      <c r="E287" s="228"/>
      <c r="F287" s="166"/>
      <c r="G287" s="70"/>
      <c r="H287" s="69"/>
      <c r="I287" s="71"/>
      <c r="J287" s="59"/>
      <c r="K287" s="170"/>
      <c r="L287" s="61"/>
      <c r="M287" s="72"/>
      <c r="N287" s="61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1"/>
      <c r="AB287" s="1"/>
      <c r="AC287" s="1"/>
      <c r="AD287" s="56"/>
      <c r="AF287" s="151"/>
      <c r="AJ287" s="146"/>
      <c r="AX287" s="3"/>
      <c r="AY287" s="3"/>
      <c r="AZ287" s="3"/>
      <c r="BA287" s="3"/>
    </row>
    <row r="288" spans="1:53" ht="56.25" customHeight="1" x14ac:dyDescent="0.25">
      <c r="A288" s="1012" t="s">
        <v>2166</v>
      </c>
      <c r="B288" s="258" t="s">
        <v>2169</v>
      </c>
      <c r="C288" s="222"/>
      <c r="D288" s="732"/>
      <c r="E288" s="226" t="s">
        <v>488</v>
      </c>
      <c r="F288" s="53" t="s">
        <v>837</v>
      </c>
      <c r="G288" s="735" t="s">
        <v>489</v>
      </c>
      <c r="H288" s="52" t="s">
        <v>1170</v>
      </c>
      <c r="I288" s="53" t="s">
        <v>838</v>
      </c>
      <c r="J288" s="47" t="s">
        <v>1171</v>
      </c>
      <c r="K288" s="47" t="s">
        <v>490</v>
      </c>
      <c r="L288" s="54" t="s">
        <v>489</v>
      </c>
      <c r="M288" s="47" t="s">
        <v>1172</v>
      </c>
      <c r="N288" s="53" t="s">
        <v>838</v>
      </c>
      <c r="O288" s="47" t="s">
        <v>1171</v>
      </c>
      <c r="P288" s="47" t="s">
        <v>826</v>
      </c>
      <c r="Q288" s="47" t="s">
        <v>1173</v>
      </c>
      <c r="R288" s="47" t="s">
        <v>1174</v>
      </c>
      <c r="S288" s="47" t="s">
        <v>839</v>
      </c>
      <c r="T288" s="47" t="s">
        <v>1171</v>
      </c>
      <c r="U288" s="47" t="s">
        <v>1392</v>
      </c>
      <c r="V288" s="47" t="s">
        <v>841</v>
      </c>
      <c r="W288" s="231" t="s">
        <v>1173</v>
      </c>
      <c r="X288" s="47" t="s">
        <v>1394</v>
      </c>
      <c r="Y288" s="47" t="s">
        <v>839</v>
      </c>
      <c r="Z288" s="55"/>
      <c r="AA288" s="1"/>
      <c r="AB288" s="1"/>
      <c r="AC288" s="245"/>
      <c r="AD288" s="56"/>
      <c r="AQ288" s="139"/>
      <c r="AR288" s="139"/>
      <c r="AS288" s="139"/>
      <c r="AX288" s="3"/>
      <c r="AY288" s="3"/>
      <c r="AZ288" s="3"/>
      <c r="BA288" s="3"/>
    </row>
    <row r="289" spans="1:53" ht="12.75" customHeight="1" x14ac:dyDescent="0.25">
      <c r="A289" s="1013"/>
      <c r="B289" s="36" t="s">
        <v>1175</v>
      </c>
      <c r="C289" s="222">
        <f>C296</f>
        <v>132.90867321322253</v>
      </c>
      <c r="D289" s="732">
        <f>C289*$D$5</f>
        <v>26.847551989070951</v>
      </c>
      <c r="E289" s="227" t="s">
        <v>1176</v>
      </c>
      <c r="F289" s="165"/>
      <c r="G289" s="58"/>
      <c r="H289" s="58"/>
      <c r="I289" s="2">
        <f>SUM(I290:I297)</f>
        <v>19.86</v>
      </c>
      <c r="J289" s="59" t="s">
        <v>1176</v>
      </c>
      <c r="K289" s="169"/>
      <c r="L289" s="60"/>
      <c r="M289" s="60"/>
      <c r="N289" s="399">
        <f>SUM(N290:N297)</f>
        <v>0.22307280480975736</v>
      </c>
      <c r="O289" s="60" t="s">
        <v>1176</v>
      </c>
      <c r="P289" s="60"/>
      <c r="Q289" s="62"/>
      <c r="R289" s="63"/>
      <c r="S289" s="399">
        <f>SUM(S290:S297)</f>
        <v>1.670192242604752</v>
      </c>
      <c r="T289" s="61"/>
      <c r="U289" s="61"/>
      <c r="V289" s="61"/>
      <c r="W289" s="61"/>
      <c r="X289" s="61"/>
      <c r="Y289" s="399">
        <f>SUM(Y290:Y297)</f>
        <v>23.661475572758654</v>
      </c>
      <c r="Z289" s="64">
        <f>(C289+D289+I289+N289+S289+Y289)*$Z$5</f>
        <v>266.76076468118964</v>
      </c>
      <c r="AA289" s="65">
        <f>C289+D289+I289+N289+S289+Y289+Z289</f>
        <v>471.9317305036563</v>
      </c>
      <c r="AB289" s="66">
        <v>0.25</v>
      </c>
      <c r="AC289" s="244">
        <f>AA289*(1+AB289)</f>
        <v>589.91466312957039</v>
      </c>
      <c r="AD289" s="67"/>
      <c r="AI289" s="139"/>
      <c r="AJ289" s="140"/>
      <c r="AK289" s="141"/>
      <c r="AM289" s="142"/>
      <c r="AN289" s="143"/>
      <c r="AO289" s="142"/>
      <c r="AP289" s="139"/>
      <c r="AQ289" s="139"/>
      <c r="AR289" s="139"/>
      <c r="AS289" s="139"/>
      <c r="AT289" s="139"/>
      <c r="AU289" s="142"/>
      <c r="AV289" s="142"/>
      <c r="AW289" s="144"/>
      <c r="AX289" s="3"/>
      <c r="AY289" s="3"/>
      <c r="AZ289" s="3"/>
      <c r="BA289" s="3"/>
    </row>
    <row r="290" spans="1:53" x14ac:dyDescent="0.25">
      <c r="A290" s="1013"/>
      <c r="B290" s="50" t="s">
        <v>830</v>
      </c>
      <c r="C290" s="222"/>
      <c r="D290" s="733"/>
      <c r="E290" s="68" t="s">
        <v>1437</v>
      </c>
      <c r="F290" s="69" t="s">
        <v>1438</v>
      </c>
      <c r="G290" s="70">
        <v>0.3</v>
      </c>
      <c r="H290" s="69">
        <v>10</v>
      </c>
      <c r="I290" s="71">
        <f>G290*H290</f>
        <v>3</v>
      </c>
      <c r="J290" s="59" t="s">
        <v>1291</v>
      </c>
      <c r="K290" s="72">
        <v>2</v>
      </c>
      <c r="L290" s="73">
        <v>750</v>
      </c>
      <c r="M290" s="72">
        <v>2</v>
      </c>
      <c r="N290" s="399">
        <f>L290/'Исп. коэффициенты'!E34*C294</f>
        <v>0.19230414207737703</v>
      </c>
      <c r="O290" s="60" t="s">
        <v>2114</v>
      </c>
      <c r="P290" s="60">
        <v>2994195.8</v>
      </c>
      <c r="Q290" s="60">
        <v>19.670000000000002</v>
      </c>
      <c r="R290" s="60">
        <v>6513.87</v>
      </c>
      <c r="S290" s="739">
        <f>R290/'Исп. коэффициенты'!E34*+('КМУ УЗИ'!C294)</f>
        <v>1.670192242604752</v>
      </c>
      <c r="T290" s="239" t="s">
        <v>1435</v>
      </c>
      <c r="U290" s="240">
        <v>6785401.3499999996</v>
      </c>
      <c r="V290" s="740">
        <f>'Исп. коэффициенты'!E124</f>
        <v>2978.5</v>
      </c>
      <c r="W290" s="241">
        <f>'Исп. коэффициенты'!D124</f>
        <v>1.3599999999999999E-2</v>
      </c>
      <c r="X290" s="61">
        <f>U290*W290</f>
        <v>92281.45835999999</v>
      </c>
      <c r="Y290" s="739">
        <f>X290/'Исп. коэффициенты'!E34*'КМУ УЗИ'!C294</f>
        <v>23.661475572758654</v>
      </c>
      <c r="Z290" s="60"/>
      <c r="AA290" s="1"/>
      <c r="AB290" s="1"/>
      <c r="AC290" s="1"/>
      <c r="AD290" s="56"/>
      <c r="AF290" s="151"/>
      <c r="AJ290" s="136"/>
      <c r="AX290" s="3"/>
      <c r="AY290" s="3"/>
      <c r="AZ290" s="3"/>
      <c r="BA290" s="3"/>
    </row>
    <row r="291" spans="1:53" x14ac:dyDescent="0.25">
      <c r="A291" s="1013"/>
      <c r="B291" s="74" t="s">
        <v>1178</v>
      </c>
      <c r="C291" s="223">
        <f>C271</f>
        <v>33.667709452234185</v>
      </c>
      <c r="D291" s="733"/>
      <c r="E291" s="68" t="s">
        <v>2112</v>
      </c>
      <c r="F291" s="69" t="s">
        <v>1</v>
      </c>
      <c r="G291" s="70">
        <v>0.47</v>
      </c>
      <c r="H291" s="69">
        <v>10</v>
      </c>
      <c r="I291" s="242">
        <f>G291*H291</f>
        <v>4.6999999999999993</v>
      </c>
      <c r="J291" s="59" t="s">
        <v>1445</v>
      </c>
      <c r="K291" s="61">
        <v>2</v>
      </c>
      <c r="L291" s="76">
        <v>95</v>
      </c>
      <c r="M291" s="72">
        <v>2</v>
      </c>
      <c r="N291" s="399">
        <f>L291/'Исп. коэффициенты'!E34*C294</f>
        <v>2.4358524663134422E-2</v>
      </c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1"/>
      <c r="AB291" s="1"/>
      <c r="AC291" s="1"/>
      <c r="AD291" s="56"/>
      <c r="AF291" s="151"/>
      <c r="AJ291" s="136"/>
      <c r="AM291" s="145"/>
      <c r="AX291" s="3"/>
      <c r="AY291" s="3"/>
      <c r="AZ291" s="3"/>
      <c r="BA291" s="3"/>
    </row>
    <row r="292" spans="1:53" x14ac:dyDescent="0.25">
      <c r="A292" s="1013"/>
      <c r="B292" s="57" t="s">
        <v>1179</v>
      </c>
      <c r="C292" s="222">
        <f>C272</f>
        <v>19.495759833054819</v>
      </c>
      <c r="D292" s="733"/>
      <c r="E292" s="68" t="s">
        <v>1598</v>
      </c>
      <c r="F292" s="69" t="s">
        <v>1441</v>
      </c>
      <c r="G292" s="70">
        <v>5.36</v>
      </c>
      <c r="H292" s="70">
        <v>1</v>
      </c>
      <c r="I292" s="71">
        <f>G292*H292</f>
        <v>5.36</v>
      </c>
      <c r="J292" s="59" t="s">
        <v>1513</v>
      </c>
      <c r="K292" s="61">
        <v>2</v>
      </c>
      <c r="L292" s="61">
        <v>25</v>
      </c>
      <c r="M292" s="72">
        <v>0.5</v>
      </c>
      <c r="N292" s="399">
        <f>L292/'Исп. коэффициенты'!E34*C294</f>
        <v>6.4101380692459017E-3</v>
      </c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1"/>
      <c r="AB292" s="1"/>
      <c r="AC292" s="1"/>
      <c r="AD292" s="56"/>
      <c r="AF292" s="151"/>
      <c r="AJ292" s="136"/>
      <c r="AX292" s="3"/>
      <c r="AY292" s="3"/>
      <c r="AZ292" s="3"/>
      <c r="BA292" s="3"/>
    </row>
    <row r="293" spans="1:53" x14ac:dyDescent="0.25">
      <c r="A293" s="1013"/>
      <c r="B293" s="57" t="s">
        <v>831</v>
      </c>
      <c r="C293" s="224"/>
      <c r="D293" s="733"/>
      <c r="E293" s="68" t="s">
        <v>2113</v>
      </c>
      <c r="F293" s="69" t="s">
        <v>1</v>
      </c>
      <c r="G293" s="70">
        <v>0.17</v>
      </c>
      <c r="H293" s="69">
        <v>40</v>
      </c>
      <c r="I293" s="71">
        <f>G293*H293</f>
        <v>6.8000000000000007</v>
      </c>
      <c r="J293" s="59"/>
      <c r="K293" s="61"/>
      <c r="L293" s="61"/>
      <c r="M293" s="61"/>
      <c r="N293" s="61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1"/>
      <c r="AB293" s="1"/>
      <c r="AC293" s="1"/>
      <c r="AD293" s="56"/>
      <c r="AF293" s="151"/>
      <c r="AJ293" s="136"/>
      <c r="AX293" s="3"/>
      <c r="AY293" s="3"/>
      <c r="AZ293" s="3"/>
      <c r="BA293" s="3"/>
    </row>
    <row r="294" spans="1:53" x14ac:dyDescent="0.25">
      <c r="A294" s="1013"/>
      <c r="B294" s="74" t="s">
        <v>1178</v>
      </c>
      <c r="C294" s="225">
        <v>2.5</v>
      </c>
      <c r="D294" s="733"/>
      <c r="E294" s="68"/>
      <c r="F294" s="69"/>
      <c r="G294" s="70"/>
      <c r="H294" s="69"/>
      <c r="I294" s="71"/>
      <c r="J294" s="59"/>
      <c r="K294" s="61"/>
      <c r="L294" s="61"/>
      <c r="M294" s="61"/>
      <c r="N294" s="61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1"/>
      <c r="AB294" s="1"/>
      <c r="AC294" s="1"/>
      <c r="AD294" s="56"/>
      <c r="AF294" s="151"/>
      <c r="AJ294" s="146"/>
      <c r="AX294" s="3"/>
      <c r="AY294" s="3"/>
      <c r="AZ294" s="3"/>
      <c r="BA294" s="3"/>
    </row>
    <row r="295" spans="1:53" x14ac:dyDescent="0.25">
      <c r="A295" s="1013"/>
      <c r="B295" s="57" t="s">
        <v>1179</v>
      </c>
      <c r="C295" s="225">
        <v>2.5</v>
      </c>
      <c r="D295" s="733"/>
      <c r="E295" s="68"/>
      <c r="F295" s="69"/>
      <c r="G295" s="70"/>
      <c r="H295" s="69"/>
      <c r="I295" s="71"/>
      <c r="J295" s="59"/>
      <c r="K295" s="61"/>
      <c r="L295" s="61"/>
      <c r="M295" s="61"/>
      <c r="N295" s="61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1"/>
      <c r="AB295" s="1"/>
      <c r="AC295" s="1"/>
      <c r="AD295" s="56"/>
      <c r="AF295" s="151"/>
      <c r="AJ295" s="146"/>
      <c r="AX295" s="3"/>
      <c r="AY295" s="3"/>
      <c r="AZ295" s="3"/>
      <c r="BA295" s="3"/>
    </row>
    <row r="296" spans="1:53" x14ac:dyDescent="0.25">
      <c r="A296" s="1013"/>
      <c r="B296" s="79" t="s">
        <v>1181</v>
      </c>
      <c r="C296" s="222">
        <f>C291*C294+C292*C295</f>
        <v>132.90867321322253</v>
      </c>
      <c r="D296" s="733"/>
      <c r="E296" s="228"/>
      <c r="F296" s="166"/>
      <c r="G296" s="70"/>
      <c r="H296" s="69"/>
      <c r="I296" s="71"/>
      <c r="J296" s="59"/>
      <c r="K296" s="170"/>
      <c r="L296" s="76"/>
      <c r="M296" s="72"/>
      <c r="N296" s="61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1"/>
      <c r="AB296" s="1"/>
      <c r="AC296" s="1"/>
      <c r="AD296" s="56"/>
      <c r="AF296" s="151"/>
      <c r="AJ296" s="136"/>
      <c r="AX296" s="3"/>
      <c r="AY296" s="3"/>
      <c r="AZ296" s="3"/>
      <c r="BA296" s="3"/>
    </row>
    <row r="297" spans="1:53" x14ac:dyDescent="0.25">
      <c r="A297" s="1014"/>
      <c r="B297" s="123"/>
      <c r="C297" s="225"/>
      <c r="D297" s="734"/>
      <c r="E297" s="228"/>
      <c r="F297" s="166"/>
      <c r="G297" s="70"/>
      <c r="H297" s="69"/>
      <c r="I297" s="71"/>
      <c r="J297" s="59"/>
      <c r="K297" s="170"/>
      <c r="L297" s="61"/>
      <c r="M297" s="72"/>
      <c r="N297" s="61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1"/>
      <c r="AB297" s="1"/>
      <c r="AC297" s="1"/>
      <c r="AD297" s="56"/>
      <c r="AF297" s="151"/>
      <c r="AJ297" s="146"/>
      <c r="AX297" s="3"/>
      <c r="AY297" s="3"/>
      <c r="AZ297" s="3"/>
      <c r="BA297" s="3"/>
    </row>
    <row r="298" spans="1:53" ht="56.25" customHeight="1" x14ac:dyDescent="0.25">
      <c r="A298" s="1012" t="s">
        <v>2170</v>
      </c>
      <c r="B298" s="258" t="s">
        <v>2171</v>
      </c>
      <c r="C298" s="222"/>
      <c r="D298" s="732"/>
      <c r="E298" s="226" t="s">
        <v>488</v>
      </c>
      <c r="F298" s="53" t="s">
        <v>837</v>
      </c>
      <c r="G298" s="735" t="s">
        <v>489</v>
      </c>
      <c r="H298" s="52" t="s">
        <v>1170</v>
      </c>
      <c r="I298" s="53" t="s">
        <v>838</v>
      </c>
      <c r="J298" s="47" t="s">
        <v>1171</v>
      </c>
      <c r="K298" s="47" t="s">
        <v>490</v>
      </c>
      <c r="L298" s="54" t="s">
        <v>489</v>
      </c>
      <c r="M298" s="47" t="s">
        <v>1172</v>
      </c>
      <c r="N298" s="53" t="s">
        <v>838</v>
      </c>
      <c r="O298" s="47" t="s">
        <v>1171</v>
      </c>
      <c r="P298" s="47" t="s">
        <v>826</v>
      </c>
      <c r="Q298" s="47" t="s">
        <v>1173</v>
      </c>
      <c r="R298" s="47" t="s">
        <v>1174</v>
      </c>
      <c r="S298" s="47" t="s">
        <v>839</v>
      </c>
      <c r="T298" s="47" t="s">
        <v>1171</v>
      </c>
      <c r="U298" s="47" t="s">
        <v>1392</v>
      </c>
      <c r="V298" s="47" t="s">
        <v>841</v>
      </c>
      <c r="W298" s="231" t="s">
        <v>1173</v>
      </c>
      <c r="X298" s="47" t="s">
        <v>1394</v>
      </c>
      <c r="Y298" s="47" t="s">
        <v>839</v>
      </c>
      <c r="Z298" s="55"/>
      <c r="AA298" s="1"/>
      <c r="AB298" s="1"/>
      <c r="AC298" s="245"/>
      <c r="AD298" s="56"/>
      <c r="AQ298" s="139"/>
      <c r="AR298" s="139"/>
      <c r="AS298" s="139"/>
      <c r="AX298" s="3"/>
      <c r="AY298" s="3"/>
      <c r="AZ298" s="3"/>
      <c r="BA298" s="3"/>
    </row>
    <row r="299" spans="1:53" ht="12.75" customHeight="1" x14ac:dyDescent="0.25">
      <c r="A299" s="1013"/>
      <c r="B299" s="36" t="s">
        <v>1175</v>
      </c>
      <c r="C299" s="222">
        <f>C306</f>
        <v>106.32693857057801</v>
      </c>
      <c r="D299" s="732">
        <f>C299*$D$5</f>
        <v>21.478041591256758</v>
      </c>
      <c r="E299" s="227" t="s">
        <v>1176</v>
      </c>
      <c r="F299" s="165"/>
      <c r="G299" s="58"/>
      <c r="H299" s="58"/>
      <c r="I299" s="2">
        <f>SUM(I300:I307)</f>
        <v>19.86</v>
      </c>
      <c r="J299" s="59" t="s">
        <v>1176</v>
      </c>
      <c r="K299" s="169"/>
      <c r="L299" s="60"/>
      <c r="M299" s="60"/>
      <c r="N299" s="399">
        <f>SUM(N300:N307)</f>
        <v>0.17845824384780587</v>
      </c>
      <c r="O299" s="60" t="s">
        <v>1176</v>
      </c>
      <c r="P299" s="60"/>
      <c r="Q299" s="62"/>
      <c r="R299" s="63"/>
      <c r="S299" s="399">
        <f>SUM(S300:S307)</f>
        <v>1.3361537940838015</v>
      </c>
      <c r="T299" s="61"/>
      <c r="U299" s="61"/>
      <c r="V299" s="61"/>
      <c r="W299" s="61"/>
      <c r="X299" s="61"/>
      <c r="Y299" s="399">
        <f>SUM(Y300:Y307)</f>
        <v>18.929180458206922</v>
      </c>
      <c r="Z299" s="64">
        <f>(C299+D299+I299+N299+S299+Y299)*$Z$5</f>
        <v>218.57295726073258</v>
      </c>
      <c r="AA299" s="65">
        <f>C299+D299+I299+N299+S299+Y299+Z299</f>
        <v>386.68172991870586</v>
      </c>
      <c r="AB299" s="66">
        <v>0.25</v>
      </c>
      <c r="AC299" s="244">
        <f>AA299*(1+AB299)</f>
        <v>483.35216239838235</v>
      </c>
      <c r="AD299" s="67"/>
      <c r="AI299" s="139"/>
      <c r="AJ299" s="140"/>
      <c r="AK299" s="141"/>
      <c r="AM299" s="142"/>
      <c r="AN299" s="143"/>
      <c r="AO299" s="142"/>
      <c r="AP299" s="139"/>
      <c r="AQ299" s="139"/>
      <c r="AR299" s="139"/>
      <c r="AS299" s="139"/>
      <c r="AT299" s="139"/>
      <c r="AU299" s="142"/>
      <c r="AV299" s="142"/>
      <c r="AW299" s="144"/>
      <c r="AX299" s="3"/>
      <c r="AY299" s="3"/>
      <c r="AZ299" s="3"/>
      <c r="BA299" s="3"/>
    </row>
    <row r="300" spans="1:53" x14ac:dyDescent="0.25">
      <c r="A300" s="1013"/>
      <c r="B300" s="50" t="s">
        <v>830</v>
      </c>
      <c r="C300" s="222"/>
      <c r="D300" s="733"/>
      <c r="E300" s="68" t="s">
        <v>1437</v>
      </c>
      <c r="F300" s="69" t="s">
        <v>1438</v>
      </c>
      <c r="G300" s="70">
        <v>0.3</v>
      </c>
      <c r="H300" s="69">
        <v>10</v>
      </c>
      <c r="I300" s="71">
        <f>G300*H300</f>
        <v>3</v>
      </c>
      <c r="J300" s="59" t="s">
        <v>1291</v>
      </c>
      <c r="K300" s="72">
        <v>2</v>
      </c>
      <c r="L300" s="73">
        <v>750</v>
      </c>
      <c r="M300" s="72">
        <v>2</v>
      </c>
      <c r="N300" s="399">
        <f>L300/'Исп. коэффициенты'!E34*C304</f>
        <v>0.15384331366190163</v>
      </c>
      <c r="O300" s="60" t="s">
        <v>2114</v>
      </c>
      <c r="P300" s="60">
        <v>2994195.8</v>
      </c>
      <c r="Q300" s="60">
        <v>19.670000000000002</v>
      </c>
      <c r="R300" s="60">
        <v>6513.87</v>
      </c>
      <c r="S300" s="739">
        <f>R300/'Исп. коэффициенты'!E34*+('КМУ УЗИ'!C304)</f>
        <v>1.3361537940838015</v>
      </c>
      <c r="T300" s="239" t="s">
        <v>1435</v>
      </c>
      <c r="U300" s="240">
        <v>6785401.3499999996</v>
      </c>
      <c r="V300" s="740">
        <f>'Исп. коэффициенты'!E124</f>
        <v>2978.5</v>
      </c>
      <c r="W300" s="241">
        <f>'Исп. коэффициенты'!D124</f>
        <v>1.3599999999999999E-2</v>
      </c>
      <c r="X300" s="61">
        <f>U300*W300</f>
        <v>92281.45835999999</v>
      </c>
      <c r="Y300" s="739">
        <f>X300/'Исп. коэффициенты'!E34*'КМУ УЗИ'!C304</f>
        <v>18.929180458206922</v>
      </c>
      <c r="Z300" s="60"/>
      <c r="AA300" s="1"/>
      <c r="AB300" s="1"/>
      <c r="AC300" s="1"/>
      <c r="AD300" s="56"/>
      <c r="AF300" s="151"/>
      <c r="AJ300" s="136"/>
      <c r="AX300" s="3"/>
      <c r="AY300" s="3"/>
      <c r="AZ300" s="3"/>
      <c r="BA300" s="3"/>
    </row>
    <row r="301" spans="1:53" x14ac:dyDescent="0.25">
      <c r="A301" s="1013"/>
      <c r="B301" s="74" t="s">
        <v>1178</v>
      </c>
      <c r="C301" s="223">
        <f>C281</f>
        <v>33.667709452234185</v>
      </c>
      <c r="D301" s="733"/>
      <c r="E301" s="68" t="s">
        <v>2112</v>
      </c>
      <c r="F301" s="69" t="s">
        <v>1</v>
      </c>
      <c r="G301" s="70">
        <v>0.47</v>
      </c>
      <c r="H301" s="69">
        <v>10</v>
      </c>
      <c r="I301" s="242">
        <f>G301*H301</f>
        <v>4.6999999999999993</v>
      </c>
      <c r="J301" s="59" t="s">
        <v>1445</v>
      </c>
      <c r="K301" s="61">
        <v>2</v>
      </c>
      <c r="L301" s="76">
        <v>95</v>
      </c>
      <c r="M301" s="72">
        <v>2</v>
      </c>
      <c r="N301" s="399">
        <f>L301/'Исп. коэффициенты'!E34*C304</f>
        <v>1.9486819730507539E-2</v>
      </c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1"/>
      <c r="AB301" s="1"/>
      <c r="AC301" s="1"/>
      <c r="AD301" s="56"/>
      <c r="AF301" s="151"/>
      <c r="AJ301" s="136"/>
      <c r="AM301" s="145"/>
      <c r="AX301" s="3"/>
      <c r="AY301" s="3"/>
      <c r="AZ301" s="3"/>
      <c r="BA301" s="3"/>
    </row>
    <row r="302" spans="1:53" x14ac:dyDescent="0.25">
      <c r="A302" s="1013"/>
      <c r="B302" s="57" t="s">
        <v>1179</v>
      </c>
      <c r="C302" s="222">
        <f>C282</f>
        <v>19.495759833054819</v>
      </c>
      <c r="D302" s="733"/>
      <c r="E302" s="68" t="s">
        <v>1598</v>
      </c>
      <c r="F302" s="69" t="s">
        <v>1441</v>
      </c>
      <c r="G302" s="70">
        <v>5.36</v>
      </c>
      <c r="H302" s="70">
        <v>1</v>
      </c>
      <c r="I302" s="71">
        <f>G302*H302</f>
        <v>5.36</v>
      </c>
      <c r="J302" s="59" t="s">
        <v>1513</v>
      </c>
      <c r="K302" s="61">
        <v>2</v>
      </c>
      <c r="L302" s="61">
        <v>25</v>
      </c>
      <c r="M302" s="72">
        <v>0.5</v>
      </c>
      <c r="N302" s="399">
        <f>L302/'Исп. коэффициенты'!E34*C304</f>
        <v>5.1281104553967212E-3</v>
      </c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1"/>
      <c r="AB302" s="1"/>
      <c r="AC302" s="1"/>
      <c r="AD302" s="56"/>
      <c r="AF302" s="151"/>
      <c r="AJ302" s="136"/>
      <c r="AX302" s="3"/>
      <c r="AY302" s="3"/>
      <c r="AZ302" s="3"/>
      <c r="BA302" s="3"/>
    </row>
    <row r="303" spans="1:53" x14ac:dyDescent="0.25">
      <c r="A303" s="1013"/>
      <c r="B303" s="57" t="s">
        <v>831</v>
      </c>
      <c r="C303" s="224"/>
      <c r="D303" s="733"/>
      <c r="E303" s="68" t="s">
        <v>2113</v>
      </c>
      <c r="F303" s="69" t="s">
        <v>1</v>
      </c>
      <c r="G303" s="70">
        <v>0.17</v>
      </c>
      <c r="H303" s="69">
        <v>40</v>
      </c>
      <c r="I303" s="71">
        <f>G303*H303</f>
        <v>6.8000000000000007</v>
      </c>
      <c r="J303" s="59"/>
      <c r="K303" s="61"/>
      <c r="L303" s="61"/>
      <c r="M303" s="61"/>
      <c r="N303" s="61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1"/>
      <c r="AB303" s="1"/>
      <c r="AC303" s="1"/>
      <c r="AD303" s="56"/>
      <c r="AF303" s="151"/>
      <c r="AJ303" s="136"/>
      <c r="AX303" s="3"/>
      <c r="AY303" s="3"/>
      <c r="AZ303" s="3"/>
      <c r="BA303" s="3"/>
    </row>
    <row r="304" spans="1:53" x14ac:dyDescent="0.25">
      <c r="A304" s="1013"/>
      <c r="B304" s="74" t="s">
        <v>1178</v>
      </c>
      <c r="C304" s="225">
        <v>2</v>
      </c>
      <c r="D304" s="733"/>
      <c r="E304" s="68"/>
      <c r="F304" s="69"/>
      <c r="G304" s="70"/>
      <c r="H304" s="69"/>
      <c r="I304" s="71"/>
      <c r="J304" s="59"/>
      <c r="K304" s="61"/>
      <c r="L304" s="61"/>
      <c r="M304" s="61"/>
      <c r="N304" s="61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1"/>
      <c r="AB304" s="1"/>
      <c r="AC304" s="1"/>
      <c r="AD304" s="56"/>
      <c r="AF304" s="151"/>
      <c r="AJ304" s="146"/>
      <c r="AX304" s="3"/>
      <c r="AY304" s="3"/>
      <c r="AZ304" s="3"/>
      <c r="BA304" s="3"/>
    </row>
    <row r="305" spans="1:53" x14ac:dyDescent="0.25">
      <c r="A305" s="1013"/>
      <c r="B305" s="57" t="s">
        <v>1179</v>
      </c>
      <c r="C305" s="225">
        <v>2</v>
      </c>
      <c r="D305" s="733"/>
      <c r="E305" s="68"/>
      <c r="F305" s="69"/>
      <c r="G305" s="70"/>
      <c r="H305" s="69"/>
      <c r="I305" s="71"/>
      <c r="J305" s="59"/>
      <c r="K305" s="61"/>
      <c r="L305" s="61"/>
      <c r="M305" s="61"/>
      <c r="N305" s="61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1"/>
      <c r="AB305" s="1"/>
      <c r="AC305" s="1"/>
      <c r="AD305" s="56"/>
      <c r="AF305" s="151"/>
      <c r="AJ305" s="146"/>
      <c r="AX305" s="3"/>
      <c r="AY305" s="3"/>
      <c r="AZ305" s="3"/>
      <c r="BA305" s="3"/>
    </row>
    <row r="306" spans="1:53" x14ac:dyDescent="0.25">
      <c r="A306" s="1013"/>
      <c r="B306" s="79" t="s">
        <v>1181</v>
      </c>
      <c r="C306" s="222">
        <f>C301*C304+C302*C305</f>
        <v>106.32693857057801</v>
      </c>
      <c r="D306" s="733"/>
      <c r="E306" s="228"/>
      <c r="F306" s="166"/>
      <c r="G306" s="70"/>
      <c r="H306" s="69"/>
      <c r="I306" s="71"/>
      <c r="J306" s="59"/>
      <c r="K306" s="170"/>
      <c r="L306" s="76"/>
      <c r="M306" s="72"/>
      <c r="N306" s="61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1"/>
      <c r="AB306" s="1"/>
      <c r="AC306" s="1"/>
      <c r="AD306" s="56"/>
      <c r="AF306" s="151"/>
      <c r="AJ306" s="136"/>
      <c r="AX306" s="3"/>
      <c r="AY306" s="3"/>
      <c r="AZ306" s="3"/>
      <c r="BA306" s="3"/>
    </row>
    <row r="307" spans="1:53" x14ac:dyDescent="0.25">
      <c r="A307" s="1014"/>
      <c r="B307" s="123"/>
      <c r="C307" s="225"/>
      <c r="D307" s="734"/>
      <c r="E307" s="228"/>
      <c r="F307" s="166"/>
      <c r="G307" s="70"/>
      <c r="H307" s="69"/>
      <c r="I307" s="71"/>
      <c r="J307" s="59"/>
      <c r="K307" s="170"/>
      <c r="L307" s="61"/>
      <c r="M307" s="72"/>
      <c r="N307" s="61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1"/>
      <c r="AB307" s="1"/>
      <c r="AC307" s="1"/>
      <c r="AD307" s="56"/>
      <c r="AF307" s="151"/>
      <c r="AJ307" s="146"/>
      <c r="AX307" s="3"/>
      <c r="AY307" s="3"/>
      <c r="AZ307" s="3"/>
      <c r="BA307" s="3"/>
    </row>
    <row r="308" spans="1:53" ht="56.25" customHeight="1" x14ac:dyDescent="0.25">
      <c r="A308" s="1012" t="s">
        <v>2172</v>
      </c>
      <c r="B308" s="258" t="s">
        <v>2173</v>
      </c>
      <c r="C308" s="222"/>
      <c r="D308" s="732"/>
      <c r="E308" s="226" t="s">
        <v>488</v>
      </c>
      <c r="F308" s="53" t="s">
        <v>837</v>
      </c>
      <c r="G308" s="735" t="s">
        <v>489</v>
      </c>
      <c r="H308" s="52" t="s">
        <v>1170</v>
      </c>
      <c r="I308" s="53" t="s">
        <v>838</v>
      </c>
      <c r="J308" s="47" t="s">
        <v>1171</v>
      </c>
      <c r="K308" s="47" t="s">
        <v>490</v>
      </c>
      <c r="L308" s="54" t="s">
        <v>489</v>
      </c>
      <c r="M308" s="47" t="s">
        <v>1172</v>
      </c>
      <c r="N308" s="53" t="s">
        <v>838</v>
      </c>
      <c r="O308" s="47" t="s">
        <v>1171</v>
      </c>
      <c r="P308" s="47" t="s">
        <v>826</v>
      </c>
      <c r="Q308" s="47" t="s">
        <v>1173</v>
      </c>
      <c r="R308" s="47" t="s">
        <v>1174</v>
      </c>
      <c r="S308" s="47" t="s">
        <v>839</v>
      </c>
      <c r="T308" s="47" t="s">
        <v>1171</v>
      </c>
      <c r="U308" s="47" t="s">
        <v>1392</v>
      </c>
      <c r="V308" s="47" t="s">
        <v>841</v>
      </c>
      <c r="W308" s="231" t="s">
        <v>1173</v>
      </c>
      <c r="X308" s="47" t="s">
        <v>1394</v>
      </c>
      <c r="Y308" s="47" t="s">
        <v>839</v>
      </c>
      <c r="Z308" s="55"/>
      <c r="AA308" s="1"/>
      <c r="AB308" s="1"/>
      <c r="AC308" s="245"/>
      <c r="AD308" s="56"/>
      <c r="AQ308" s="139"/>
      <c r="AR308" s="139"/>
      <c r="AS308" s="139"/>
      <c r="AX308" s="3"/>
      <c r="AY308" s="3"/>
      <c r="AZ308" s="3"/>
      <c r="BA308" s="3"/>
    </row>
    <row r="309" spans="1:53" ht="12.75" customHeight="1" x14ac:dyDescent="0.25">
      <c r="A309" s="1013"/>
      <c r="B309" s="36" t="s">
        <v>1175</v>
      </c>
      <c r="C309" s="222">
        <f>C316</f>
        <v>106.32693857057801</v>
      </c>
      <c r="D309" s="732">
        <f>C309*$D$5</f>
        <v>21.478041591256758</v>
      </c>
      <c r="E309" s="227" t="s">
        <v>1176</v>
      </c>
      <c r="F309" s="165"/>
      <c r="G309" s="58"/>
      <c r="H309" s="58"/>
      <c r="I309" s="2">
        <f>SUM(I310:I317)</f>
        <v>19.86</v>
      </c>
      <c r="J309" s="59" t="s">
        <v>1176</v>
      </c>
      <c r="K309" s="169"/>
      <c r="L309" s="60"/>
      <c r="M309" s="60"/>
      <c r="N309" s="399">
        <f>SUM(N310:N317)</f>
        <v>0.17845824384780587</v>
      </c>
      <c r="O309" s="60" t="s">
        <v>1176</v>
      </c>
      <c r="P309" s="60"/>
      <c r="Q309" s="62"/>
      <c r="R309" s="63"/>
      <c r="S309" s="399">
        <f>SUM(S310:S317)</f>
        <v>1.3361537940838015</v>
      </c>
      <c r="T309" s="61"/>
      <c r="U309" s="61"/>
      <c r="V309" s="61"/>
      <c r="W309" s="61"/>
      <c r="X309" s="61"/>
      <c r="Y309" s="399">
        <f>SUM(Y310:Y317)</f>
        <v>18.929180458206922</v>
      </c>
      <c r="Z309" s="64">
        <f>(C309+D309+I309+N309+S309+Y309)*$Z$5</f>
        <v>218.57295726073258</v>
      </c>
      <c r="AA309" s="65">
        <f>C309+D309+I309+N309+S309+Y309+Z309</f>
        <v>386.68172991870586</v>
      </c>
      <c r="AB309" s="66">
        <v>0.25</v>
      </c>
      <c r="AC309" s="244">
        <f>AA309*(1+AB309)</f>
        <v>483.35216239838235</v>
      </c>
      <c r="AD309" s="67"/>
      <c r="AI309" s="139"/>
      <c r="AJ309" s="140"/>
      <c r="AK309" s="141"/>
      <c r="AM309" s="142"/>
      <c r="AN309" s="143"/>
      <c r="AO309" s="142"/>
      <c r="AP309" s="139"/>
      <c r="AQ309" s="139"/>
      <c r="AR309" s="139"/>
      <c r="AS309" s="139"/>
      <c r="AT309" s="139"/>
      <c r="AU309" s="142"/>
      <c r="AV309" s="142"/>
      <c r="AW309" s="144"/>
      <c r="AX309" s="3"/>
      <c r="AY309" s="3"/>
      <c r="AZ309" s="3"/>
      <c r="BA309" s="3"/>
    </row>
    <row r="310" spans="1:53" x14ac:dyDescent="0.25">
      <c r="A310" s="1013"/>
      <c r="B310" s="50" t="s">
        <v>830</v>
      </c>
      <c r="C310" s="222"/>
      <c r="D310" s="733"/>
      <c r="E310" s="68" t="s">
        <v>1437</v>
      </c>
      <c r="F310" s="69" t="s">
        <v>1438</v>
      </c>
      <c r="G310" s="70">
        <v>0.3</v>
      </c>
      <c r="H310" s="69">
        <v>10</v>
      </c>
      <c r="I310" s="71">
        <f>G310*H310</f>
        <v>3</v>
      </c>
      <c r="J310" s="59" t="s">
        <v>1291</v>
      </c>
      <c r="K310" s="72">
        <v>2</v>
      </c>
      <c r="L310" s="73">
        <v>750</v>
      </c>
      <c r="M310" s="72">
        <v>2</v>
      </c>
      <c r="N310" s="399">
        <f>L310/'Исп. коэффициенты'!E34*C314</f>
        <v>0.15384331366190163</v>
      </c>
      <c r="O310" s="60" t="s">
        <v>2114</v>
      </c>
      <c r="P310" s="60">
        <v>2994195.8</v>
      </c>
      <c r="Q310" s="60">
        <v>19.670000000000002</v>
      </c>
      <c r="R310" s="60">
        <v>6513.87</v>
      </c>
      <c r="S310" s="739">
        <f>R310/'Исп. коэффициенты'!E34*+('КМУ УЗИ'!C314)</f>
        <v>1.3361537940838015</v>
      </c>
      <c r="T310" s="239" t="s">
        <v>1435</v>
      </c>
      <c r="U310" s="240">
        <v>6785401.3499999996</v>
      </c>
      <c r="V310" s="740">
        <f>'Исп. коэффициенты'!E124</f>
        <v>2978.5</v>
      </c>
      <c r="W310" s="241">
        <f>'Исп. коэффициенты'!D124</f>
        <v>1.3599999999999999E-2</v>
      </c>
      <c r="X310" s="61">
        <f>U310*W310</f>
        <v>92281.45835999999</v>
      </c>
      <c r="Y310" s="739">
        <f>X310/'Исп. коэффициенты'!E34*'КМУ УЗИ'!C314</f>
        <v>18.929180458206922</v>
      </c>
      <c r="Z310" s="60"/>
      <c r="AA310" s="1"/>
      <c r="AB310" s="1"/>
      <c r="AC310" s="1"/>
      <c r="AD310" s="56"/>
      <c r="AF310" s="151"/>
      <c r="AJ310" s="136"/>
      <c r="AX310" s="3"/>
      <c r="AY310" s="3"/>
      <c r="AZ310" s="3"/>
      <c r="BA310" s="3"/>
    </row>
    <row r="311" spans="1:53" x14ac:dyDescent="0.25">
      <c r="A311" s="1013"/>
      <c r="B311" s="74" t="s">
        <v>1178</v>
      </c>
      <c r="C311" s="223">
        <f>C291</f>
        <v>33.667709452234185</v>
      </c>
      <c r="D311" s="733"/>
      <c r="E311" s="68" t="s">
        <v>2112</v>
      </c>
      <c r="F311" s="69" t="s">
        <v>1</v>
      </c>
      <c r="G311" s="70">
        <v>0.47</v>
      </c>
      <c r="H311" s="69">
        <v>10</v>
      </c>
      <c r="I311" s="242">
        <f>G311*H311</f>
        <v>4.6999999999999993</v>
      </c>
      <c r="J311" s="59" t="s">
        <v>1445</v>
      </c>
      <c r="K311" s="61">
        <v>2</v>
      </c>
      <c r="L311" s="76">
        <v>95</v>
      </c>
      <c r="M311" s="72">
        <v>2</v>
      </c>
      <c r="N311" s="399">
        <f>L311/'Исп. коэффициенты'!E34*C314</f>
        <v>1.9486819730507539E-2</v>
      </c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1"/>
      <c r="AB311" s="1"/>
      <c r="AC311" s="1"/>
      <c r="AD311" s="56"/>
      <c r="AF311" s="151"/>
      <c r="AJ311" s="136"/>
      <c r="AM311" s="145"/>
      <c r="AX311" s="3"/>
      <c r="AY311" s="3"/>
      <c r="AZ311" s="3"/>
      <c r="BA311" s="3"/>
    </row>
    <row r="312" spans="1:53" x14ac:dyDescent="0.25">
      <c r="A312" s="1013"/>
      <c r="B312" s="57" t="s">
        <v>1179</v>
      </c>
      <c r="C312" s="222">
        <f>C292</f>
        <v>19.495759833054819</v>
      </c>
      <c r="D312" s="733"/>
      <c r="E312" s="68" t="s">
        <v>1598</v>
      </c>
      <c r="F312" s="69" t="s">
        <v>1441</v>
      </c>
      <c r="G312" s="70">
        <v>5.36</v>
      </c>
      <c r="H312" s="70">
        <v>1</v>
      </c>
      <c r="I312" s="71">
        <f>G312*H312</f>
        <v>5.36</v>
      </c>
      <c r="J312" s="59" t="s">
        <v>1513</v>
      </c>
      <c r="K312" s="61">
        <v>2</v>
      </c>
      <c r="L312" s="61">
        <v>25</v>
      </c>
      <c r="M312" s="72">
        <v>0.5</v>
      </c>
      <c r="N312" s="399">
        <f>L312/'Исп. коэффициенты'!E34*C314</f>
        <v>5.1281104553967212E-3</v>
      </c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1"/>
      <c r="AB312" s="1"/>
      <c r="AC312" s="1"/>
      <c r="AD312" s="56"/>
      <c r="AF312" s="151"/>
      <c r="AJ312" s="136"/>
      <c r="AX312" s="3"/>
      <c r="AY312" s="3"/>
      <c r="AZ312" s="3"/>
      <c r="BA312" s="3"/>
    </row>
    <row r="313" spans="1:53" x14ac:dyDescent="0.25">
      <c r="A313" s="1013"/>
      <c r="B313" s="57" t="s">
        <v>831</v>
      </c>
      <c r="C313" s="224"/>
      <c r="D313" s="733"/>
      <c r="E313" s="68" t="s">
        <v>2113</v>
      </c>
      <c r="F313" s="69" t="s">
        <v>1</v>
      </c>
      <c r="G313" s="70">
        <v>0.17</v>
      </c>
      <c r="H313" s="69">
        <v>40</v>
      </c>
      <c r="I313" s="71">
        <f>G313*H313</f>
        <v>6.8000000000000007</v>
      </c>
      <c r="J313" s="59"/>
      <c r="K313" s="61"/>
      <c r="L313" s="61"/>
      <c r="M313" s="61"/>
      <c r="N313" s="61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1"/>
      <c r="AB313" s="1"/>
      <c r="AC313" s="1"/>
      <c r="AD313" s="56"/>
      <c r="AF313" s="151"/>
      <c r="AJ313" s="136"/>
      <c r="AX313" s="3"/>
      <c r="AY313" s="3"/>
      <c r="AZ313" s="3"/>
      <c r="BA313" s="3"/>
    </row>
    <row r="314" spans="1:53" x14ac:dyDescent="0.25">
      <c r="A314" s="1013"/>
      <c r="B314" s="74" t="s">
        <v>1178</v>
      </c>
      <c r="C314" s="225">
        <v>2</v>
      </c>
      <c r="D314" s="733"/>
      <c r="E314" s="68"/>
      <c r="F314" s="69"/>
      <c r="G314" s="70"/>
      <c r="H314" s="69"/>
      <c r="I314" s="71"/>
      <c r="J314" s="59"/>
      <c r="K314" s="61"/>
      <c r="L314" s="61"/>
      <c r="M314" s="61"/>
      <c r="N314" s="61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1"/>
      <c r="AB314" s="1"/>
      <c r="AC314" s="1"/>
      <c r="AD314" s="56"/>
      <c r="AF314" s="151"/>
      <c r="AJ314" s="146"/>
      <c r="AX314" s="3"/>
      <c r="AY314" s="3"/>
      <c r="AZ314" s="3"/>
      <c r="BA314" s="3"/>
    </row>
    <row r="315" spans="1:53" x14ac:dyDescent="0.25">
      <c r="A315" s="1013"/>
      <c r="B315" s="57" t="s">
        <v>1179</v>
      </c>
      <c r="C315" s="225">
        <v>2</v>
      </c>
      <c r="D315" s="733"/>
      <c r="E315" s="68"/>
      <c r="F315" s="69"/>
      <c r="G315" s="70"/>
      <c r="H315" s="69"/>
      <c r="I315" s="71"/>
      <c r="J315" s="59"/>
      <c r="K315" s="61"/>
      <c r="L315" s="61"/>
      <c r="M315" s="61"/>
      <c r="N315" s="61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1"/>
      <c r="AB315" s="1"/>
      <c r="AC315" s="1"/>
      <c r="AD315" s="56"/>
      <c r="AF315" s="151"/>
      <c r="AJ315" s="146"/>
      <c r="AX315" s="3"/>
      <c r="AY315" s="3"/>
      <c r="AZ315" s="3"/>
      <c r="BA315" s="3"/>
    </row>
    <row r="316" spans="1:53" x14ac:dyDescent="0.25">
      <c r="A316" s="1013"/>
      <c r="B316" s="79" t="s">
        <v>1181</v>
      </c>
      <c r="C316" s="222">
        <f>C311*C314+C312*C315</f>
        <v>106.32693857057801</v>
      </c>
      <c r="D316" s="733"/>
      <c r="E316" s="228"/>
      <c r="F316" s="166"/>
      <c r="G316" s="70"/>
      <c r="H316" s="69"/>
      <c r="I316" s="71"/>
      <c r="J316" s="59"/>
      <c r="K316" s="170"/>
      <c r="L316" s="76"/>
      <c r="M316" s="72"/>
      <c r="N316" s="61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1"/>
      <c r="AB316" s="1"/>
      <c r="AC316" s="1"/>
      <c r="AD316" s="56"/>
      <c r="AF316" s="151"/>
      <c r="AJ316" s="136"/>
      <c r="AX316" s="3"/>
      <c r="AY316" s="3"/>
      <c r="AZ316" s="3"/>
      <c r="BA316" s="3"/>
    </row>
    <row r="317" spans="1:53" x14ac:dyDescent="0.25">
      <c r="A317" s="1014"/>
      <c r="B317" s="123"/>
      <c r="C317" s="225"/>
      <c r="D317" s="734"/>
      <c r="E317" s="228"/>
      <c r="F317" s="166"/>
      <c r="G317" s="70"/>
      <c r="H317" s="69"/>
      <c r="I317" s="71"/>
      <c r="J317" s="59"/>
      <c r="K317" s="170"/>
      <c r="L317" s="61"/>
      <c r="M317" s="72"/>
      <c r="N317" s="61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1"/>
      <c r="AB317" s="1"/>
      <c r="AC317" s="1"/>
      <c r="AD317" s="56"/>
      <c r="AF317" s="151"/>
      <c r="AJ317" s="146"/>
      <c r="AX317" s="3"/>
      <c r="AY317" s="3"/>
      <c r="AZ317" s="3"/>
      <c r="BA317" s="3"/>
    </row>
    <row r="318" spans="1:53" ht="56.25" customHeight="1" x14ac:dyDescent="0.25">
      <c r="A318" s="1012" t="s">
        <v>2174</v>
      </c>
      <c r="B318" s="258" t="s">
        <v>2175</v>
      </c>
      <c r="C318" s="222"/>
      <c r="D318" s="732"/>
      <c r="E318" s="226" t="s">
        <v>488</v>
      </c>
      <c r="F318" s="53" t="s">
        <v>837</v>
      </c>
      <c r="G318" s="735" t="s">
        <v>489</v>
      </c>
      <c r="H318" s="52" t="s">
        <v>1170</v>
      </c>
      <c r="I318" s="53" t="s">
        <v>838</v>
      </c>
      <c r="J318" s="47" t="s">
        <v>1171</v>
      </c>
      <c r="K318" s="47" t="s">
        <v>490</v>
      </c>
      <c r="L318" s="54" t="s">
        <v>489</v>
      </c>
      <c r="M318" s="47" t="s">
        <v>1172</v>
      </c>
      <c r="N318" s="53" t="s">
        <v>838</v>
      </c>
      <c r="O318" s="47" t="s">
        <v>1171</v>
      </c>
      <c r="P318" s="47" t="s">
        <v>826</v>
      </c>
      <c r="Q318" s="47" t="s">
        <v>1173</v>
      </c>
      <c r="R318" s="47" t="s">
        <v>1174</v>
      </c>
      <c r="S318" s="47" t="s">
        <v>839</v>
      </c>
      <c r="T318" s="47" t="s">
        <v>1171</v>
      </c>
      <c r="U318" s="47" t="s">
        <v>1392</v>
      </c>
      <c r="V318" s="47" t="s">
        <v>841</v>
      </c>
      <c r="W318" s="231" t="s">
        <v>1173</v>
      </c>
      <c r="X318" s="47" t="s">
        <v>1394</v>
      </c>
      <c r="Y318" s="47" t="s">
        <v>839</v>
      </c>
      <c r="Z318" s="55"/>
      <c r="AA318" s="1"/>
      <c r="AB318" s="1"/>
      <c r="AC318" s="245"/>
      <c r="AD318" s="56"/>
      <c r="AQ318" s="139"/>
      <c r="AR318" s="139"/>
      <c r="AS318" s="139"/>
      <c r="AX318" s="3"/>
      <c r="AY318" s="3"/>
      <c r="AZ318" s="3"/>
      <c r="BA318" s="3"/>
    </row>
    <row r="319" spans="1:53" ht="12.75" customHeight="1" x14ac:dyDescent="0.25">
      <c r="A319" s="1013"/>
      <c r="B319" s="36" t="s">
        <v>1175</v>
      </c>
      <c r="C319" s="222">
        <f>C326</f>
        <v>159.49040785586701</v>
      </c>
      <c r="D319" s="732">
        <f>C319*$D$5</f>
        <v>32.217062386885139</v>
      </c>
      <c r="E319" s="227" t="s">
        <v>1176</v>
      </c>
      <c r="F319" s="165"/>
      <c r="G319" s="58"/>
      <c r="H319" s="58"/>
      <c r="I319" s="2">
        <f>SUM(I320:I327)</f>
        <v>19.86</v>
      </c>
      <c r="J319" s="59" t="s">
        <v>1176</v>
      </c>
      <c r="K319" s="169"/>
      <c r="L319" s="60"/>
      <c r="M319" s="60"/>
      <c r="N319" s="399">
        <f>SUM(N320:N327)</f>
        <v>0.26768736577170882</v>
      </c>
      <c r="O319" s="60" t="s">
        <v>1176</v>
      </c>
      <c r="P319" s="60"/>
      <c r="Q319" s="62"/>
      <c r="R319" s="63"/>
      <c r="S319" s="399">
        <f>SUM(S320:S327)</f>
        <v>2.0042306911257022</v>
      </c>
      <c r="T319" s="61"/>
      <c r="U319" s="61"/>
      <c r="V319" s="61"/>
      <c r="W319" s="61"/>
      <c r="X319" s="61"/>
      <c r="Y319" s="399">
        <f>SUM(Y320:Y327)</f>
        <v>28.393770687310383</v>
      </c>
      <c r="Z319" s="64">
        <f>(C319+D319+I319+N319+S319+Y319)*$Z$5</f>
        <v>314.94857210164673</v>
      </c>
      <c r="AA319" s="65">
        <f>C319+D319+I319+N319+S319+Y319+Z319</f>
        <v>557.18173108860674</v>
      </c>
      <c r="AB319" s="66">
        <v>0.25</v>
      </c>
      <c r="AC319" s="244">
        <f>AA319*(1+AB319)</f>
        <v>696.47716386075842</v>
      </c>
      <c r="AD319" s="67"/>
      <c r="AI319" s="139"/>
      <c r="AJ319" s="140"/>
      <c r="AK319" s="141"/>
      <c r="AM319" s="142"/>
      <c r="AN319" s="143"/>
      <c r="AO319" s="142"/>
      <c r="AP319" s="139"/>
      <c r="AQ319" s="139"/>
      <c r="AR319" s="139"/>
      <c r="AS319" s="139"/>
      <c r="AT319" s="139"/>
      <c r="AU319" s="142"/>
      <c r="AV319" s="142"/>
      <c r="AW319" s="144"/>
      <c r="AX319" s="3"/>
      <c r="AY319" s="3"/>
      <c r="AZ319" s="3"/>
      <c r="BA319" s="3"/>
    </row>
    <row r="320" spans="1:53" x14ac:dyDescent="0.25">
      <c r="A320" s="1013"/>
      <c r="B320" s="50" t="s">
        <v>830</v>
      </c>
      <c r="C320" s="222"/>
      <c r="D320" s="733"/>
      <c r="E320" s="68" t="s">
        <v>1437</v>
      </c>
      <c r="F320" s="69" t="s">
        <v>1438</v>
      </c>
      <c r="G320" s="70">
        <v>0.3</v>
      </c>
      <c r="H320" s="69">
        <v>10</v>
      </c>
      <c r="I320" s="71">
        <f>G320*H320</f>
        <v>3</v>
      </c>
      <c r="J320" s="59" t="s">
        <v>1291</v>
      </c>
      <c r="K320" s="72">
        <v>2</v>
      </c>
      <c r="L320" s="73">
        <v>750</v>
      </c>
      <c r="M320" s="72">
        <v>2</v>
      </c>
      <c r="N320" s="399">
        <f>L320/'Исп. коэффициенты'!E34*C324</f>
        <v>0.23076497049285244</v>
      </c>
      <c r="O320" s="60" t="s">
        <v>2114</v>
      </c>
      <c r="P320" s="60">
        <v>2994195.8</v>
      </c>
      <c r="Q320" s="60">
        <v>19.670000000000002</v>
      </c>
      <c r="R320" s="60">
        <v>6513.87</v>
      </c>
      <c r="S320" s="739">
        <f>R320/'Исп. коэффициенты'!E34*+('КМУ УЗИ'!C324)</f>
        <v>2.0042306911257022</v>
      </c>
      <c r="T320" s="239" t="s">
        <v>1435</v>
      </c>
      <c r="U320" s="240">
        <v>6785401.3499999996</v>
      </c>
      <c r="V320" s="740">
        <f>'Исп. коэффициенты'!E124</f>
        <v>2978.5</v>
      </c>
      <c r="W320" s="241">
        <f>'Исп. коэффициенты'!D124</f>
        <v>1.3599999999999999E-2</v>
      </c>
      <c r="X320" s="61">
        <f>U320*W320</f>
        <v>92281.45835999999</v>
      </c>
      <c r="Y320" s="739">
        <f>X320/'Исп. коэффициенты'!E34*'КМУ УЗИ'!C324</f>
        <v>28.393770687310383</v>
      </c>
      <c r="Z320" s="60"/>
      <c r="AA320" s="1"/>
      <c r="AB320" s="1"/>
      <c r="AC320" s="1"/>
      <c r="AD320" s="56"/>
      <c r="AF320" s="151"/>
      <c r="AJ320" s="136"/>
      <c r="AX320" s="3"/>
      <c r="AY320" s="3"/>
      <c r="AZ320" s="3"/>
      <c r="BA320" s="3"/>
    </row>
    <row r="321" spans="1:53" x14ac:dyDescent="0.25">
      <c r="A321" s="1013"/>
      <c r="B321" s="74" t="s">
        <v>1178</v>
      </c>
      <c r="C321" s="223">
        <f>C301</f>
        <v>33.667709452234185</v>
      </c>
      <c r="D321" s="733"/>
      <c r="E321" s="68" t="s">
        <v>2112</v>
      </c>
      <c r="F321" s="69" t="s">
        <v>1</v>
      </c>
      <c r="G321" s="70">
        <v>0.47</v>
      </c>
      <c r="H321" s="69">
        <v>10</v>
      </c>
      <c r="I321" s="242">
        <f>G321*H321</f>
        <v>4.6999999999999993</v>
      </c>
      <c r="J321" s="59" t="s">
        <v>1445</v>
      </c>
      <c r="K321" s="61">
        <v>2</v>
      </c>
      <c r="L321" s="76">
        <v>95</v>
      </c>
      <c r="M321" s="72">
        <v>2</v>
      </c>
      <c r="N321" s="399">
        <f>L321/'Исп. коэффициенты'!E34*C324</f>
        <v>2.9230229595761308E-2</v>
      </c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1"/>
      <c r="AB321" s="1"/>
      <c r="AC321" s="1"/>
      <c r="AD321" s="56"/>
      <c r="AF321" s="151"/>
      <c r="AJ321" s="136"/>
      <c r="AM321" s="145"/>
      <c r="AX321" s="3"/>
      <c r="AY321" s="3"/>
      <c r="AZ321" s="3"/>
      <c r="BA321" s="3"/>
    </row>
    <row r="322" spans="1:53" x14ac:dyDescent="0.25">
      <c r="A322" s="1013"/>
      <c r="B322" s="57" t="s">
        <v>1179</v>
      </c>
      <c r="C322" s="222">
        <f>C302</f>
        <v>19.495759833054819</v>
      </c>
      <c r="D322" s="733"/>
      <c r="E322" s="68" t="s">
        <v>1598</v>
      </c>
      <c r="F322" s="69" t="s">
        <v>1441</v>
      </c>
      <c r="G322" s="70">
        <v>5.36</v>
      </c>
      <c r="H322" s="70">
        <v>1</v>
      </c>
      <c r="I322" s="71">
        <f>G322*H322</f>
        <v>5.36</v>
      </c>
      <c r="J322" s="59" t="s">
        <v>1513</v>
      </c>
      <c r="K322" s="61">
        <v>2</v>
      </c>
      <c r="L322" s="61">
        <v>25</v>
      </c>
      <c r="M322" s="72">
        <v>0.5</v>
      </c>
      <c r="N322" s="399">
        <f>L322/'Исп. коэффициенты'!E34*C324</f>
        <v>7.6921656830950813E-3</v>
      </c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1"/>
      <c r="AB322" s="1"/>
      <c r="AC322" s="1"/>
      <c r="AD322" s="56"/>
      <c r="AF322" s="151"/>
      <c r="AJ322" s="136"/>
      <c r="AX322" s="3"/>
      <c r="AY322" s="3"/>
      <c r="AZ322" s="3"/>
      <c r="BA322" s="3"/>
    </row>
    <row r="323" spans="1:53" x14ac:dyDescent="0.25">
      <c r="A323" s="1013"/>
      <c r="B323" s="57" t="s">
        <v>831</v>
      </c>
      <c r="C323" s="224"/>
      <c r="D323" s="733"/>
      <c r="E323" s="68" t="s">
        <v>2113</v>
      </c>
      <c r="F323" s="69" t="s">
        <v>1</v>
      </c>
      <c r="G323" s="70">
        <v>0.17</v>
      </c>
      <c r="H323" s="69">
        <v>40</v>
      </c>
      <c r="I323" s="71">
        <f>G323*H323</f>
        <v>6.8000000000000007</v>
      </c>
      <c r="J323" s="59"/>
      <c r="K323" s="61"/>
      <c r="L323" s="61"/>
      <c r="M323" s="61"/>
      <c r="N323" s="61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1"/>
      <c r="AB323" s="1"/>
      <c r="AC323" s="1"/>
      <c r="AD323" s="56"/>
      <c r="AF323" s="151"/>
      <c r="AJ323" s="136"/>
      <c r="AX323" s="3"/>
      <c r="AY323" s="3"/>
      <c r="AZ323" s="3"/>
      <c r="BA323" s="3"/>
    </row>
    <row r="324" spans="1:53" x14ac:dyDescent="0.25">
      <c r="A324" s="1013"/>
      <c r="B324" s="74" t="s">
        <v>1178</v>
      </c>
      <c r="C324" s="225">
        <v>3</v>
      </c>
      <c r="D324" s="733"/>
      <c r="E324" s="68"/>
      <c r="F324" s="69"/>
      <c r="G324" s="70"/>
      <c r="H324" s="69"/>
      <c r="I324" s="71"/>
      <c r="J324" s="59"/>
      <c r="K324" s="61"/>
      <c r="L324" s="61"/>
      <c r="M324" s="61"/>
      <c r="N324" s="61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1"/>
      <c r="AB324" s="1"/>
      <c r="AC324" s="1"/>
      <c r="AD324" s="56"/>
      <c r="AF324" s="151"/>
      <c r="AJ324" s="146"/>
      <c r="AX324" s="3"/>
      <c r="AY324" s="3"/>
      <c r="AZ324" s="3"/>
      <c r="BA324" s="3"/>
    </row>
    <row r="325" spans="1:53" x14ac:dyDescent="0.25">
      <c r="A325" s="1013"/>
      <c r="B325" s="57" t="s">
        <v>1179</v>
      </c>
      <c r="C325" s="225">
        <v>3</v>
      </c>
      <c r="D325" s="733"/>
      <c r="E325" s="68"/>
      <c r="F325" s="69"/>
      <c r="G325" s="70"/>
      <c r="H325" s="69"/>
      <c r="I325" s="71"/>
      <c r="J325" s="59"/>
      <c r="K325" s="61"/>
      <c r="L325" s="61"/>
      <c r="M325" s="61"/>
      <c r="N325" s="61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1"/>
      <c r="AB325" s="1"/>
      <c r="AC325" s="1"/>
      <c r="AD325" s="56"/>
      <c r="AF325" s="151"/>
      <c r="AJ325" s="146"/>
      <c r="AX325" s="3"/>
      <c r="AY325" s="3"/>
      <c r="AZ325" s="3"/>
      <c r="BA325" s="3"/>
    </row>
    <row r="326" spans="1:53" x14ac:dyDescent="0.25">
      <c r="A326" s="1013"/>
      <c r="B326" s="79" t="s">
        <v>1181</v>
      </c>
      <c r="C326" s="222">
        <f>C321*C324+C322*C325</f>
        <v>159.49040785586701</v>
      </c>
      <c r="D326" s="733"/>
      <c r="E326" s="228"/>
      <c r="F326" s="166"/>
      <c r="G326" s="70"/>
      <c r="H326" s="69"/>
      <c r="I326" s="71"/>
      <c r="J326" s="59"/>
      <c r="K326" s="170"/>
      <c r="L326" s="76"/>
      <c r="M326" s="72"/>
      <c r="N326" s="61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1"/>
      <c r="AB326" s="1"/>
      <c r="AC326" s="1"/>
      <c r="AD326" s="56"/>
      <c r="AF326" s="151"/>
      <c r="AJ326" s="136"/>
      <c r="AX326" s="3"/>
      <c r="AY326" s="3"/>
      <c r="AZ326" s="3"/>
      <c r="BA326" s="3"/>
    </row>
    <row r="327" spans="1:53" x14ac:dyDescent="0.25">
      <c r="A327" s="1014"/>
      <c r="B327" s="123"/>
      <c r="C327" s="225"/>
      <c r="D327" s="734"/>
      <c r="E327" s="228"/>
      <c r="F327" s="166"/>
      <c r="G327" s="70"/>
      <c r="H327" s="69"/>
      <c r="I327" s="71"/>
      <c r="J327" s="59"/>
      <c r="K327" s="170"/>
      <c r="L327" s="61"/>
      <c r="M327" s="72"/>
      <c r="N327" s="61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1"/>
      <c r="AB327" s="1"/>
      <c r="AC327" s="1"/>
      <c r="AD327" s="56"/>
      <c r="AF327" s="151"/>
      <c r="AJ327" s="146"/>
      <c r="AX327" s="3"/>
      <c r="AY327" s="3"/>
      <c r="AZ327" s="3"/>
      <c r="BA327" s="3"/>
    </row>
    <row r="328" spans="1:53" ht="56.25" customHeight="1" x14ac:dyDescent="0.25">
      <c r="A328" s="1012" t="s">
        <v>2176</v>
      </c>
      <c r="B328" s="258" t="s">
        <v>2177</v>
      </c>
      <c r="C328" s="222"/>
      <c r="D328" s="732"/>
      <c r="E328" s="226" t="s">
        <v>488</v>
      </c>
      <c r="F328" s="53" t="s">
        <v>837</v>
      </c>
      <c r="G328" s="735" t="s">
        <v>489</v>
      </c>
      <c r="H328" s="52" t="s">
        <v>1170</v>
      </c>
      <c r="I328" s="53" t="s">
        <v>838</v>
      </c>
      <c r="J328" s="47" t="s">
        <v>1171</v>
      </c>
      <c r="K328" s="47" t="s">
        <v>490</v>
      </c>
      <c r="L328" s="54" t="s">
        <v>489</v>
      </c>
      <c r="M328" s="47" t="s">
        <v>1172</v>
      </c>
      <c r="N328" s="53" t="s">
        <v>838</v>
      </c>
      <c r="O328" s="47" t="s">
        <v>1171</v>
      </c>
      <c r="P328" s="47" t="s">
        <v>826</v>
      </c>
      <c r="Q328" s="47" t="s">
        <v>1173</v>
      </c>
      <c r="R328" s="47" t="s">
        <v>1174</v>
      </c>
      <c r="S328" s="47" t="s">
        <v>839</v>
      </c>
      <c r="T328" s="47" t="s">
        <v>1171</v>
      </c>
      <c r="U328" s="47" t="s">
        <v>1392</v>
      </c>
      <c r="V328" s="47" t="s">
        <v>841</v>
      </c>
      <c r="W328" s="231" t="s">
        <v>1173</v>
      </c>
      <c r="X328" s="47" t="s">
        <v>1394</v>
      </c>
      <c r="Y328" s="47" t="s">
        <v>839</v>
      </c>
      <c r="Z328" s="55"/>
      <c r="AA328" s="1"/>
      <c r="AB328" s="1"/>
      <c r="AC328" s="245"/>
      <c r="AD328" s="56"/>
      <c r="AQ328" s="139"/>
      <c r="AR328" s="139"/>
      <c r="AS328" s="139"/>
      <c r="AX328" s="3"/>
      <c r="AY328" s="3"/>
      <c r="AZ328" s="3"/>
      <c r="BA328" s="3"/>
    </row>
    <row r="329" spans="1:53" ht="12.75" customHeight="1" x14ac:dyDescent="0.25">
      <c r="A329" s="1013"/>
      <c r="B329" s="36" t="s">
        <v>1175</v>
      </c>
      <c r="C329" s="222">
        <f>C336</f>
        <v>106.32693857057801</v>
      </c>
      <c r="D329" s="732">
        <f>C329*$D$5</f>
        <v>21.478041591256758</v>
      </c>
      <c r="E329" s="227" t="s">
        <v>1176</v>
      </c>
      <c r="F329" s="165"/>
      <c r="G329" s="58"/>
      <c r="H329" s="58"/>
      <c r="I329" s="2">
        <f>SUM(I330:I337)</f>
        <v>19.86</v>
      </c>
      <c r="J329" s="59" t="s">
        <v>1176</v>
      </c>
      <c r="K329" s="169"/>
      <c r="L329" s="60"/>
      <c r="M329" s="60"/>
      <c r="N329" s="399">
        <f>SUM(N330:N337)</f>
        <v>0.17845824384780587</v>
      </c>
      <c r="O329" s="60" t="s">
        <v>1176</v>
      </c>
      <c r="P329" s="60"/>
      <c r="Q329" s="62"/>
      <c r="R329" s="63"/>
      <c r="S329" s="399">
        <f>SUM(S330:S337)</f>
        <v>1.3361537940838015</v>
      </c>
      <c r="T329" s="61"/>
      <c r="U329" s="61"/>
      <c r="V329" s="61"/>
      <c r="W329" s="61"/>
      <c r="X329" s="61"/>
      <c r="Y329" s="399">
        <f>SUM(Y330:Y337)</f>
        <v>18.929180458206922</v>
      </c>
      <c r="Z329" s="64">
        <f>(C329+D329+I329+N329+S329+Y329)*$Z$5</f>
        <v>218.57295726073258</v>
      </c>
      <c r="AA329" s="65">
        <f>C329+D329+I329+N329+S329+Y329+Z329</f>
        <v>386.68172991870586</v>
      </c>
      <c r="AB329" s="66">
        <v>0.25</v>
      </c>
      <c r="AC329" s="244">
        <f>AA329*(1+AB329)</f>
        <v>483.35216239838235</v>
      </c>
      <c r="AD329" s="67"/>
      <c r="AI329" s="139"/>
      <c r="AJ329" s="140"/>
      <c r="AK329" s="141"/>
      <c r="AM329" s="142"/>
      <c r="AN329" s="143"/>
      <c r="AO329" s="142"/>
      <c r="AP329" s="139"/>
      <c r="AQ329" s="139"/>
      <c r="AR329" s="139"/>
      <c r="AS329" s="139"/>
      <c r="AT329" s="139"/>
      <c r="AU329" s="142"/>
      <c r="AV329" s="142"/>
      <c r="AW329" s="144"/>
      <c r="AX329" s="3"/>
      <c r="AY329" s="3"/>
      <c r="AZ329" s="3"/>
      <c r="BA329" s="3"/>
    </row>
    <row r="330" spans="1:53" x14ac:dyDescent="0.25">
      <c r="A330" s="1013"/>
      <c r="B330" s="50" t="s">
        <v>830</v>
      </c>
      <c r="C330" s="222"/>
      <c r="D330" s="733"/>
      <c r="E330" s="68" t="s">
        <v>1437</v>
      </c>
      <c r="F330" s="69" t="s">
        <v>1438</v>
      </c>
      <c r="G330" s="70">
        <v>0.3</v>
      </c>
      <c r="H330" s="69">
        <v>10</v>
      </c>
      <c r="I330" s="71">
        <f>G330*H330</f>
        <v>3</v>
      </c>
      <c r="J330" s="59" t="s">
        <v>1291</v>
      </c>
      <c r="K330" s="72">
        <v>2</v>
      </c>
      <c r="L330" s="73">
        <v>750</v>
      </c>
      <c r="M330" s="72">
        <v>2</v>
      </c>
      <c r="N330" s="399">
        <f>L330/'Исп. коэффициенты'!E34*C334</f>
        <v>0.15384331366190163</v>
      </c>
      <c r="O330" s="60" t="s">
        <v>2114</v>
      </c>
      <c r="P330" s="60">
        <v>2994195.8</v>
      </c>
      <c r="Q330" s="60">
        <v>19.670000000000002</v>
      </c>
      <c r="R330" s="60">
        <v>6513.87</v>
      </c>
      <c r="S330" s="739">
        <f>R330/'Исп. коэффициенты'!E34*+('КМУ УЗИ'!C334)</f>
        <v>1.3361537940838015</v>
      </c>
      <c r="T330" s="239" t="s">
        <v>1435</v>
      </c>
      <c r="U330" s="240">
        <v>6785401.3499999996</v>
      </c>
      <c r="V330" s="740">
        <f>'Исп. коэффициенты'!E124</f>
        <v>2978.5</v>
      </c>
      <c r="W330" s="241">
        <f>'Исп. коэффициенты'!D124</f>
        <v>1.3599999999999999E-2</v>
      </c>
      <c r="X330" s="61">
        <f>U330*W330</f>
        <v>92281.45835999999</v>
      </c>
      <c r="Y330" s="739">
        <f>X330/'Исп. коэффициенты'!E34*'КМУ УЗИ'!C334</f>
        <v>18.929180458206922</v>
      </c>
      <c r="Z330" s="60"/>
      <c r="AA330" s="1"/>
      <c r="AB330" s="1"/>
      <c r="AC330" s="1"/>
      <c r="AD330" s="56"/>
      <c r="AF330" s="151"/>
      <c r="AJ330" s="136"/>
      <c r="AX330" s="3"/>
      <c r="AY330" s="3"/>
      <c r="AZ330" s="3"/>
      <c r="BA330" s="3"/>
    </row>
    <row r="331" spans="1:53" x14ac:dyDescent="0.25">
      <c r="A331" s="1013"/>
      <c r="B331" s="74" t="s">
        <v>1178</v>
      </c>
      <c r="C331" s="223">
        <f>C311</f>
        <v>33.667709452234185</v>
      </c>
      <c r="D331" s="733"/>
      <c r="E331" s="68" t="s">
        <v>2112</v>
      </c>
      <c r="F331" s="69" t="s">
        <v>1</v>
      </c>
      <c r="G331" s="70">
        <v>0.47</v>
      </c>
      <c r="H331" s="69">
        <v>10</v>
      </c>
      <c r="I331" s="242">
        <f>G331*H331</f>
        <v>4.6999999999999993</v>
      </c>
      <c r="J331" s="59" t="s">
        <v>1445</v>
      </c>
      <c r="K331" s="61">
        <v>2</v>
      </c>
      <c r="L331" s="76">
        <v>95</v>
      </c>
      <c r="M331" s="72">
        <v>2</v>
      </c>
      <c r="N331" s="399">
        <f>L331/'Исп. коэффициенты'!E34*C334</f>
        <v>1.9486819730507539E-2</v>
      </c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1"/>
      <c r="AB331" s="1"/>
      <c r="AC331" s="1"/>
      <c r="AD331" s="56"/>
      <c r="AF331" s="151"/>
      <c r="AJ331" s="136"/>
      <c r="AM331" s="145"/>
      <c r="AX331" s="3"/>
      <c r="AY331" s="3"/>
      <c r="AZ331" s="3"/>
      <c r="BA331" s="3"/>
    </row>
    <row r="332" spans="1:53" x14ac:dyDescent="0.25">
      <c r="A332" s="1013"/>
      <c r="B332" s="57" t="s">
        <v>1179</v>
      </c>
      <c r="C332" s="222">
        <f>C312</f>
        <v>19.495759833054819</v>
      </c>
      <c r="D332" s="733"/>
      <c r="E332" s="68" t="s">
        <v>1598</v>
      </c>
      <c r="F332" s="69" t="s">
        <v>1441</v>
      </c>
      <c r="G332" s="70">
        <v>5.36</v>
      </c>
      <c r="H332" s="70">
        <v>1</v>
      </c>
      <c r="I332" s="71">
        <f>G332*H332</f>
        <v>5.36</v>
      </c>
      <c r="J332" s="59" t="s">
        <v>1513</v>
      </c>
      <c r="K332" s="61">
        <v>2</v>
      </c>
      <c r="L332" s="61">
        <v>25</v>
      </c>
      <c r="M332" s="72">
        <v>0.5</v>
      </c>
      <c r="N332" s="399">
        <f>L332/'Исп. коэффициенты'!E34*C334</f>
        <v>5.1281104553967212E-3</v>
      </c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1"/>
      <c r="AB332" s="1"/>
      <c r="AC332" s="1"/>
      <c r="AD332" s="56"/>
      <c r="AF332" s="151"/>
      <c r="AJ332" s="136"/>
      <c r="AX332" s="3"/>
      <c r="AY332" s="3"/>
      <c r="AZ332" s="3"/>
      <c r="BA332" s="3"/>
    </row>
    <row r="333" spans="1:53" x14ac:dyDescent="0.25">
      <c r="A333" s="1013"/>
      <c r="B333" s="57" t="s">
        <v>831</v>
      </c>
      <c r="C333" s="224"/>
      <c r="D333" s="733"/>
      <c r="E333" s="68" t="s">
        <v>2113</v>
      </c>
      <c r="F333" s="69" t="s">
        <v>1</v>
      </c>
      <c r="G333" s="70">
        <v>0.17</v>
      </c>
      <c r="H333" s="69">
        <v>40</v>
      </c>
      <c r="I333" s="71">
        <f>G333*H333</f>
        <v>6.8000000000000007</v>
      </c>
      <c r="J333" s="59"/>
      <c r="K333" s="61"/>
      <c r="L333" s="61"/>
      <c r="M333" s="61"/>
      <c r="N333" s="61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1"/>
      <c r="AB333" s="1"/>
      <c r="AC333" s="1"/>
      <c r="AD333" s="56"/>
      <c r="AF333" s="151"/>
      <c r="AJ333" s="136"/>
      <c r="AX333" s="3"/>
      <c r="AY333" s="3"/>
      <c r="AZ333" s="3"/>
      <c r="BA333" s="3"/>
    </row>
    <row r="334" spans="1:53" x14ac:dyDescent="0.25">
      <c r="A334" s="1013"/>
      <c r="B334" s="74" t="s">
        <v>1178</v>
      </c>
      <c r="C334" s="225">
        <v>2</v>
      </c>
      <c r="D334" s="733"/>
      <c r="E334" s="68"/>
      <c r="F334" s="69"/>
      <c r="G334" s="70"/>
      <c r="H334" s="69"/>
      <c r="I334" s="71"/>
      <c r="J334" s="59"/>
      <c r="K334" s="61"/>
      <c r="L334" s="61"/>
      <c r="M334" s="61"/>
      <c r="N334" s="61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1"/>
      <c r="AB334" s="1"/>
      <c r="AC334" s="1"/>
      <c r="AD334" s="56"/>
      <c r="AF334" s="151"/>
      <c r="AJ334" s="146"/>
      <c r="AX334" s="3"/>
      <c r="AY334" s="3"/>
      <c r="AZ334" s="3"/>
      <c r="BA334" s="3"/>
    </row>
    <row r="335" spans="1:53" x14ac:dyDescent="0.25">
      <c r="A335" s="1013"/>
      <c r="B335" s="57" t="s">
        <v>1179</v>
      </c>
      <c r="C335" s="225">
        <v>2</v>
      </c>
      <c r="D335" s="733"/>
      <c r="E335" s="68"/>
      <c r="F335" s="69"/>
      <c r="G335" s="70"/>
      <c r="H335" s="69"/>
      <c r="I335" s="71"/>
      <c r="J335" s="59"/>
      <c r="K335" s="61"/>
      <c r="L335" s="61"/>
      <c r="M335" s="61"/>
      <c r="N335" s="61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1"/>
      <c r="AB335" s="1"/>
      <c r="AC335" s="1"/>
      <c r="AD335" s="56"/>
      <c r="AF335" s="151"/>
      <c r="AJ335" s="146"/>
      <c r="AX335" s="3"/>
      <c r="AY335" s="3"/>
      <c r="AZ335" s="3"/>
      <c r="BA335" s="3"/>
    </row>
    <row r="336" spans="1:53" x14ac:dyDescent="0.25">
      <c r="A336" s="1013"/>
      <c r="B336" s="79" t="s">
        <v>1181</v>
      </c>
      <c r="C336" s="222">
        <f>C331*C334+C332*C335</f>
        <v>106.32693857057801</v>
      </c>
      <c r="D336" s="733"/>
      <c r="E336" s="228"/>
      <c r="F336" s="166"/>
      <c r="G336" s="70"/>
      <c r="H336" s="69"/>
      <c r="I336" s="71"/>
      <c r="J336" s="59"/>
      <c r="K336" s="170"/>
      <c r="L336" s="76"/>
      <c r="M336" s="72"/>
      <c r="N336" s="61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1"/>
      <c r="AB336" s="1"/>
      <c r="AC336" s="1"/>
      <c r="AD336" s="56"/>
      <c r="AF336" s="151"/>
      <c r="AJ336" s="136"/>
      <c r="AX336" s="3"/>
      <c r="AY336" s="3"/>
      <c r="AZ336" s="3"/>
      <c r="BA336" s="3"/>
    </row>
    <row r="337" spans="1:53" x14ac:dyDescent="0.25">
      <c r="A337" s="1014"/>
      <c r="B337" s="123"/>
      <c r="C337" s="225"/>
      <c r="D337" s="734"/>
      <c r="E337" s="228"/>
      <c r="F337" s="166"/>
      <c r="G337" s="70"/>
      <c r="H337" s="69"/>
      <c r="I337" s="71"/>
      <c r="J337" s="59"/>
      <c r="K337" s="170"/>
      <c r="L337" s="61"/>
      <c r="M337" s="72"/>
      <c r="N337" s="61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1"/>
      <c r="AB337" s="1"/>
      <c r="AC337" s="1"/>
      <c r="AD337" s="56"/>
      <c r="AF337" s="151"/>
      <c r="AJ337" s="146"/>
      <c r="AX337" s="3"/>
      <c r="AY337" s="3"/>
      <c r="AZ337" s="3"/>
      <c r="BA337" s="3"/>
    </row>
    <row r="338" spans="1:53" ht="56.25" customHeight="1" x14ac:dyDescent="0.25">
      <c r="A338" s="1012" t="s">
        <v>2178</v>
      </c>
      <c r="B338" s="258" t="s">
        <v>2179</v>
      </c>
      <c r="C338" s="222"/>
      <c r="D338" s="732"/>
      <c r="E338" s="226" t="s">
        <v>488</v>
      </c>
      <c r="F338" s="53" t="s">
        <v>837</v>
      </c>
      <c r="G338" s="735" t="s">
        <v>489</v>
      </c>
      <c r="H338" s="52" t="s">
        <v>1170</v>
      </c>
      <c r="I338" s="53" t="s">
        <v>838</v>
      </c>
      <c r="J338" s="47" t="s">
        <v>1171</v>
      </c>
      <c r="K338" s="47" t="s">
        <v>490</v>
      </c>
      <c r="L338" s="54" t="s">
        <v>489</v>
      </c>
      <c r="M338" s="47" t="s">
        <v>1172</v>
      </c>
      <c r="N338" s="53" t="s">
        <v>838</v>
      </c>
      <c r="O338" s="47" t="s">
        <v>1171</v>
      </c>
      <c r="P338" s="47" t="s">
        <v>826</v>
      </c>
      <c r="Q338" s="47" t="s">
        <v>1173</v>
      </c>
      <c r="R338" s="47" t="s">
        <v>1174</v>
      </c>
      <c r="S338" s="47" t="s">
        <v>839</v>
      </c>
      <c r="T338" s="47" t="s">
        <v>1171</v>
      </c>
      <c r="U338" s="47" t="s">
        <v>1392</v>
      </c>
      <c r="V338" s="47" t="s">
        <v>841</v>
      </c>
      <c r="W338" s="231" t="s">
        <v>1173</v>
      </c>
      <c r="X338" s="47" t="s">
        <v>1394</v>
      </c>
      <c r="Y338" s="47" t="s">
        <v>839</v>
      </c>
      <c r="Z338" s="55"/>
      <c r="AA338" s="1"/>
      <c r="AB338" s="1"/>
      <c r="AC338" s="245"/>
      <c r="AD338" s="56"/>
      <c r="AQ338" s="139"/>
      <c r="AR338" s="139"/>
      <c r="AS338" s="139"/>
      <c r="AX338" s="3"/>
      <c r="AY338" s="3"/>
      <c r="AZ338" s="3"/>
      <c r="BA338" s="3"/>
    </row>
    <row r="339" spans="1:53" ht="12.75" customHeight="1" x14ac:dyDescent="0.25">
      <c r="A339" s="1013"/>
      <c r="B339" s="36" t="s">
        <v>1175</v>
      </c>
      <c r="C339" s="222">
        <f>C346</f>
        <v>79.745203927933503</v>
      </c>
      <c r="D339" s="732">
        <f>C339*$D$5</f>
        <v>16.10853119344257</v>
      </c>
      <c r="E339" s="227" t="s">
        <v>1176</v>
      </c>
      <c r="F339" s="165"/>
      <c r="G339" s="58"/>
      <c r="H339" s="58"/>
      <c r="I339" s="2">
        <f>SUM(I340:I347)</f>
        <v>19.86</v>
      </c>
      <c r="J339" s="59" t="s">
        <v>1176</v>
      </c>
      <c r="K339" s="169"/>
      <c r="L339" s="60"/>
      <c r="M339" s="60"/>
      <c r="N339" s="399">
        <f>SUM(N340:N347)</f>
        <v>0.13384368288585441</v>
      </c>
      <c r="O339" s="60" t="s">
        <v>1176</v>
      </c>
      <c r="P339" s="60"/>
      <c r="Q339" s="62"/>
      <c r="R339" s="63"/>
      <c r="S339" s="399">
        <f>SUM(S340:S347)</f>
        <v>1.0021153455628511</v>
      </c>
      <c r="T339" s="61"/>
      <c r="U339" s="61"/>
      <c r="V339" s="61"/>
      <c r="W339" s="61"/>
      <c r="X339" s="61"/>
      <c r="Y339" s="399">
        <f>SUM(Y340:Y347)</f>
        <v>14.196885343655191</v>
      </c>
      <c r="Z339" s="64">
        <f>(C339+D339+I339+N339+S339+Y339)*$Z$5</f>
        <v>170.38514984027552</v>
      </c>
      <c r="AA339" s="65">
        <f>C339+D339+I339+N339+S339+Y339+Z339</f>
        <v>301.43172933375547</v>
      </c>
      <c r="AB339" s="66">
        <v>0.25</v>
      </c>
      <c r="AC339" s="244">
        <f>AA339*(1+AB339)</f>
        <v>376.78966166719431</v>
      </c>
      <c r="AD339" s="67"/>
      <c r="AI339" s="139"/>
      <c r="AJ339" s="140"/>
      <c r="AK339" s="141"/>
      <c r="AM339" s="142"/>
      <c r="AN339" s="143"/>
      <c r="AO339" s="142"/>
      <c r="AP339" s="139"/>
      <c r="AQ339" s="139"/>
      <c r="AR339" s="139"/>
      <c r="AS339" s="139"/>
      <c r="AT339" s="139"/>
      <c r="AU339" s="142"/>
      <c r="AV339" s="142"/>
      <c r="AW339" s="144"/>
      <c r="AX339" s="3"/>
      <c r="AY339" s="3"/>
      <c r="AZ339" s="3"/>
      <c r="BA339" s="3"/>
    </row>
    <row r="340" spans="1:53" x14ac:dyDescent="0.25">
      <c r="A340" s="1013"/>
      <c r="B340" s="50" t="s">
        <v>830</v>
      </c>
      <c r="C340" s="222"/>
      <c r="D340" s="733"/>
      <c r="E340" s="68" t="s">
        <v>1437</v>
      </c>
      <c r="F340" s="69" t="s">
        <v>1438</v>
      </c>
      <c r="G340" s="70">
        <v>0.3</v>
      </c>
      <c r="H340" s="69">
        <v>10</v>
      </c>
      <c r="I340" s="71">
        <f>G340*H340</f>
        <v>3</v>
      </c>
      <c r="J340" s="59" t="s">
        <v>1291</v>
      </c>
      <c r="K340" s="72">
        <v>2</v>
      </c>
      <c r="L340" s="73">
        <v>750</v>
      </c>
      <c r="M340" s="72">
        <v>2</v>
      </c>
      <c r="N340" s="399">
        <f>L340/'Исп. коэффициенты'!E34*C344</f>
        <v>0.11538248524642622</v>
      </c>
      <c r="O340" s="60" t="s">
        <v>2114</v>
      </c>
      <c r="P340" s="60">
        <v>2994195.8</v>
      </c>
      <c r="Q340" s="60">
        <v>19.670000000000002</v>
      </c>
      <c r="R340" s="60">
        <v>6513.87</v>
      </c>
      <c r="S340" s="739">
        <f>R340/'Исп. коэффициенты'!E34*+('КМУ УЗИ'!C344)</f>
        <v>1.0021153455628511</v>
      </c>
      <c r="T340" s="239" t="s">
        <v>1435</v>
      </c>
      <c r="U340" s="240">
        <v>6785401.3499999996</v>
      </c>
      <c r="V340" s="740">
        <f>'Исп. коэффициенты'!E124</f>
        <v>2978.5</v>
      </c>
      <c r="W340" s="241">
        <f>'Исп. коэффициенты'!D124</f>
        <v>1.3599999999999999E-2</v>
      </c>
      <c r="X340" s="61">
        <f>U340*W340</f>
        <v>92281.45835999999</v>
      </c>
      <c r="Y340" s="739">
        <f>X340/'Исп. коэффициенты'!E34*'КМУ УЗИ'!C344</f>
        <v>14.196885343655191</v>
      </c>
      <c r="Z340" s="60"/>
      <c r="AA340" s="1"/>
      <c r="AB340" s="1"/>
      <c r="AC340" s="1"/>
      <c r="AD340" s="56"/>
      <c r="AF340" s="151"/>
      <c r="AJ340" s="136"/>
      <c r="AX340" s="3"/>
      <c r="AY340" s="3"/>
      <c r="AZ340" s="3"/>
      <c r="BA340" s="3"/>
    </row>
    <row r="341" spans="1:53" x14ac:dyDescent="0.25">
      <c r="A341" s="1013"/>
      <c r="B341" s="74" t="s">
        <v>1178</v>
      </c>
      <c r="C341" s="223">
        <f>C321</f>
        <v>33.667709452234185</v>
      </c>
      <c r="D341" s="733"/>
      <c r="E341" s="68" t="s">
        <v>2112</v>
      </c>
      <c r="F341" s="69" t="s">
        <v>1</v>
      </c>
      <c r="G341" s="70">
        <v>0.47</v>
      </c>
      <c r="H341" s="69">
        <v>10</v>
      </c>
      <c r="I341" s="242">
        <f>G341*H341</f>
        <v>4.6999999999999993</v>
      </c>
      <c r="J341" s="59" t="s">
        <v>1445</v>
      </c>
      <c r="K341" s="61">
        <v>2</v>
      </c>
      <c r="L341" s="76">
        <v>95</v>
      </c>
      <c r="M341" s="72">
        <v>2</v>
      </c>
      <c r="N341" s="399">
        <f>L341/'Исп. коэффициенты'!E34*C344</f>
        <v>1.4615114797880654E-2</v>
      </c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1"/>
      <c r="AB341" s="1"/>
      <c r="AC341" s="1"/>
      <c r="AD341" s="56"/>
      <c r="AF341" s="151"/>
      <c r="AJ341" s="136"/>
      <c r="AM341" s="145"/>
      <c r="AX341" s="3"/>
      <c r="AY341" s="3"/>
      <c r="AZ341" s="3"/>
      <c r="BA341" s="3"/>
    </row>
    <row r="342" spans="1:53" x14ac:dyDescent="0.25">
      <c r="A342" s="1013"/>
      <c r="B342" s="57" t="s">
        <v>1179</v>
      </c>
      <c r="C342" s="222">
        <f>C322</f>
        <v>19.495759833054819</v>
      </c>
      <c r="D342" s="733"/>
      <c r="E342" s="68" t="s">
        <v>1598</v>
      </c>
      <c r="F342" s="69" t="s">
        <v>1441</v>
      </c>
      <c r="G342" s="70">
        <v>5.36</v>
      </c>
      <c r="H342" s="70">
        <v>1</v>
      </c>
      <c r="I342" s="71">
        <f>G342*H342</f>
        <v>5.36</v>
      </c>
      <c r="J342" s="59" t="s">
        <v>1513</v>
      </c>
      <c r="K342" s="61">
        <v>2</v>
      </c>
      <c r="L342" s="61">
        <v>25</v>
      </c>
      <c r="M342" s="72">
        <v>0.5</v>
      </c>
      <c r="N342" s="399">
        <f>L342/'Исп. коэффициенты'!E34*C344</f>
        <v>3.8460828415475407E-3</v>
      </c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1"/>
      <c r="AB342" s="1"/>
      <c r="AC342" s="1"/>
      <c r="AD342" s="56"/>
      <c r="AF342" s="151"/>
      <c r="AJ342" s="136"/>
      <c r="AX342" s="3"/>
      <c r="AY342" s="3"/>
      <c r="AZ342" s="3"/>
      <c r="BA342" s="3"/>
    </row>
    <row r="343" spans="1:53" x14ac:dyDescent="0.25">
      <c r="A343" s="1013"/>
      <c r="B343" s="57" t="s">
        <v>831</v>
      </c>
      <c r="C343" s="224"/>
      <c r="D343" s="733"/>
      <c r="E343" s="68" t="s">
        <v>2113</v>
      </c>
      <c r="F343" s="69" t="s">
        <v>1</v>
      </c>
      <c r="G343" s="70">
        <v>0.17</v>
      </c>
      <c r="H343" s="69">
        <v>40</v>
      </c>
      <c r="I343" s="71">
        <f>G343*H343</f>
        <v>6.8000000000000007</v>
      </c>
      <c r="J343" s="59"/>
      <c r="K343" s="61"/>
      <c r="L343" s="61"/>
      <c r="M343" s="61"/>
      <c r="N343" s="61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1"/>
      <c r="AB343" s="1"/>
      <c r="AC343" s="1"/>
      <c r="AD343" s="56"/>
      <c r="AF343" s="151"/>
      <c r="AJ343" s="136"/>
      <c r="AX343" s="3"/>
      <c r="AY343" s="3"/>
      <c r="AZ343" s="3"/>
      <c r="BA343" s="3"/>
    </row>
    <row r="344" spans="1:53" x14ac:dyDescent="0.25">
      <c r="A344" s="1013"/>
      <c r="B344" s="74" t="s">
        <v>1178</v>
      </c>
      <c r="C344" s="225">
        <v>1.5</v>
      </c>
      <c r="D344" s="733"/>
      <c r="E344" s="68"/>
      <c r="F344" s="69"/>
      <c r="G344" s="70"/>
      <c r="H344" s="69"/>
      <c r="I344" s="71"/>
      <c r="J344" s="59"/>
      <c r="K344" s="61"/>
      <c r="L344" s="61"/>
      <c r="M344" s="61"/>
      <c r="N344" s="61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1"/>
      <c r="AB344" s="1"/>
      <c r="AC344" s="1"/>
      <c r="AD344" s="56"/>
      <c r="AF344" s="151"/>
      <c r="AJ344" s="146"/>
      <c r="AX344" s="3"/>
      <c r="AY344" s="3"/>
      <c r="AZ344" s="3"/>
      <c r="BA344" s="3"/>
    </row>
    <row r="345" spans="1:53" x14ac:dyDescent="0.25">
      <c r="A345" s="1013"/>
      <c r="B345" s="57" t="s">
        <v>1179</v>
      </c>
      <c r="C345" s="225">
        <v>1.5</v>
      </c>
      <c r="D345" s="733"/>
      <c r="E345" s="68"/>
      <c r="F345" s="69"/>
      <c r="G345" s="70"/>
      <c r="H345" s="69"/>
      <c r="I345" s="71"/>
      <c r="J345" s="59"/>
      <c r="K345" s="61"/>
      <c r="L345" s="61"/>
      <c r="M345" s="61"/>
      <c r="N345" s="61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1"/>
      <c r="AB345" s="1"/>
      <c r="AC345" s="1"/>
      <c r="AD345" s="56"/>
      <c r="AF345" s="151"/>
      <c r="AJ345" s="146"/>
      <c r="AX345" s="3"/>
      <c r="AY345" s="3"/>
      <c r="AZ345" s="3"/>
      <c r="BA345" s="3"/>
    </row>
    <row r="346" spans="1:53" x14ac:dyDescent="0.25">
      <c r="A346" s="1013"/>
      <c r="B346" s="79" t="s">
        <v>1181</v>
      </c>
      <c r="C346" s="222">
        <f>C341*C344+C342*C345</f>
        <v>79.745203927933503</v>
      </c>
      <c r="D346" s="733"/>
      <c r="E346" s="228"/>
      <c r="F346" s="166"/>
      <c r="G346" s="70"/>
      <c r="H346" s="69"/>
      <c r="I346" s="71"/>
      <c r="J346" s="59"/>
      <c r="K346" s="170"/>
      <c r="L346" s="76"/>
      <c r="M346" s="72"/>
      <c r="N346" s="61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1"/>
      <c r="AB346" s="1"/>
      <c r="AC346" s="1"/>
      <c r="AD346" s="56"/>
      <c r="AF346" s="151"/>
      <c r="AJ346" s="136"/>
      <c r="AX346" s="3"/>
      <c r="AY346" s="3"/>
      <c r="AZ346" s="3"/>
      <c r="BA346" s="3"/>
    </row>
    <row r="347" spans="1:53" x14ac:dyDescent="0.25">
      <c r="A347" s="1014"/>
      <c r="B347" s="123"/>
      <c r="C347" s="225"/>
      <c r="D347" s="734"/>
      <c r="E347" s="228"/>
      <c r="F347" s="166"/>
      <c r="G347" s="70"/>
      <c r="H347" s="69"/>
      <c r="I347" s="71"/>
      <c r="J347" s="59"/>
      <c r="K347" s="170"/>
      <c r="L347" s="61"/>
      <c r="M347" s="72"/>
      <c r="N347" s="61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1"/>
      <c r="AB347" s="1"/>
      <c r="AC347" s="1"/>
      <c r="AD347" s="56"/>
      <c r="AF347" s="151"/>
      <c r="AJ347" s="146"/>
      <c r="AX347" s="3"/>
      <c r="AY347" s="3"/>
      <c r="AZ347" s="3"/>
      <c r="BA347" s="3"/>
    </row>
    <row r="348" spans="1:53" ht="54.75" customHeight="1" x14ac:dyDescent="0.25">
      <c r="A348" s="1012" t="s">
        <v>2180</v>
      </c>
      <c r="B348" s="258" t="s">
        <v>2181</v>
      </c>
      <c r="C348" s="222"/>
      <c r="D348" s="732"/>
      <c r="E348" s="226" t="s">
        <v>488</v>
      </c>
      <c r="F348" s="53" t="s">
        <v>837</v>
      </c>
      <c r="G348" s="735" t="s">
        <v>489</v>
      </c>
      <c r="H348" s="52" t="s">
        <v>1170</v>
      </c>
      <c r="I348" s="53" t="s">
        <v>838</v>
      </c>
      <c r="J348" s="47" t="s">
        <v>1171</v>
      </c>
      <c r="K348" s="47" t="s">
        <v>490</v>
      </c>
      <c r="L348" s="54" t="s">
        <v>489</v>
      </c>
      <c r="M348" s="47" t="s">
        <v>1172</v>
      </c>
      <c r="N348" s="53" t="s">
        <v>838</v>
      </c>
      <c r="O348" s="47" t="s">
        <v>1171</v>
      </c>
      <c r="P348" s="47" t="s">
        <v>826</v>
      </c>
      <c r="Q348" s="47" t="s">
        <v>1173</v>
      </c>
      <c r="R348" s="47" t="s">
        <v>1174</v>
      </c>
      <c r="S348" s="47" t="s">
        <v>839</v>
      </c>
      <c r="T348" s="47" t="s">
        <v>1171</v>
      </c>
      <c r="U348" s="47" t="s">
        <v>1392</v>
      </c>
      <c r="V348" s="47" t="s">
        <v>841</v>
      </c>
      <c r="W348" s="231" t="s">
        <v>1173</v>
      </c>
      <c r="X348" s="47" t="s">
        <v>1394</v>
      </c>
      <c r="Y348" s="47" t="s">
        <v>839</v>
      </c>
      <c r="Z348" s="55"/>
      <c r="AA348" s="1"/>
      <c r="AB348" s="1"/>
      <c r="AC348" s="245"/>
      <c r="AD348" s="56"/>
      <c r="AQ348" s="139"/>
      <c r="AR348" s="139"/>
      <c r="AS348" s="139"/>
      <c r="AX348" s="3"/>
      <c r="AY348" s="3"/>
      <c r="AZ348" s="3"/>
      <c r="BA348" s="3"/>
    </row>
    <row r="349" spans="1:53" ht="12.75" customHeight="1" x14ac:dyDescent="0.25">
      <c r="A349" s="1013"/>
      <c r="B349" s="36" t="s">
        <v>1175</v>
      </c>
      <c r="C349" s="222">
        <f>C356</f>
        <v>106.32693857057801</v>
      </c>
      <c r="D349" s="732">
        <f>C349*$D$5</f>
        <v>21.478041591256758</v>
      </c>
      <c r="E349" s="227" t="s">
        <v>1176</v>
      </c>
      <c r="F349" s="165"/>
      <c r="G349" s="58"/>
      <c r="H349" s="58"/>
      <c r="I349" s="2">
        <f>SUM(I350:I357)</f>
        <v>19.86</v>
      </c>
      <c r="J349" s="59" t="s">
        <v>1176</v>
      </c>
      <c r="K349" s="169"/>
      <c r="L349" s="60"/>
      <c r="M349" s="60"/>
      <c r="N349" s="399">
        <f>SUM(N350:N357)</f>
        <v>0.44895971881538654</v>
      </c>
      <c r="O349" s="60" t="s">
        <v>1176</v>
      </c>
      <c r="P349" s="60"/>
      <c r="Q349" s="62"/>
      <c r="R349" s="63"/>
      <c r="S349" s="399">
        <f>SUM(S350:S357)</f>
        <v>1.3361537940838015</v>
      </c>
      <c r="T349" s="61"/>
      <c r="U349" s="61"/>
      <c r="V349" s="61"/>
      <c r="W349" s="61"/>
      <c r="X349" s="61"/>
      <c r="Y349" s="399">
        <f>SUM(Y350:Y357)</f>
        <v>18.929180458206922</v>
      </c>
      <c r="Z349" s="64">
        <f>(C349+D349+I349+N349+S349+Y349)*$Z$5</f>
        <v>218.92465994936825</v>
      </c>
      <c r="AA349" s="65">
        <f>C349+D349+I349+N349+S349+Y349+Z349</f>
        <v>387.30393408230913</v>
      </c>
      <c r="AB349" s="66">
        <v>0.25</v>
      </c>
      <c r="AC349" s="244">
        <f>AA349*(1+AB349)</f>
        <v>484.12991760288639</v>
      </c>
      <c r="AD349" s="67"/>
      <c r="AI349" s="139"/>
      <c r="AJ349" s="140"/>
      <c r="AK349" s="141"/>
      <c r="AM349" s="142"/>
      <c r="AN349" s="143"/>
      <c r="AO349" s="142"/>
      <c r="AP349" s="139"/>
      <c r="AQ349" s="139"/>
      <c r="AR349" s="139"/>
      <c r="AS349" s="139"/>
      <c r="AT349" s="139"/>
      <c r="AU349" s="142"/>
      <c r="AV349" s="142"/>
      <c r="AW349" s="144"/>
      <c r="AX349" s="3"/>
      <c r="AY349" s="3"/>
      <c r="AZ349" s="3"/>
      <c r="BA349" s="3"/>
    </row>
    <row r="350" spans="1:53" x14ac:dyDescent="0.25">
      <c r="A350" s="1013"/>
      <c r="B350" s="50" t="s">
        <v>830</v>
      </c>
      <c r="C350" s="222"/>
      <c r="D350" s="733"/>
      <c r="E350" s="68" t="s">
        <v>1437</v>
      </c>
      <c r="F350" s="69" t="s">
        <v>1438</v>
      </c>
      <c r="G350" s="70">
        <v>0.3</v>
      </c>
      <c r="H350" s="69">
        <v>10</v>
      </c>
      <c r="I350" s="71">
        <f>G350*H350</f>
        <v>3</v>
      </c>
      <c r="J350" s="59" t="s">
        <v>1291</v>
      </c>
      <c r="K350" s="72">
        <v>2</v>
      </c>
      <c r="L350" s="73">
        <v>750</v>
      </c>
      <c r="M350" s="72">
        <v>2</v>
      </c>
      <c r="N350" s="399">
        <f>L350/'Исп. коэффициенты'!E34*C354</f>
        <v>0.15384331366190163</v>
      </c>
      <c r="O350" s="60" t="s">
        <v>2114</v>
      </c>
      <c r="P350" s="60">
        <v>2994195.8</v>
      </c>
      <c r="Q350" s="60">
        <v>19.670000000000002</v>
      </c>
      <c r="R350" s="60">
        <v>6513.87</v>
      </c>
      <c r="S350" s="739">
        <f>R350/'Исп. коэффициенты'!E34*+('КМУ УЗИ'!C354)</f>
        <v>1.3361537940838015</v>
      </c>
      <c r="T350" s="239" t="s">
        <v>1435</v>
      </c>
      <c r="U350" s="240">
        <v>6785401.3499999996</v>
      </c>
      <c r="V350" s="740">
        <f>'Исп. коэффициенты'!E124</f>
        <v>2978.5</v>
      </c>
      <c r="W350" s="241">
        <f>'Исп. коэффициенты'!D124</f>
        <v>1.3599999999999999E-2</v>
      </c>
      <c r="X350" s="61">
        <f>U350*W350</f>
        <v>92281.45835999999</v>
      </c>
      <c r="Y350" s="739">
        <f>X350/'Исп. коэффициенты'!E34*'КМУ УЗИ'!C354</f>
        <v>18.929180458206922</v>
      </c>
      <c r="Z350" s="60"/>
      <c r="AA350" s="1"/>
      <c r="AB350" s="1"/>
      <c r="AC350" s="1"/>
      <c r="AD350" s="56"/>
      <c r="AF350" s="151"/>
      <c r="AJ350" s="136"/>
      <c r="AX350" s="3"/>
      <c r="AY350" s="3"/>
      <c r="AZ350" s="3"/>
      <c r="BA350" s="3"/>
    </row>
    <row r="351" spans="1:53" x14ac:dyDescent="0.25">
      <c r="A351" s="1013"/>
      <c r="B351" s="74" t="s">
        <v>1178</v>
      </c>
      <c r="C351" s="223">
        <f>C331</f>
        <v>33.667709452234185</v>
      </c>
      <c r="D351" s="733"/>
      <c r="E351" s="68" t="s">
        <v>2112</v>
      </c>
      <c r="F351" s="69" t="s">
        <v>1</v>
      </c>
      <c r="G351" s="70">
        <v>0.47</v>
      </c>
      <c r="H351" s="69">
        <v>10</v>
      </c>
      <c r="I351" s="242">
        <f>G351*H351</f>
        <v>4.6999999999999993</v>
      </c>
      <c r="J351" s="59" t="s">
        <v>1445</v>
      </c>
      <c r="K351" s="61">
        <v>2</v>
      </c>
      <c r="L351" s="76">
        <v>95</v>
      </c>
      <c r="M351" s="72">
        <v>2</v>
      </c>
      <c r="N351" s="399">
        <f>L351/'Исп. коэффициенты'!E35*C355</f>
        <v>2.3045219572426275E-2</v>
      </c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1"/>
      <c r="AB351" s="1"/>
      <c r="AC351" s="1"/>
      <c r="AD351" s="56"/>
      <c r="AF351" s="151"/>
      <c r="AJ351" s="136"/>
      <c r="AM351" s="145"/>
      <c r="AX351" s="3"/>
      <c r="AY351" s="3"/>
      <c r="AZ351" s="3"/>
      <c r="BA351" s="3"/>
    </row>
    <row r="352" spans="1:53" x14ac:dyDescent="0.25">
      <c r="A352" s="1013"/>
      <c r="B352" s="57" t="s">
        <v>1179</v>
      </c>
      <c r="C352" s="222">
        <f>C332</f>
        <v>19.495759833054819</v>
      </c>
      <c r="D352" s="733"/>
      <c r="E352" s="68" t="s">
        <v>1598</v>
      </c>
      <c r="F352" s="69" t="s">
        <v>1441</v>
      </c>
      <c r="G352" s="70">
        <v>5.36</v>
      </c>
      <c r="H352" s="70">
        <v>1</v>
      </c>
      <c r="I352" s="71">
        <f>G352*H352</f>
        <v>5.36</v>
      </c>
      <c r="J352" s="59" t="s">
        <v>1513</v>
      </c>
      <c r="K352" s="61">
        <v>2</v>
      </c>
      <c r="L352" s="61">
        <v>25</v>
      </c>
      <c r="M352" s="72">
        <v>0.5</v>
      </c>
      <c r="N352" s="399">
        <f>L352/'Исп. коэффициенты'!E36*C356</f>
        <v>0.27207118558105864</v>
      </c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1"/>
      <c r="AB352" s="1"/>
      <c r="AC352" s="1"/>
      <c r="AD352" s="56"/>
      <c r="AF352" s="151"/>
      <c r="AJ352" s="136"/>
      <c r="AX352" s="3"/>
      <c r="AY352" s="3"/>
      <c r="AZ352" s="3"/>
      <c r="BA352" s="3"/>
    </row>
    <row r="353" spans="1:53" x14ac:dyDescent="0.25">
      <c r="A353" s="1013"/>
      <c r="B353" s="57" t="s">
        <v>831</v>
      </c>
      <c r="C353" s="224"/>
      <c r="D353" s="733"/>
      <c r="E353" s="68" t="s">
        <v>2113</v>
      </c>
      <c r="F353" s="69" t="s">
        <v>1</v>
      </c>
      <c r="G353" s="70">
        <v>0.17</v>
      </c>
      <c r="H353" s="69">
        <v>40</v>
      </c>
      <c r="I353" s="71">
        <f>G353*H353</f>
        <v>6.8000000000000007</v>
      </c>
      <c r="J353" s="59"/>
      <c r="K353" s="61"/>
      <c r="L353" s="61"/>
      <c r="M353" s="61"/>
      <c r="N353" s="61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1"/>
      <c r="AB353" s="1"/>
      <c r="AC353" s="1"/>
      <c r="AD353" s="56"/>
      <c r="AF353" s="151"/>
      <c r="AJ353" s="136"/>
      <c r="AX353" s="3"/>
      <c r="AY353" s="3"/>
      <c r="AZ353" s="3"/>
      <c r="BA353" s="3"/>
    </row>
    <row r="354" spans="1:53" x14ac:dyDescent="0.25">
      <c r="A354" s="1013"/>
      <c r="B354" s="74" t="s">
        <v>1178</v>
      </c>
      <c r="C354" s="225">
        <v>2</v>
      </c>
      <c r="D354" s="733"/>
      <c r="E354" s="68"/>
      <c r="F354" s="69"/>
      <c r="G354" s="70"/>
      <c r="H354" s="69"/>
      <c r="I354" s="71"/>
      <c r="J354" s="59"/>
      <c r="K354" s="61"/>
      <c r="L354" s="61"/>
      <c r="M354" s="61"/>
      <c r="N354" s="61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1"/>
      <c r="AB354" s="1"/>
      <c r="AC354" s="1"/>
      <c r="AD354" s="56"/>
      <c r="AF354" s="151"/>
      <c r="AJ354" s="146"/>
      <c r="AX354" s="3"/>
      <c r="AY354" s="3"/>
      <c r="AZ354" s="3"/>
      <c r="BA354" s="3"/>
    </row>
    <row r="355" spans="1:53" x14ac:dyDescent="0.25">
      <c r="A355" s="1013"/>
      <c r="B355" s="57" t="s">
        <v>1179</v>
      </c>
      <c r="C355" s="225">
        <v>2</v>
      </c>
      <c r="D355" s="733"/>
      <c r="E355" s="68"/>
      <c r="F355" s="69"/>
      <c r="G355" s="70"/>
      <c r="H355" s="69"/>
      <c r="I355" s="71"/>
      <c r="J355" s="59"/>
      <c r="K355" s="61"/>
      <c r="L355" s="61"/>
      <c r="M355" s="61"/>
      <c r="N355" s="61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1"/>
      <c r="AB355" s="1"/>
      <c r="AC355" s="1"/>
      <c r="AD355" s="56"/>
      <c r="AF355" s="151"/>
      <c r="AJ355" s="146"/>
      <c r="AX355" s="3"/>
      <c r="AY355" s="3"/>
      <c r="AZ355" s="3"/>
      <c r="BA355" s="3"/>
    </row>
    <row r="356" spans="1:53" x14ac:dyDescent="0.25">
      <c r="A356" s="1013"/>
      <c r="B356" s="79" t="s">
        <v>1181</v>
      </c>
      <c r="C356" s="222">
        <f>C351*C354+C352*C355</f>
        <v>106.32693857057801</v>
      </c>
      <c r="D356" s="733"/>
      <c r="E356" s="228"/>
      <c r="F356" s="166"/>
      <c r="G356" s="70"/>
      <c r="H356" s="69"/>
      <c r="I356" s="71"/>
      <c r="J356" s="59"/>
      <c r="K356" s="170"/>
      <c r="L356" s="76"/>
      <c r="M356" s="72"/>
      <c r="N356" s="61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1"/>
      <c r="AB356" s="1"/>
      <c r="AC356" s="1"/>
      <c r="AD356" s="56"/>
      <c r="AF356" s="151"/>
      <c r="AJ356" s="136"/>
      <c r="AX356" s="3"/>
      <c r="AY356" s="3"/>
      <c r="AZ356" s="3"/>
      <c r="BA356" s="3"/>
    </row>
    <row r="357" spans="1:53" x14ac:dyDescent="0.25">
      <c r="A357" s="1014"/>
      <c r="B357" s="123"/>
      <c r="C357" s="225"/>
      <c r="D357" s="734"/>
      <c r="E357" s="228"/>
      <c r="F357" s="166"/>
      <c r="G357" s="70"/>
      <c r="H357" s="69"/>
      <c r="I357" s="71"/>
      <c r="J357" s="59"/>
      <c r="K357" s="170"/>
      <c r="L357" s="61"/>
      <c r="M357" s="72"/>
      <c r="N357" s="61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1"/>
      <c r="AB357" s="1"/>
      <c r="AC357" s="1"/>
      <c r="AD357" s="56"/>
      <c r="AF357" s="151"/>
      <c r="AJ357" s="146"/>
      <c r="AX357" s="3"/>
      <c r="AY357" s="3"/>
      <c r="AZ357" s="3"/>
      <c r="BA357" s="3"/>
    </row>
    <row r="358" spans="1:53" ht="54.75" customHeight="1" x14ac:dyDescent="0.25">
      <c r="A358" s="1012" t="s">
        <v>2277</v>
      </c>
      <c r="B358" s="258" t="s">
        <v>2276</v>
      </c>
      <c r="C358" s="222"/>
      <c r="D358" s="991"/>
      <c r="E358" s="226" t="s">
        <v>488</v>
      </c>
      <c r="F358" s="53" t="s">
        <v>837</v>
      </c>
      <c r="G358" s="744" t="s">
        <v>489</v>
      </c>
      <c r="H358" s="52" t="s">
        <v>1170</v>
      </c>
      <c r="I358" s="53" t="s">
        <v>838</v>
      </c>
      <c r="J358" s="47" t="s">
        <v>1171</v>
      </c>
      <c r="K358" s="47" t="s">
        <v>490</v>
      </c>
      <c r="L358" s="54" t="s">
        <v>489</v>
      </c>
      <c r="M358" s="47" t="s">
        <v>1172</v>
      </c>
      <c r="N358" s="53" t="s">
        <v>838</v>
      </c>
      <c r="O358" s="47" t="s">
        <v>1171</v>
      </c>
      <c r="P358" s="47" t="s">
        <v>826</v>
      </c>
      <c r="Q358" s="47" t="s">
        <v>1173</v>
      </c>
      <c r="R358" s="47" t="s">
        <v>1174</v>
      </c>
      <c r="S358" s="47" t="s">
        <v>839</v>
      </c>
      <c r="T358" s="47" t="s">
        <v>1171</v>
      </c>
      <c r="U358" s="47" t="s">
        <v>1392</v>
      </c>
      <c r="V358" s="47" t="s">
        <v>841</v>
      </c>
      <c r="W358" s="231" t="s">
        <v>1173</v>
      </c>
      <c r="X358" s="47" t="s">
        <v>1394</v>
      </c>
      <c r="Y358" s="47" t="s">
        <v>839</v>
      </c>
      <c r="Z358" s="55"/>
      <c r="AA358" s="1"/>
      <c r="AB358" s="1"/>
      <c r="AC358" s="245"/>
      <c r="AD358" s="56"/>
      <c r="AQ358" s="139"/>
      <c r="AR358" s="139"/>
      <c r="AS358" s="139"/>
      <c r="AX358" s="3"/>
      <c r="AY358" s="3"/>
      <c r="AZ358" s="3"/>
      <c r="BA358" s="3"/>
    </row>
    <row r="359" spans="1:53" ht="12.75" customHeight="1" x14ac:dyDescent="0.25">
      <c r="A359" s="1013"/>
      <c r="B359" s="36" t="s">
        <v>1175</v>
      </c>
      <c r="C359" s="222">
        <f>C366</f>
        <v>202.00625671340509</v>
      </c>
      <c r="D359" s="991">
        <f>C359*$D$5</f>
        <v>40.805263856107828</v>
      </c>
      <c r="E359" s="227" t="s">
        <v>1176</v>
      </c>
      <c r="F359" s="165"/>
      <c r="G359" s="58"/>
      <c r="H359" s="58"/>
      <c r="I359" s="2">
        <f>SUM(I360:I367)</f>
        <v>19.86</v>
      </c>
      <c r="J359" s="59" t="s">
        <v>1176</v>
      </c>
      <c r="K359" s="169"/>
      <c r="L359" s="60"/>
      <c r="M359" s="60"/>
      <c r="N359" s="399">
        <f>SUM(N360:N367)</f>
        <v>0.53537473154341764</v>
      </c>
      <c r="O359" s="60" t="s">
        <v>1176</v>
      </c>
      <c r="P359" s="60"/>
      <c r="Q359" s="62"/>
      <c r="R359" s="63"/>
      <c r="S359" s="399">
        <f>SUM(S360:S367)</f>
        <v>4.0084613822514044</v>
      </c>
      <c r="T359" s="61"/>
      <c r="U359" s="61"/>
      <c r="V359" s="61"/>
      <c r="W359" s="61"/>
      <c r="X359" s="61"/>
      <c r="Y359" s="399">
        <f>SUM(Y360:Y367)</f>
        <v>56.787541374620766</v>
      </c>
      <c r="Z359" s="64">
        <f>(C359+D359+I359+N359+S359+Y359)*$Z$5</f>
        <v>421.26458048476059</v>
      </c>
      <c r="AA359" s="65">
        <f>C359+D359+I359+N359+S359+Y359+Z359</f>
        <v>745.2674785426891</v>
      </c>
      <c r="AB359" s="66">
        <v>0.25</v>
      </c>
      <c r="AC359" s="244">
        <f>AA359*(1+AB359)</f>
        <v>931.58434817836132</v>
      </c>
      <c r="AD359" s="67"/>
      <c r="AI359" s="139"/>
      <c r="AJ359" s="140"/>
      <c r="AK359" s="141"/>
      <c r="AM359" s="142"/>
      <c r="AN359" s="143"/>
      <c r="AO359" s="142"/>
      <c r="AP359" s="139"/>
      <c r="AQ359" s="139"/>
      <c r="AR359" s="139"/>
      <c r="AS359" s="139"/>
      <c r="AT359" s="139"/>
      <c r="AU359" s="142"/>
      <c r="AV359" s="142"/>
      <c r="AW359" s="144"/>
      <c r="AX359" s="3"/>
      <c r="AY359" s="3"/>
      <c r="AZ359" s="3"/>
      <c r="BA359" s="3"/>
    </row>
    <row r="360" spans="1:53" x14ac:dyDescent="0.25">
      <c r="A360" s="1013"/>
      <c r="B360" s="50" t="s">
        <v>830</v>
      </c>
      <c r="C360" s="222"/>
      <c r="D360" s="992"/>
      <c r="E360" s="68" t="s">
        <v>1437</v>
      </c>
      <c r="F360" s="69" t="s">
        <v>1438</v>
      </c>
      <c r="G360" s="70">
        <v>0.3</v>
      </c>
      <c r="H360" s="69">
        <v>10</v>
      </c>
      <c r="I360" s="71">
        <f>G360*H360</f>
        <v>3</v>
      </c>
      <c r="J360" s="59" t="s">
        <v>1291</v>
      </c>
      <c r="K360" s="72">
        <v>2</v>
      </c>
      <c r="L360" s="73">
        <v>750</v>
      </c>
      <c r="M360" s="72">
        <v>2</v>
      </c>
      <c r="N360" s="399">
        <f>L360/'Исп. коэффициенты'!E34*C364</f>
        <v>0.46152994098570488</v>
      </c>
      <c r="O360" s="60" t="s">
        <v>2114</v>
      </c>
      <c r="P360" s="60">
        <v>2994195.8</v>
      </c>
      <c r="Q360" s="60">
        <v>19.670000000000002</v>
      </c>
      <c r="R360" s="60">
        <v>6513.87</v>
      </c>
      <c r="S360" s="739">
        <f>R360/'Исп. коэффициенты'!E34*+('КМУ УЗИ'!C364)</f>
        <v>4.0084613822514044</v>
      </c>
      <c r="T360" s="239" t="s">
        <v>1435</v>
      </c>
      <c r="U360" s="240">
        <v>6785401.3499999996</v>
      </c>
      <c r="V360" s="740">
        <f>'Исп. коэффициенты'!E124</f>
        <v>2978.5</v>
      </c>
      <c r="W360" s="241">
        <f>'Исп. коэффициенты'!D124</f>
        <v>1.3599999999999999E-2</v>
      </c>
      <c r="X360" s="61">
        <f>U360*W360</f>
        <v>92281.45835999999</v>
      </c>
      <c r="Y360" s="739">
        <f>X360/'Исп. коэффициенты'!E34*'КМУ УЗИ'!C364</f>
        <v>56.787541374620766</v>
      </c>
      <c r="Z360" s="60"/>
      <c r="AA360" s="1"/>
      <c r="AB360" s="1"/>
      <c r="AC360" s="1"/>
      <c r="AD360" s="56"/>
      <c r="AF360" s="151"/>
      <c r="AJ360" s="136"/>
      <c r="AX360" s="3"/>
      <c r="AY360" s="3"/>
      <c r="AZ360" s="3"/>
      <c r="BA360" s="3"/>
    </row>
    <row r="361" spans="1:53" x14ac:dyDescent="0.25">
      <c r="A361" s="1013"/>
      <c r="B361" s="74" t="s">
        <v>1178</v>
      </c>
      <c r="C361" s="223">
        <f>C341</f>
        <v>33.667709452234185</v>
      </c>
      <c r="D361" s="992"/>
      <c r="E361" s="68" t="s">
        <v>2112</v>
      </c>
      <c r="F361" s="69" t="s">
        <v>1</v>
      </c>
      <c r="G361" s="70">
        <v>0.47</v>
      </c>
      <c r="H361" s="69">
        <v>10</v>
      </c>
      <c r="I361" s="242">
        <f>G361*H361</f>
        <v>4.6999999999999993</v>
      </c>
      <c r="J361" s="59" t="s">
        <v>1445</v>
      </c>
      <c r="K361" s="61">
        <v>2</v>
      </c>
      <c r="L361" s="76">
        <v>95</v>
      </c>
      <c r="M361" s="72">
        <v>2</v>
      </c>
      <c r="N361" s="399">
        <f>L361/'Исп. коэффициенты'!E34*C364</f>
        <v>5.8460459191522617E-2</v>
      </c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1"/>
      <c r="AB361" s="1"/>
      <c r="AC361" s="1"/>
      <c r="AD361" s="56"/>
      <c r="AF361" s="151"/>
      <c r="AJ361" s="136"/>
      <c r="AM361" s="145"/>
      <c r="AX361" s="3"/>
      <c r="AY361" s="3"/>
      <c r="AZ361" s="3"/>
      <c r="BA361" s="3"/>
    </row>
    <row r="362" spans="1:53" x14ac:dyDescent="0.25">
      <c r="A362" s="1013"/>
      <c r="B362" s="57" t="s">
        <v>1179</v>
      </c>
      <c r="C362" s="222">
        <f>C342</f>
        <v>19.495759833054819</v>
      </c>
      <c r="D362" s="992"/>
      <c r="E362" s="68" t="s">
        <v>1598</v>
      </c>
      <c r="F362" s="69" t="s">
        <v>1441</v>
      </c>
      <c r="G362" s="70">
        <v>5.36</v>
      </c>
      <c r="H362" s="70">
        <v>1</v>
      </c>
      <c r="I362" s="71">
        <f>G362*H362</f>
        <v>5.36</v>
      </c>
      <c r="J362" s="59" t="s">
        <v>1513</v>
      </c>
      <c r="K362" s="61">
        <v>2</v>
      </c>
      <c r="L362" s="61">
        <v>25</v>
      </c>
      <c r="M362" s="72">
        <v>0.5</v>
      </c>
      <c r="N362" s="399">
        <f>L362/'Исп. коэффициенты'!E34*C364</f>
        <v>1.5384331366190163E-2</v>
      </c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1"/>
      <c r="AB362" s="1"/>
      <c r="AC362" s="1"/>
      <c r="AD362" s="56"/>
      <c r="AF362" s="151"/>
      <c r="AJ362" s="136"/>
      <c r="AX362" s="3"/>
      <c r="AY362" s="3"/>
      <c r="AZ362" s="3"/>
      <c r="BA362" s="3"/>
    </row>
    <row r="363" spans="1:53" x14ac:dyDescent="0.25">
      <c r="A363" s="1013"/>
      <c r="B363" s="57" t="s">
        <v>831</v>
      </c>
      <c r="C363" s="224"/>
      <c r="D363" s="992"/>
      <c r="E363" s="68" t="s">
        <v>2113</v>
      </c>
      <c r="F363" s="69" t="s">
        <v>1</v>
      </c>
      <c r="G363" s="70">
        <v>0.17</v>
      </c>
      <c r="H363" s="69">
        <v>40</v>
      </c>
      <c r="I363" s="71">
        <f>G363*H363</f>
        <v>6.8000000000000007</v>
      </c>
      <c r="J363" s="59"/>
      <c r="K363" s="61"/>
      <c r="L363" s="61"/>
      <c r="M363" s="61"/>
      <c r="N363" s="61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1"/>
      <c r="AB363" s="1"/>
      <c r="AC363" s="1"/>
      <c r="AD363" s="56"/>
      <c r="AF363" s="151"/>
      <c r="AJ363" s="136"/>
      <c r="AX363" s="3"/>
      <c r="AY363" s="3"/>
      <c r="AZ363" s="3"/>
      <c r="BA363" s="3"/>
    </row>
    <row r="364" spans="1:53" x14ac:dyDescent="0.25">
      <c r="A364" s="1013"/>
      <c r="B364" s="74" t="s">
        <v>1178</v>
      </c>
      <c r="C364" s="225">
        <v>6</v>
      </c>
      <c r="D364" s="992"/>
      <c r="E364" s="68"/>
      <c r="F364" s="69"/>
      <c r="G364" s="70"/>
      <c r="H364" s="69"/>
      <c r="I364" s="71"/>
      <c r="J364" s="59"/>
      <c r="K364" s="61"/>
      <c r="L364" s="61"/>
      <c r="M364" s="61"/>
      <c r="N364" s="61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1"/>
      <c r="AB364" s="1"/>
      <c r="AC364" s="1"/>
      <c r="AD364" s="56"/>
      <c r="AF364" s="151"/>
      <c r="AJ364" s="146"/>
      <c r="AX364" s="3"/>
      <c r="AY364" s="3"/>
      <c r="AZ364" s="3"/>
      <c r="BA364" s="3"/>
    </row>
    <row r="365" spans="1:53" x14ac:dyDescent="0.25">
      <c r="A365" s="1013"/>
      <c r="B365" s="57" t="s">
        <v>1179</v>
      </c>
      <c r="C365" s="225">
        <v>0</v>
      </c>
      <c r="D365" s="992"/>
      <c r="E365" s="68"/>
      <c r="F365" s="69"/>
      <c r="G365" s="70"/>
      <c r="H365" s="69"/>
      <c r="I365" s="71"/>
      <c r="J365" s="59"/>
      <c r="K365" s="61"/>
      <c r="L365" s="61"/>
      <c r="M365" s="61"/>
      <c r="N365" s="61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1"/>
      <c r="AB365" s="1"/>
      <c r="AC365" s="1"/>
      <c r="AD365" s="56"/>
      <c r="AF365" s="151"/>
      <c r="AJ365" s="146"/>
      <c r="AX365" s="3"/>
      <c r="AY365" s="3"/>
      <c r="AZ365" s="3"/>
      <c r="BA365" s="3"/>
    </row>
    <row r="366" spans="1:53" x14ac:dyDescent="0.25">
      <c r="A366" s="1013"/>
      <c r="B366" s="79" t="s">
        <v>1181</v>
      </c>
      <c r="C366" s="222">
        <f>C361*C364+C362*C365</f>
        <v>202.00625671340509</v>
      </c>
      <c r="D366" s="992"/>
      <c r="E366" s="228"/>
      <c r="F366" s="166"/>
      <c r="G366" s="70"/>
      <c r="H366" s="69"/>
      <c r="I366" s="71"/>
      <c r="J366" s="59"/>
      <c r="K366" s="170"/>
      <c r="L366" s="76"/>
      <c r="M366" s="72"/>
      <c r="N366" s="61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1"/>
      <c r="AB366" s="1"/>
      <c r="AC366" s="1"/>
      <c r="AD366" s="56"/>
      <c r="AF366" s="151"/>
      <c r="AJ366" s="136"/>
      <c r="AX366" s="3"/>
      <c r="AY366" s="3"/>
      <c r="AZ366" s="3"/>
      <c r="BA366" s="3"/>
    </row>
    <row r="367" spans="1:53" x14ac:dyDescent="0.25">
      <c r="A367" s="1014"/>
      <c r="B367" s="123"/>
      <c r="C367" s="225"/>
      <c r="D367" s="993"/>
      <c r="E367" s="228"/>
      <c r="F367" s="166"/>
      <c r="G367" s="70"/>
      <c r="H367" s="69"/>
      <c r="I367" s="71"/>
      <c r="J367" s="59"/>
      <c r="K367" s="170"/>
      <c r="L367" s="61"/>
      <c r="M367" s="72"/>
      <c r="N367" s="61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1"/>
      <c r="AB367" s="1"/>
      <c r="AC367" s="1"/>
      <c r="AD367" s="56"/>
      <c r="AF367" s="151"/>
      <c r="AJ367" s="146"/>
      <c r="AX367" s="3"/>
      <c r="AY367" s="3"/>
      <c r="AZ367" s="3"/>
      <c r="BA367" s="3"/>
    </row>
    <row r="368" spans="1:53" ht="54.75" customHeight="1" x14ac:dyDescent="0.25">
      <c r="A368" s="1012" t="s">
        <v>2278</v>
      </c>
      <c r="B368" s="258"/>
      <c r="C368" s="222"/>
      <c r="D368" s="991"/>
      <c r="E368" s="226" t="s">
        <v>488</v>
      </c>
      <c r="F368" s="53" t="s">
        <v>837</v>
      </c>
      <c r="G368" s="744" t="s">
        <v>489</v>
      </c>
      <c r="H368" s="52" t="s">
        <v>1170</v>
      </c>
      <c r="I368" s="53" t="s">
        <v>838</v>
      </c>
      <c r="J368" s="47" t="s">
        <v>1171</v>
      </c>
      <c r="K368" s="47" t="s">
        <v>490</v>
      </c>
      <c r="L368" s="54" t="s">
        <v>489</v>
      </c>
      <c r="M368" s="47" t="s">
        <v>1172</v>
      </c>
      <c r="N368" s="53" t="s">
        <v>838</v>
      </c>
      <c r="O368" s="47" t="s">
        <v>1171</v>
      </c>
      <c r="P368" s="47" t="s">
        <v>826</v>
      </c>
      <c r="Q368" s="47" t="s">
        <v>1173</v>
      </c>
      <c r="R368" s="47" t="s">
        <v>1174</v>
      </c>
      <c r="S368" s="47" t="s">
        <v>839</v>
      </c>
      <c r="T368" s="47" t="s">
        <v>1171</v>
      </c>
      <c r="U368" s="47" t="s">
        <v>1392</v>
      </c>
      <c r="V368" s="47" t="s">
        <v>841</v>
      </c>
      <c r="W368" s="231" t="s">
        <v>1173</v>
      </c>
      <c r="X368" s="47" t="s">
        <v>1394</v>
      </c>
      <c r="Y368" s="47" t="s">
        <v>839</v>
      </c>
      <c r="Z368" s="55"/>
      <c r="AA368" s="1"/>
      <c r="AB368" s="1"/>
      <c r="AC368" s="245"/>
      <c r="AD368" s="56"/>
      <c r="AQ368" s="139"/>
      <c r="AR368" s="139"/>
      <c r="AS368" s="139"/>
      <c r="AX368" s="3"/>
      <c r="AY368" s="3"/>
      <c r="AZ368" s="3"/>
      <c r="BA368" s="3"/>
    </row>
    <row r="369" spans="1:53" ht="12.75" customHeight="1" x14ac:dyDescent="0.25">
      <c r="A369" s="1013"/>
      <c r="B369" s="36" t="s">
        <v>1175</v>
      </c>
      <c r="C369" s="222">
        <f>C376</f>
        <v>186.07214249851151</v>
      </c>
      <c r="D369" s="991">
        <f>C369*$D$5</f>
        <v>37.586572784699328</v>
      </c>
      <c r="E369" s="227" t="s">
        <v>1176</v>
      </c>
      <c r="F369" s="165"/>
      <c r="G369" s="58"/>
      <c r="H369" s="58"/>
      <c r="I369" s="2">
        <f>SUM(I370:I377)</f>
        <v>19.86</v>
      </c>
      <c r="J369" s="59" t="s">
        <v>1176</v>
      </c>
      <c r="K369" s="169"/>
      <c r="L369" s="60"/>
      <c r="M369" s="60"/>
      <c r="N369" s="399">
        <f>SUM(N370:N377)</f>
        <v>0.31230192673366031</v>
      </c>
      <c r="O369" s="60" t="s">
        <v>1176</v>
      </c>
      <c r="P369" s="60"/>
      <c r="Q369" s="62"/>
      <c r="R369" s="63"/>
      <c r="S369" s="399">
        <f>SUM(S370:S377)</f>
        <v>2.3382691396466528</v>
      </c>
      <c r="T369" s="61"/>
      <c r="U369" s="61"/>
      <c r="V369" s="61"/>
      <c r="W369" s="61"/>
      <c r="X369" s="61"/>
      <c r="Y369" s="399">
        <f>SUM(Y370:Y377)</f>
        <v>33.126065801862111</v>
      </c>
      <c r="Z369" s="64">
        <f>(C369+D369+I369+N369+S369+Y369)*$Z$5</f>
        <v>363.13637952210371</v>
      </c>
      <c r="AA369" s="65">
        <f>C369+D369+I369+N369+S369+Y369+Z369</f>
        <v>642.4317316735569</v>
      </c>
      <c r="AB369" s="66">
        <v>0.25</v>
      </c>
      <c r="AC369" s="244">
        <f>AA369*(1+AB369)</f>
        <v>803.03966459194612</v>
      </c>
      <c r="AD369" s="67"/>
      <c r="AI369" s="139"/>
      <c r="AJ369" s="140"/>
      <c r="AK369" s="141"/>
      <c r="AM369" s="142"/>
      <c r="AN369" s="143"/>
      <c r="AO369" s="142"/>
      <c r="AP369" s="139"/>
      <c r="AQ369" s="139"/>
      <c r="AR369" s="139"/>
      <c r="AS369" s="139"/>
      <c r="AT369" s="139"/>
      <c r="AU369" s="142"/>
      <c r="AV369" s="142"/>
      <c r="AW369" s="144"/>
      <c r="AX369" s="3"/>
      <c r="AY369" s="3"/>
      <c r="AZ369" s="3"/>
      <c r="BA369" s="3"/>
    </row>
    <row r="370" spans="1:53" x14ac:dyDescent="0.25">
      <c r="A370" s="1013"/>
      <c r="B370" s="50" t="s">
        <v>830</v>
      </c>
      <c r="C370" s="222"/>
      <c r="D370" s="992"/>
      <c r="E370" s="68" t="s">
        <v>1437</v>
      </c>
      <c r="F370" s="69" t="s">
        <v>1438</v>
      </c>
      <c r="G370" s="70">
        <v>0.3</v>
      </c>
      <c r="H370" s="69">
        <v>10</v>
      </c>
      <c r="I370" s="71">
        <f>G370*H370</f>
        <v>3</v>
      </c>
      <c r="J370" s="59" t="s">
        <v>1291</v>
      </c>
      <c r="K370" s="72">
        <v>2</v>
      </c>
      <c r="L370" s="73">
        <v>750</v>
      </c>
      <c r="M370" s="72">
        <v>2</v>
      </c>
      <c r="N370" s="399">
        <f>L370/'Исп. коэффициенты'!E34*C374</f>
        <v>0.26922579890832787</v>
      </c>
      <c r="O370" s="60" t="s">
        <v>2114</v>
      </c>
      <c r="P370" s="60">
        <v>2994195.8</v>
      </c>
      <c r="Q370" s="60">
        <v>19.670000000000002</v>
      </c>
      <c r="R370" s="60">
        <v>6513.87</v>
      </c>
      <c r="S370" s="739">
        <f>R370/'Исп. коэффициенты'!E34*+('КМУ УЗИ'!C374)</f>
        <v>2.3382691396466528</v>
      </c>
      <c r="T370" s="239" t="s">
        <v>1435</v>
      </c>
      <c r="U370" s="240">
        <v>6785401.3499999996</v>
      </c>
      <c r="V370" s="740">
        <f>'Исп. коэффициенты'!E124</f>
        <v>2978.5</v>
      </c>
      <c r="W370" s="241">
        <f>'Исп. коэффициенты'!D124</f>
        <v>1.3599999999999999E-2</v>
      </c>
      <c r="X370" s="61">
        <f>U370*W370</f>
        <v>92281.45835999999</v>
      </c>
      <c r="Y370" s="739">
        <f>X370/'Исп. коэффициенты'!E34*'КМУ УЗИ'!C374</f>
        <v>33.126065801862111</v>
      </c>
      <c r="Z370" s="60"/>
      <c r="AA370" s="1"/>
      <c r="AB370" s="1"/>
      <c r="AC370" s="1"/>
      <c r="AD370" s="56"/>
      <c r="AF370" s="151"/>
      <c r="AJ370" s="136"/>
      <c r="AX370" s="3"/>
      <c r="AY370" s="3"/>
      <c r="AZ370" s="3"/>
      <c r="BA370" s="3"/>
    </row>
    <row r="371" spans="1:53" x14ac:dyDescent="0.25">
      <c r="A371" s="1013"/>
      <c r="B371" s="74" t="s">
        <v>1178</v>
      </c>
      <c r="C371" s="223">
        <f>C351</f>
        <v>33.667709452234185</v>
      </c>
      <c r="D371" s="992"/>
      <c r="E371" s="68" t="s">
        <v>2112</v>
      </c>
      <c r="F371" s="69" t="s">
        <v>1</v>
      </c>
      <c r="G371" s="70">
        <v>0.47</v>
      </c>
      <c r="H371" s="69">
        <v>10</v>
      </c>
      <c r="I371" s="242">
        <f>G371*H371</f>
        <v>4.6999999999999993</v>
      </c>
      <c r="J371" s="59" t="s">
        <v>1445</v>
      </c>
      <c r="K371" s="61">
        <v>2</v>
      </c>
      <c r="L371" s="76">
        <v>95</v>
      </c>
      <c r="M371" s="72">
        <v>2</v>
      </c>
      <c r="N371" s="399">
        <f>L371/'Исп. коэффициенты'!E34*C374</f>
        <v>3.4101934528388195E-2</v>
      </c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1"/>
      <c r="AB371" s="1"/>
      <c r="AC371" s="1"/>
      <c r="AD371" s="56"/>
      <c r="AF371" s="151"/>
      <c r="AJ371" s="136"/>
      <c r="AM371" s="145"/>
      <c r="AX371" s="3"/>
      <c r="AY371" s="3"/>
      <c r="AZ371" s="3"/>
      <c r="BA371" s="3"/>
    </row>
    <row r="372" spans="1:53" x14ac:dyDescent="0.25">
      <c r="A372" s="1013"/>
      <c r="B372" s="57" t="s">
        <v>1179</v>
      </c>
      <c r="C372" s="222">
        <f>C352</f>
        <v>19.495759833054819</v>
      </c>
      <c r="D372" s="992"/>
      <c r="E372" s="68" t="s">
        <v>1598</v>
      </c>
      <c r="F372" s="69" t="s">
        <v>1441</v>
      </c>
      <c r="G372" s="70">
        <v>5.36</v>
      </c>
      <c r="H372" s="70">
        <v>1</v>
      </c>
      <c r="I372" s="71">
        <f>G372*H372</f>
        <v>5.36</v>
      </c>
      <c r="J372" s="59" t="s">
        <v>1513</v>
      </c>
      <c r="K372" s="61">
        <v>2</v>
      </c>
      <c r="L372" s="61">
        <v>25</v>
      </c>
      <c r="M372" s="72">
        <v>0.5</v>
      </c>
      <c r="N372" s="399">
        <f>L372/'Исп. коэффициенты'!E34*C374</f>
        <v>8.9741932969442627E-3</v>
      </c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1"/>
      <c r="AB372" s="1"/>
      <c r="AC372" s="1"/>
      <c r="AD372" s="56"/>
      <c r="AF372" s="151"/>
      <c r="AJ372" s="136"/>
      <c r="AX372" s="3"/>
      <c r="AY372" s="3"/>
      <c r="AZ372" s="3"/>
      <c r="BA372" s="3"/>
    </row>
    <row r="373" spans="1:53" x14ac:dyDescent="0.25">
      <c r="A373" s="1013"/>
      <c r="B373" s="57" t="s">
        <v>831</v>
      </c>
      <c r="C373" s="224"/>
      <c r="D373" s="992"/>
      <c r="E373" s="68" t="s">
        <v>2113</v>
      </c>
      <c r="F373" s="69" t="s">
        <v>1</v>
      </c>
      <c r="G373" s="70">
        <v>0.17</v>
      </c>
      <c r="H373" s="69">
        <v>40</v>
      </c>
      <c r="I373" s="71">
        <f>G373*H373</f>
        <v>6.8000000000000007</v>
      </c>
      <c r="J373" s="59"/>
      <c r="K373" s="61"/>
      <c r="L373" s="61"/>
      <c r="M373" s="61"/>
      <c r="N373" s="61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1"/>
      <c r="AB373" s="1"/>
      <c r="AC373" s="1"/>
      <c r="AD373" s="56"/>
      <c r="AF373" s="151"/>
      <c r="AJ373" s="136"/>
      <c r="AX373" s="3"/>
      <c r="AY373" s="3"/>
      <c r="AZ373" s="3"/>
      <c r="BA373" s="3"/>
    </row>
    <row r="374" spans="1:53" x14ac:dyDescent="0.25">
      <c r="A374" s="1013"/>
      <c r="B374" s="74" t="s">
        <v>1178</v>
      </c>
      <c r="C374" s="225">
        <v>3.5</v>
      </c>
      <c r="D374" s="992"/>
      <c r="E374" s="68"/>
      <c r="F374" s="69"/>
      <c r="G374" s="70"/>
      <c r="H374" s="69"/>
      <c r="I374" s="71"/>
      <c r="J374" s="59"/>
      <c r="K374" s="61"/>
      <c r="L374" s="61"/>
      <c r="M374" s="61"/>
      <c r="N374" s="61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1"/>
      <c r="AB374" s="1"/>
      <c r="AC374" s="1"/>
      <c r="AD374" s="56"/>
      <c r="AF374" s="151"/>
      <c r="AJ374" s="146"/>
      <c r="AX374" s="3"/>
      <c r="AY374" s="3"/>
      <c r="AZ374" s="3"/>
      <c r="BA374" s="3"/>
    </row>
    <row r="375" spans="1:53" x14ac:dyDescent="0.25">
      <c r="A375" s="1013"/>
      <c r="B375" s="57" t="s">
        <v>1179</v>
      </c>
      <c r="C375" s="225">
        <v>3.5</v>
      </c>
      <c r="D375" s="992"/>
      <c r="E375" s="68"/>
      <c r="F375" s="69"/>
      <c r="G375" s="70"/>
      <c r="H375" s="69"/>
      <c r="I375" s="71"/>
      <c r="J375" s="59"/>
      <c r="K375" s="61"/>
      <c r="L375" s="61"/>
      <c r="M375" s="61"/>
      <c r="N375" s="61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1"/>
      <c r="AB375" s="1"/>
      <c r="AC375" s="1"/>
      <c r="AD375" s="56"/>
      <c r="AF375" s="151"/>
      <c r="AJ375" s="146"/>
      <c r="AX375" s="3"/>
      <c r="AY375" s="3"/>
      <c r="AZ375" s="3"/>
      <c r="BA375" s="3"/>
    </row>
    <row r="376" spans="1:53" x14ac:dyDescent="0.25">
      <c r="A376" s="1013"/>
      <c r="B376" s="79" t="s">
        <v>1181</v>
      </c>
      <c r="C376" s="222">
        <f>C371*C374+C372*C375</f>
        <v>186.07214249851151</v>
      </c>
      <c r="D376" s="992"/>
      <c r="E376" s="228"/>
      <c r="F376" s="166"/>
      <c r="G376" s="70"/>
      <c r="H376" s="69"/>
      <c r="I376" s="71"/>
      <c r="J376" s="59"/>
      <c r="K376" s="170"/>
      <c r="L376" s="76"/>
      <c r="M376" s="72"/>
      <c r="N376" s="61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1"/>
      <c r="AB376" s="1"/>
      <c r="AC376" s="1"/>
      <c r="AD376" s="56"/>
      <c r="AF376" s="151"/>
      <c r="AJ376" s="136"/>
      <c r="AX376" s="3"/>
      <c r="AY376" s="3"/>
      <c r="AZ376" s="3"/>
      <c r="BA376" s="3"/>
    </row>
    <row r="377" spans="1:53" x14ac:dyDescent="0.25">
      <c r="A377" s="1014"/>
      <c r="B377" s="123"/>
      <c r="C377" s="225"/>
      <c r="D377" s="993"/>
      <c r="E377" s="228"/>
      <c r="F377" s="166"/>
      <c r="G377" s="70"/>
      <c r="H377" s="69"/>
      <c r="I377" s="71"/>
      <c r="J377" s="59"/>
      <c r="K377" s="170"/>
      <c r="L377" s="61"/>
      <c r="M377" s="72"/>
      <c r="N377" s="61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1"/>
      <c r="AB377" s="1"/>
      <c r="AC377" s="1"/>
      <c r="AD377" s="56"/>
      <c r="AF377" s="151"/>
      <c r="AJ377" s="146"/>
      <c r="AX377" s="3"/>
      <c r="AY377" s="3"/>
      <c r="AZ377" s="3"/>
      <c r="BA377" s="3"/>
    </row>
    <row r="378" spans="1:53" ht="54.75" customHeight="1" x14ac:dyDescent="0.25">
      <c r="A378" s="1012" t="s">
        <v>2279</v>
      </c>
      <c r="B378" s="258" t="s">
        <v>2280</v>
      </c>
      <c r="C378" s="222"/>
      <c r="D378" s="991"/>
      <c r="E378" s="226" t="s">
        <v>488</v>
      </c>
      <c r="F378" s="53" t="s">
        <v>837</v>
      </c>
      <c r="G378" s="744" t="s">
        <v>489</v>
      </c>
      <c r="H378" s="52" t="s">
        <v>1170</v>
      </c>
      <c r="I378" s="53" t="s">
        <v>838</v>
      </c>
      <c r="J378" s="47" t="s">
        <v>1171</v>
      </c>
      <c r="K378" s="47" t="s">
        <v>490</v>
      </c>
      <c r="L378" s="54" t="s">
        <v>489</v>
      </c>
      <c r="M378" s="47" t="s">
        <v>1172</v>
      </c>
      <c r="N378" s="53" t="s">
        <v>838</v>
      </c>
      <c r="O378" s="47" t="s">
        <v>1171</v>
      </c>
      <c r="P378" s="47" t="s">
        <v>826</v>
      </c>
      <c r="Q378" s="47" t="s">
        <v>1173</v>
      </c>
      <c r="R378" s="47" t="s">
        <v>1174</v>
      </c>
      <c r="S378" s="47" t="s">
        <v>839</v>
      </c>
      <c r="T378" s="47" t="s">
        <v>1171</v>
      </c>
      <c r="U378" s="47" t="s">
        <v>1392</v>
      </c>
      <c r="V378" s="47" t="s">
        <v>841</v>
      </c>
      <c r="W378" s="231" t="s">
        <v>1173</v>
      </c>
      <c r="X378" s="47" t="s">
        <v>1394</v>
      </c>
      <c r="Y378" s="47" t="s">
        <v>839</v>
      </c>
      <c r="Z378" s="55"/>
      <c r="AA378" s="1"/>
      <c r="AB378" s="1"/>
      <c r="AC378" s="245"/>
      <c r="AD378" s="56"/>
      <c r="AQ378" s="139"/>
      <c r="AR378" s="139"/>
      <c r="AS378" s="139"/>
      <c r="AX378" s="3"/>
      <c r="AY378" s="3"/>
      <c r="AZ378" s="3"/>
      <c r="BA378" s="3"/>
    </row>
    <row r="379" spans="1:53" ht="12.75" customHeight="1" x14ac:dyDescent="0.25">
      <c r="A379" s="1013"/>
      <c r="B379" s="36" t="s">
        <v>1175</v>
      </c>
      <c r="C379" s="222">
        <f>C386</f>
        <v>313.65700549785856</v>
      </c>
      <c r="D379" s="991">
        <f>C379*$D$5</f>
        <v>63.358715110567431</v>
      </c>
      <c r="E379" s="227" t="s">
        <v>1176</v>
      </c>
      <c r="F379" s="165"/>
      <c r="G379" s="58"/>
      <c r="H379" s="58"/>
      <c r="I379" s="2">
        <f>SUM(I380:I387)</f>
        <v>19.86</v>
      </c>
      <c r="J379" s="59" t="s">
        <v>1176</v>
      </c>
      <c r="K379" s="169"/>
      <c r="L379" s="60"/>
      <c r="M379" s="60"/>
      <c r="N379" s="399">
        <f>SUM(N380:N387)</f>
        <v>1.3816591219286685</v>
      </c>
      <c r="O379" s="60" t="s">
        <v>1176</v>
      </c>
      <c r="P379" s="60"/>
      <c r="Q379" s="62"/>
      <c r="R379" s="63"/>
      <c r="S379" s="399">
        <f>SUM(S380:S387)</f>
        <v>4.6765382792933057</v>
      </c>
      <c r="T379" s="61"/>
      <c r="U379" s="61"/>
      <c r="V379" s="61"/>
      <c r="W379" s="61"/>
      <c r="X379" s="61"/>
      <c r="Y379" s="399">
        <f>SUM(Y380:Y387)</f>
        <v>66.252131603724223</v>
      </c>
      <c r="Z379" s="64">
        <f>(C379+D379+I379+N379+S379+Y379)*$Z$5</f>
        <v>610.02992733830786</v>
      </c>
      <c r="AA379" s="65">
        <f>C379+D379+I379+N379+S379+Y379+Z379</f>
        <v>1079.2159769516802</v>
      </c>
      <c r="AB379" s="66">
        <v>0.25</v>
      </c>
      <c r="AC379" s="244">
        <f>AA379*(1+AB379)</f>
        <v>1349.0199711896003</v>
      </c>
      <c r="AD379" s="67"/>
      <c r="AI379" s="139"/>
      <c r="AJ379" s="140"/>
      <c r="AK379" s="141"/>
      <c r="AM379" s="142"/>
      <c r="AN379" s="143"/>
      <c r="AO379" s="142"/>
      <c r="AP379" s="139"/>
      <c r="AQ379" s="139"/>
      <c r="AR379" s="139"/>
      <c r="AS379" s="139"/>
      <c r="AT379" s="139"/>
      <c r="AU379" s="142"/>
      <c r="AV379" s="142"/>
      <c r="AW379" s="144"/>
      <c r="AX379" s="3"/>
      <c r="AY379" s="3"/>
      <c r="AZ379" s="3"/>
      <c r="BA379" s="3"/>
    </row>
    <row r="380" spans="1:53" x14ac:dyDescent="0.25">
      <c r="A380" s="1013"/>
      <c r="B380" s="50" t="s">
        <v>830</v>
      </c>
      <c r="C380" s="222"/>
      <c r="D380" s="992"/>
      <c r="E380" s="68" t="s">
        <v>1437</v>
      </c>
      <c r="F380" s="69" t="s">
        <v>1438</v>
      </c>
      <c r="G380" s="70">
        <v>0.3</v>
      </c>
      <c r="H380" s="69">
        <v>10</v>
      </c>
      <c r="I380" s="71">
        <f>G380*H380</f>
        <v>3</v>
      </c>
      <c r="J380" s="59" t="s">
        <v>1291</v>
      </c>
      <c r="K380" s="72">
        <v>2</v>
      </c>
      <c r="L380" s="73">
        <v>750</v>
      </c>
      <c r="M380" s="72">
        <v>2</v>
      </c>
      <c r="N380" s="399">
        <f>L380/'Исп. коэффициенты'!E34*C384</f>
        <v>0.53845159781665575</v>
      </c>
      <c r="O380" s="60" t="s">
        <v>2114</v>
      </c>
      <c r="P380" s="60">
        <v>2994195.8</v>
      </c>
      <c r="Q380" s="60">
        <v>19.670000000000002</v>
      </c>
      <c r="R380" s="60">
        <v>6513.87</v>
      </c>
      <c r="S380" s="739">
        <f>R380/'Исп. коэффициенты'!E34*+('КМУ УЗИ'!C384)</f>
        <v>4.6765382792933057</v>
      </c>
      <c r="T380" s="239" t="s">
        <v>1435</v>
      </c>
      <c r="U380" s="240">
        <v>6785401.3499999996</v>
      </c>
      <c r="V380" s="740">
        <f>'Исп. коэффициенты'!E124</f>
        <v>2978.5</v>
      </c>
      <c r="W380" s="241">
        <f>'Исп. коэффициенты'!D124</f>
        <v>1.3599999999999999E-2</v>
      </c>
      <c r="X380" s="61">
        <f>U380*W380</f>
        <v>92281.45835999999</v>
      </c>
      <c r="Y380" s="739">
        <f>X380/'Исп. коэффициенты'!E34*'КМУ УЗИ'!C384</f>
        <v>66.252131603724223</v>
      </c>
      <c r="Z380" s="60"/>
      <c r="AA380" s="1"/>
      <c r="AB380" s="1"/>
      <c r="AC380" s="1"/>
      <c r="AD380" s="56"/>
      <c r="AF380" s="151"/>
      <c r="AJ380" s="136"/>
      <c r="AX380" s="3"/>
      <c r="AY380" s="3"/>
      <c r="AZ380" s="3"/>
      <c r="BA380" s="3"/>
    </row>
    <row r="381" spans="1:53" x14ac:dyDescent="0.25">
      <c r="A381" s="1013"/>
      <c r="B381" s="74" t="s">
        <v>1178</v>
      </c>
      <c r="C381" s="223">
        <f>C361</f>
        <v>33.667709452234185</v>
      </c>
      <c r="D381" s="992"/>
      <c r="E381" s="68" t="s">
        <v>2112</v>
      </c>
      <c r="F381" s="69" t="s">
        <v>1</v>
      </c>
      <c r="G381" s="70">
        <v>0.47</v>
      </c>
      <c r="H381" s="69">
        <v>10</v>
      </c>
      <c r="I381" s="242">
        <f>G381*H381</f>
        <v>4.6999999999999993</v>
      </c>
      <c r="J381" s="59" t="s">
        <v>1445</v>
      </c>
      <c r="K381" s="61">
        <v>2</v>
      </c>
      <c r="L381" s="76">
        <v>95</v>
      </c>
      <c r="M381" s="72">
        <v>2</v>
      </c>
      <c r="N381" s="399">
        <f>L381/'Исп. коэффициенты'!E34*C385</f>
        <v>3.8973639461015078E-2</v>
      </c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1"/>
      <c r="AB381" s="1"/>
      <c r="AC381" s="1"/>
      <c r="AD381" s="56"/>
      <c r="AF381" s="151"/>
      <c r="AJ381" s="136"/>
      <c r="AM381" s="145"/>
      <c r="AX381" s="3"/>
      <c r="AY381" s="3"/>
      <c r="AZ381" s="3"/>
      <c r="BA381" s="3"/>
    </row>
    <row r="382" spans="1:53" x14ac:dyDescent="0.25">
      <c r="A382" s="1013"/>
      <c r="B382" s="57" t="s">
        <v>1179</v>
      </c>
      <c r="C382" s="222">
        <f>C362</f>
        <v>19.495759833054819</v>
      </c>
      <c r="D382" s="992"/>
      <c r="E382" s="68" t="s">
        <v>1598</v>
      </c>
      <c r="F382" s="69" t="s">
        <v>1441</v>
      </c>
      <c r="G382" s="70">
        <v>5.36</v>
      </c>
      <c r="H382" s="70">
        <v>1</v>
      </c>
      <c r="I382" s="71">
        <f>G382*H382</f>
        <v>5.36</v>
      </c>
      <c r="J382" s="59" t="s">
        <v>1513</v>
      </c>
      <c r="K382" s="61">
        <v>2</v>
      </c>
      <c r="L382" s="61">
        <v>25</v>
      </c>
      <c r="M382" s="72">
        <v>0.5</v>
      </c>
      <c r="N382" s="399">
        <f>L382/'Исп. коэффициенты'!E34*C386</f>
        <v>0.80423388465099765</v>
      </c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1"/>
      <c r="AB382" s="1"/>
      <c r="AC382" s="1"/>
      <c r="AD382" s="56"/>
      <c r="AF382" s="151"/>
      <c r="AJ382" s="136"/>
      <c r="AX382" s="3"/>
      <c r="AY382" s="3"/>
      <c r="AZ382" s="3"/>
      <c r="BA382" s="3"/>
    </row>
    <row r="383" spans="1:53" x14ac:dyDescent="0.25">
      <c r="A383" s="1013"/>
      <c r="B383" s="57" t="s">
        <v>831</v>
      </c>
      <c r="C383" s="224"/>
      <c r="D383" s="992"/>
      <c r="E383" s="68" t="s">
        <v>2113</v>
      </c>
      <c r="F383" s="69" t="s">
        <v>1</v>
      </c>
      <c r="G383" s="70">
        <v>0.17</v>
      </c>
      <c r="H383" s="69">
        <v>40</v>
      </c>
      <c r="I383" s="71">
        <f>G383*H383</f>
        <v>6.8000000000000007</v>
      </c>
      <c r="J383" s="59"/>
      <c r="K383" s="61"/>
      <c r="L383" s="61"/>
      <c r="M383" s="61"/>
      <c r="N383" s="61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1"/>
      <c r="AB383" s="1"/>
      <c r="AC383" s="1"/>
      <c r="AD383" s="56"/>
      <c r="AF383" s="151"/>
      <c r="AJ383" s="136"/>
      <c r="AX383" s="3"/>
      <c r="AY383" s="3"/>
      <c r="AZ383" s="3"/>
      <c r="BA383" s="3"/>
    </row>
    <row r="384" spans="1:53" x14ac:dyDescent="0.25">
      <c r="A384" s="1013"/>
      <c r="B384" s="74" t="s">
        <v>1178</v>
      </c>
      <c r="C384" s="225">
        <v>7</v>
      </c>
      <c r="D384" s="992"/>
      <c r="E384" s="68"/>
      <c r="F384" s="69"/>
      <c r="G384" s="70"/>
      <c r="H384" s="69"/>
      <c r="I384" s="71"/>
      <c r="J384" s="59"/>
      <c r="K384" s="61"/>
      <c r="L384" s="61"/>
      <c r="M384" s="61"/>
      <c r="N384" s="61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1"/>
      <c r="AB384" s="1"/>
      <c r="AC384" s="1"/>
      <c r="AD384" s="56"/>
      <c r="AF384" s="151"/>
      <c r="AJ384" s="146"/>
      <c r="AX384" s="3"/>
      <c r="AY384" s="3"/>
      <c r="AZ384" s="3"/>
      <c r="BA384" s="3"/>
    </row>
    <row r="385" spans="1:53" x14ac:dyDescent="0.25">
      <c r="A385" s="1013"/>
      <c r="B385" s="57" t="s">
        <v>1179</v>
      </c>
      <c r="C385" s="225">
        <v>4</v>
      </c>
      <c r="D385" s="992"/>
      <c r="E385" s="68"/>
      <c r="F385" s="69"/>
      <c r="G385" s="70"/>
      <c r="H385" s="69"/>
      <c r="I385" s="71"/>
      <c r="J385" s="59"/>
      <c r="K385" s="61"/>
      <c r="L385" s="61"/>
      <c r="M385" s="61"/>
      <c r="N385" s="61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1"/>
      <c r="AB385" s="1"/>
      <c r="AC385" s="1"/>
      <c r="AD385" s="56"/>
      <c r="AF385" s="151"/>
      <c r="AJ385" s="146"/>
      <c r="AX385" s="3"/>
      <c r="AY385" s="3"/>
      <c r="AZ385" s="3"/>
      <c r="BA385" s="3"/>
    </row>
    <row r="386" spans="1:53" x14ac:dyDescent="0.25">
      <c r="A386" s="1013"/>
      <c r="B386" s="79" t="s">
        <v>1181</v>
      </c>
      <c r="C386" s="222">
        <f>C381*C384+C382*C385</f>
        <v>313.65700549785856</v>
      </c>
      <c r="D386" s="992"/>
      <c r="E386" s="228"/>
      <c r="F386" s="166"/>
      <c r="G386" s="70"/>
      <c r="H386" s="69"/>
      <c r="I386" s="71"/>
      <c r="J386" s="59"/>
      <c r="K386" s="170"/>
      <c r="L386" s="76"/>
      <c r="M386" s="72"/>
      <c r="N386" s="61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1"/>
      <c r="AB386" s="1"/>
      <c r="AC386" s="1"/>
      <c r="AD386" s="56"/>
      <c r="AF386" s="151"/>
      <c r="AJ386" s="136"/>
      <c r="AX386" s="3"/>
      <c r="AY386" s="3"/>
      <c r="AZ386" s="3"/>
      <c r="BA386" s="3"/>
    </row>
    <row r="387" spans="1:53" x14ac:dyDescent="0.25">
      <c r="A387" s="1014"/>
      <c r="B387" s="123"/>
      <c r="C387" s="225"/>
      <c r="D387" s="993"/>
      <c r="E387" s="228"/>
      <c r="F387" s="166"/>
      <c r="G387" s="70"/>
      <c r="H387" s="69"/>
      <c r="I387" s="71"/>
      <c r="J387" s="59"/>
      <c r="K387" s="170"/>
      <c r="L387" s="61"/>
      <c r="M387" s="72"/>
      <c r="N387" s="61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1"/>
      <c r="AB387" s="1"/>
      <c r="AC387" s="1"/>
      <c r="AD387" s="56"/>
      <c r="AF387" s="151"/>
      <c r="AJ387" s="146"/>
      <c r="AX387" s="3"/>
      <c r="AY387" s="3"/>
      <c r="AZ387" s="3"/>
      <c r="BA387" s="3"/>
    </row>
  </sheetData>
  <mergeCells count="49">
    <mergeCell ref="AC4:AC5"/>
    <mergeCell ref="A6:AC6"/>
    <mergeCell ref="A7:AC7"/>
    <mergeCell ref="A8:A17"/>
    <mergeCell ref="A1:M1"/>
    <mergeCell ref="B4:C4"/>
    <mergeCell ref="E4:I5"/>
    <mergeCell ref="J4:N5"/>
    <mergeCell ref="O4:S5"/>
    <mergeCell ref="T4:Y5"/>
    <mergeCell ref="A18:A27"/>
    <mergeCell ref="A28:A37"/>
    <mergeCell ref="A38:A47"/>
    <mergeCell ref="AA4:AA5"/>
    <mergeCell ref="AB4:AB5"/>
    <mergeCell ref="A98:A107"/>
    <mergeCell ref="A108:A117"/>
    <mergeCell ref="A118:A127"/>
    <mergeCell ref="A338:A347"/>
    <mergeCell ref="A348:A357"/>
    <mergeCell ref="A238:A247"/>
    <mergeCell ref="A248:A257"/>
    <mergeCell ref="A258:A267"/>
    <mergeCell ref="A268:A277"/>
    <mergeCell ref="A228:A237"/>
    <mergeCell ref="A128:A137"/>
    <mergeCell ref="A138:A147"/>
    <mergeCell ref="A148:A157"/>
    <mergeCell ref="A158:A167"/>
    <mergeCell ref="A328:A337"/>
    <mergeCell ref="A168:A177"/>
    <mergeCell ref="A48:A57"/>
    <mergeCell ref="A58:A67"/>
    <mergeCell ref="A68:A77"/>
    <mergeCell ref="A78:A87"/>
    <mergeCell ref="A88:A97"/>
    <mergeCell ref="A178:A187"/>
    <mergeCell ref="A188:A197"/>
    <mergeCell ref="A198:A207"/>
    <mergeCell ref="A208:A217"/>
    <mergeCell ref="A218:A227"/>
    <mergeCell ref="A358:A367"/>
    <mergeCell ref="A368:A377"/>
    <mergeCell ref="A378:A387"/>
    <mergeCell ref="A278:A287"/>
    <mergeCell ref="A288:A297"/>
    <mergeCell ref="A298:A307"/>
    <mergeCell ref="A308:A317"/>
    <mergeCell ref="A318:A327"/>
  </mergeCells>
  <pageMargins left="0.7" right="0.7" top="0.75" bottom="0.75" header="0.3" footer="0.3"/>
  <pageSetup paperSize="9" orientation="portrait" verticalDpi="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</sheetPr>
  <dimension ref="A1:BA147"/>
  <sheetViews>
    <sheetView topLeftCell="A83" workbookViewId="0">
      <selection activeCell="S91" sqref="S91"/>
    </sheetView>
  </sheetViews>
  <sheetFormatPr defaultColWidth="9.109375" defaultRowHeight="13.2" x14ac:dyDescent="0.25"/>
  <cols>
    <col min="1" max="1" width="7" style="34" customWidth="1"/>
    <col min="2" max="2" width="13.109375" style="36" customWidth="1"/>
    <col min="3" max="3" width="8.109375" style="35" customWidth="1"/>
    <col min="4" max="4" width="7.5546875" style="56" customWidth="1"/>
    <col min="5" max="5" width="15.5546875" style="36" customWidth="1"/>
    <col min="6" max="6" width="4.88671875" style="164" customWidth="1"/>
    <col min="7" max="7" width="6.44140625" style="37" customWidth="1"/>
    <col min="8" max="8" width="5.88671875" style="37" customWidth="1"/>
    <col min="9" max="9" width="6.33203125" style="3" customWidth="1"/>
    <col min="10" max="10" width="10.6640625" style="40" customWidth="1"/>
    <col min="11" max="11" width="4.109375" style="168" customWidth="1"/>
    <col min="12" max="12" width="5.5546875" style="38" customWidth="1"/>
    <col min="13" max="13" width="5" style="38" customWidth="1"/>
    <col min="14" max="14" width="5.6640625" style="38" customWidth="1"/>
    <col min="15" max="15" width="20" style="38" customWidth="1"/>
    <col min="16" max="16" width="9" style="38" customWidth="1"/>
    <col min="17" max="17" width="6" style="38" customWidth="1"/>
    <col min="18" max="18" width="7.109375" style="38" customWidth="1"/>
    <col min="19" max="19" width="8.33203125" style="38" customWidth="1"/>
    <col min="20" max="20" width="16.44140625" style="38" customWidth="1"/>
    <col min="21" max="21" width="10.44140625" style="38" customWidth="1"/>
    <col min="22" max="22" width="10.33203125" style="38" customWidth="1"/>
    <col min="23" max="23" width="6.33203125" style="38" customWidth="1"/>
    <col min="24" max="24" width="7.109375" style="38" customWidth="1"/>
    <col min="25" max="25" width="7.5546875" style="38" customWidth="1"/>
    <col min="26" max="26" width="9.33203125" style="38" customWidth="1"/>
    <col min="27" max="27" width="9.6640625" style="3" hidden="1" customWidth="1"/>
    <col min="28" max="28" width="9.5546875" style="3" hidden="1" customWidth="1"/>
    <col min="29" max="29" width="10.109375" style="3" hidden="1" customWidth="1"/>
    <col min="30" max="30" width="9.109375" style="3"/>
    <col min="31" max="31" width="10.6640625" style="3" customWidth="1"/>
    <col min="32" max="32" width="10.109375" style="81" customWidth="1"/>
    <col min="33" max="33" width="9.109375" style="56"/>
    <col min="34" max="34" width="10.6640625" style="125" customWidth="1"/>
    <col min="35" max="35" width="14.33203125" style="125" customWidth="1"/>
    <col min="36" max="36" width="7.88671875" style="125" customWidth="1"/>
    <col min="37" max="37" width="8.6640625" style="125" customWidth="1"/>
    <col min="38" max="38" width="11.33203125" style="127" customWidth="1"/>
    <col min="39" max="39" width="8" style="125" customWidth="1"/>
    <col min="40" max="40" width="11.109375" style="125" customWidth="1"/>
    <col min="41" max="41" width="8.109375" style="128" customWidth="1"/>
    <col min="42" max="42" width="14" style="125" customWidth="1"/>
    <col min="43" max="43" width="13.88671875" style="125" customWidth="1"/>
    <col min="44" max="44" width="14" style="128" customWidth="1"/>
    <col min="45" max="45" width="15.44140625" style="128" hidden="1" customWidth="1"/>
    <col min="46" max="46" width="11.33203125" style="125" hidden="1" customWidth="1"/>
    <col min="47" max="47" width="12.6640625" style="125" customWidth="1"/>
    <col min="48" max="48" width="13.6640625" style="128" customWidth="1"/>
    <col min="49" max="49" width="6.44140625" style="56" hidden="1" customWidth="1"/>
    <col min="50" max="50" width="9.5546875" style="56" customWidth="1"/>
    <col min="51" max="53" width="9.109375" style="56"/>
    <col min="54" max="16384" width="9.109375" style="3"/>
  </cols>
  <sheetData>
    <row r="1" spans="1:53" ht="22.5" customHeight="1" x14ac:dyDescent="0.3">
      <c r="A1" s="1072" t="s">
        <v>846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AI1" s="126"/>
    </row>
    <row r="2" spans="1:53" ht="12.75" customHeight="1" x14ac:dyDescent="0.25">
      <c r="A2" s="859"/>
      <c r="B2" s="74" t="s">
        <v>1178</v>
      </c>
      <c r="C2" s="436">
        <f>'Заработная плата'!M76</f>
        <v>33.667709452234185</v>
      </c>
    </row>
    <row r="3" spans="1:53" ht="12.75" customHeight="1" x14ac:dyDescent="0.25">
      <c r="B3" s="57" t="s">
        <v>1179</v>
      </c>
      <c r="C3" s="436"/>
    </row>
    <row r="4" spans="1:53" s="44" customFormat="1" ht="59.25" customHeight="1" x14ac:dyDescent="0.25">
      <c r="A4" s="41"/>
      <c r="B4" s="1073" t="s">
        <v>487</v>
      </c>
      <c r="C4" s="1117"/>
      <c r="D4" s="858" t="s">
        <v>491</v>
      </c>
      <c r="E4" s="1074" t="s">
        <v>1164</v>
      </c>
      <c r="F4" s="1075"/>
      <c r="G4" s="1075"/>
      <c r="H4" s="1075"/>
      <c r="I4" s="1064"/>
      <c r="J4" s="1066" t="s">
        <v>1165</v>
      </c>
      <c r="K4" s="1067"/>
      <c r="L4" s="1067"/>
      <c r="M4" s="1067"/>
      <c r="N4" s="1070"/>
      <c r="O4" s="1066" t="s">
        <v>492</v>
      </c>
      <c r="P4" s="1067"/>
      <c r="Q4" s="1067"/>
      <c r="R4" s="1067"/>
      <c r="S4" s="1067"/>
      <c r="T4" s="1066" t="s">
        <v>840</v>
      </c>
      <c r="U4" s="1067"/>
      <c r="V4" s="1067"/>
      <c r="W4" s="1067"/>
      <c r="X4" s="1067"/>
      <c r="Y4" s="1070"/>
      <c r="Z4" s="156" t="s">
        <v>1166</v>
      </c>
      <c r="AA4" s="1064" t="s">
        <v>827</v>
      </c>
      <c r="AB4" s="1062" t="s">
        <v>1167</v>
      </c>
      <c r="AC4" s="1062" t="s">
        <v>1168</v>
      </c>
      <c r="AD4" s="43"/>
      <c r="AF4" s="149"/>
      <c r="AG4" s="152"/>
      <c r="AH4" s="152"/>
      <c r="AI4" s="129"/>
      <c r="AJ4" s="130"/>
      <c r="AK4" s="129"/>
      <c r="AL4" s="131"/>
      <c r="AM4" s="129"/>
      <c r="AN4" s="129"/>
      <c r="AO4" s="132"/>
      <c r="AP4" s="132"/>
      <c r="AQ4" s="132"/>
      <c r="AR4" s="132"/>
      <c r="AS4" s="132"/>
      <c r="AT4" s="132"/>
      <c r="AU4" s="129"/>
      <c r="AV4" s="129"/>
      <c r="AW4" s="133"/>
      <c r="AX4" s="133"/>
      <c r="AY4" s="133"/>
      <c r="AZ4" s="133"/>
      <c r="BA4" s="133"/>
    </row>
    <row r="5" spans="1:53" s="35" customFormat="1" ht="13.5" customHeight="1" x14ac:dyDescent="0.25">
      <c r="A5" s="45"/>
      <c r="B5" s="46" t="s">
        <v>488</v>
      </c>
      <c r="C5" s="229" t="s">
        <v>1169</v>
      </c>
      <c r="D5" s="230">
        <v>0.20200000000000001</v>
      </c>
      <c r="E5" s="1076"/>
      <c r="F5" s="1077"/>
      <c r="G5" s="1077"/>
      <c r="H5" s="1077"/>
      <c r="I5" s="1065"/>
      <c r="J5" s="1068"/>
      <c r="K5" s="1069"/>
      <c r="L5" s="1069"/>
      <c r="M5" s="1069"/>
      <c r="N5" s="1071"/>
      <c r="O5" s="1068"/>
      <c r="P5" s="1069"/>
      <c r="Q5" s="1069"/>
      <c r="R5" s="1069"/>
      <c r="S5" s="1069"/>
      <c r="T5" s="1068"/>
      <c r="U5" s="1069"/>
      <c r="V5" s="1069"/>
      <c r="W5" s="1069"/>
      <c r="X5" s="1069"/>
      <c r="Y5" s="1071"/>
      <c r="Z5" s="157">
        <f>'Исп. коэффициенты'!C91</f>
        <v>1.3001876927947804</v>
      </c>
      <c r="AA5" s="1065"/>
      <c r="AB5" s="1063"/>
      <c r="AC5" s="1063"/>
      <c r="AD5" s="48"/>
      <c r="AE5" s="49"/>
      <c r="AF5" s="150"/>
      <c r="AG5" s="81"/>
      <c r="AH5" s="134"/>
      <c r="AI5" s="135"/>
      <c r="AJ5" s="136"/>
      <c r="AK5" s="134"/>
      <c r="AL5" s="137"/>
      <c r="AM5" s="129"/>
      <c r="AN5" s="129"/>
      <c r="AO5" s="132"/>
      <c r="AP5" s="132"/>
      <c r="AQ5" s="138"/>
      <c r="AR5" s="138"/>
      <c r="AS5" s="138"/>
      <c r="AT5" s="132"/>
      <c r="AU5" s="129"/>
      <c r="AV5" s="130"/>
      <c r="AW5" s="81"/>
      <c r="AX5" s="81"/>
      <c r="AY5" s="81"/>
      <c r="AZ5" s="81"/>
      <c r="BA5" s="81"/>
    </row>
    <row r="6" spans="1:53" s="35" customFormat="1" ht="17.25" customHeight="1" x14ac:dyDescent="0.25">
      <c r="A6" s="1118" t="s">
        <v>1182</v>
      </c>
      <c r="B6" s="1119"/>
      <c r="C6" s="1119"/>
      <c r="D6" s="1119"/>
      <c r="E6" s="1119"/>
      <c r="F6" s="1119"/>
      <c r="G6" s="1119"/>
      <c r="H6" s="1119"/>
      <c r="I6" s="1119"/>
      <c r="J6" s="1119"/>
      <c r="K6" s="1119"/>
      <c r="L6" s="1119"/>
      <c r="M6" s="1119"/>
      <c r="N6" s="1119"/>
      <c r="O6" s="1119"/>
      <c r="P6" s="1119"/>
      <c r="Q6" s="1119"/>
      <c r="R6" s="1119"/>
      <c r="S6" s="1119"/>
      <c r="T6" s="1120"/>
      <c r="U6" s="1120"/>
      <c r="V6" s="1120"/>
      <c r="W6" s="1120"/>
      <c r="X6" s="1120"/>
      <c r="Y6" s="1120"/>
      <c r="Z6" s="1120"/>
      <c r="AA6" s="1119"/>
      <c r="AB6" s="1119"/>
      <c r="AC6" s="1121"/>
      <c r="AD6" s="48"/>
      <c r="AE6" s="49"/>
      <c r="AF6" s="150"/>
      <c r="AG6" s="81"/>
      <c r="AH6" s="134"/>
      <c r="AI6" s="135"/>
      <c r="AJ6" s="136"/>
      <c r="AK6" s="134"/>
      <c r="AL6" s="137"/>
      <c r="AM6" s="129"/>
      <c r="AN6" s="129"/>
      <c r="AO6" s="132"/>
      <c r="AP6" s="132"/>
      <c r="AQ6" s="138"/>
      <c r="AR6" s="138"/>
      <c r="AS6" s="138"/>
      <c r="AT6" s="132"/>
      <c r="AU6" s="129"/>
      <c r="AV6" s="130"/>
      <c r="AW6" s="81"/>
      <c r="AX6" s="81"/>
      <c r="AY6" s="81"/>
      <c r="AZ6" s="81"/>
      <c r="BA6" s="81"/>
    </row>
    <row r="7" spans="1:53" s="35" customFormat="1" ht="22.5" customHeight="1" x14ac:dyDescent="0.25">
      <c r="A7" s="1059"/>
      <c r="B7" s="1060"/>
      <c r="C7" s="1060"/>
      <c r="D7" s="1060"/>
      <c r="E7" s="1060"/>
      <c r="F7" s="1060"/>
      <c r="G7" s="1060"/>
      <c r="H7" s="1060"/>
      <c r="I7" s="1060"/>
      <c r="J7" s="1060"/>
      <c r="K7" s="1060"/>
      <c r="L7" s="1060"/>
      <c r="M7" s="1060"/>
      <c r="N7" s="1060"/>
      <c r="O7" s="1060"/>
      <c r="P7" s="1060"/>
      <c r="Q7" s="1060"/>
      <c r="R7" s="1060"/>
      <c r="S7" s="1060"/>
      <c r="T7" s="1060"/>
      <c r="U7" s="1060"/>
      <c r="V7" s="1060"/>
      <c r="W7" s="1060"/>
      <c r="X7" s="1060"/>
      <c r="Y7" s="1060"/>
      <c r="Z7" s="1060"/>
      <c r="AA7" s="1060"/>
      <c r="AB7" s="1060"/>
      <c r="AC7" s="1061"/>
      <c r="AD7" s="48"/>
      <c r="AE7" s="49"/>
      <c r="AF7" s="150"/>
      <c r="AG7" s="81"/>
      <c r="AH7" s="134"/>
      <c r="AI7" s="135"/>
      <c r="AJ7" s="136"/>
      <c r="AK7" s="134"/>
      <c r="AL7" s="137"/>
      <c r="AM7" s="129"/>
      <c r="AN7" s="129"/>
      <c r="AO7" s="132"/>
      <c r="AP7" s="132"/>
      <c r="AQ7" s="138"/>
      <c r="AR7" s="138"/>
      <c r="AS7" s="138"/>
      <c r="AT7" s="132"/>
      <c r="AU7" s="129"/>
      <c r="AV7" s="130"/>
      <c r="AW7" s="81"/>
      <c r="AX7" s="81"/>
      <c r="AY7" s="81"/>
      <c r="AZ7" s="81"/>
      <c r="BA7" s="81"/>
    </row>
    <row r="8" spans="1:53" ht="56.25" customHeight="1" x14ac:dyDescent="0.25">
      <c r="A8" s="1012" t="s">
        <v>2222</v>
      </c>
      <c r="B8" s="258" t="s">
        <v>2226</v>
      </c>
      <c r="C8" s="222"/>
      <c r="D8" s="860"/>
      <c r="E8" s="226" t="s">
        <v>488</v>
      </c>
      <c r="F8" s="53" t="s">
        <v>837</v>
      </c>
      <c r="G8" s="744" t="s">
        <v>489</v>
      </c>
      <c r="H8" s="52" t="s">
        <v>1170</v>
      </c>
      <c r="I8" s="53" t="s">
        <v>838</v>
      </c>
      <c r="J8" s="47" t="s">
        <v>1171</v>
      </c>
      <c r="K8" s="47" t="s">
        <v>490</v>
      </c>
      <c r="L8" s="54" t="s">
        <v>489</v>
      </c>
      <c r="M8" s="47" t="s">
        <v>1172</v>
      </c>
      <c r="N8" s="53" t="s">
        <v>838</v>
      </c>
      <c r="O8" s="47" t="s">
        <v>1171</v>
      </c>
      <c r="P8" s="47" t="s">
        <v>826</v>
      </c>
      <c r="Q8" s="47" t="s">
        <v>1173</v>
      </c>
      <c r="R8" s="47" t="s">
        <v>1174</v>
      </c>
      <c r="S8" s="47" t="s">
        <v>839</v>
      </c>
      <c r="T8" s="47" t="s">
        <v>1171</v>
      </c>
      <c r="U8" s="47" t="s">
        <v>1392</v>
      </c>
      <c r="V8" s="47" t="s">
        <v>841</v>
      </c>
      <c r="W8" s="231" t="s">
        <v>1173</v>
      </c>
      <c r="X8" s="47" t="s">
        <v>1394</v>
      </c>
      <c r="Y8" s="47" t="s">
        <v>839</v>
      </c>
      <c r="Z8" s="55"/>
      <c r="AA8" s="1"/>
      <c r="AB8" s="1"/>
      <c r="AC8" s="1"/>
      <c r="AD8" s="56"/>
      <c r="AQ8" s="139"/>
      <c r="AR8" s="139"/>
      <c r="AS8" s="139"/>
    </row>
    <row r="9" spans="1:53" ht="12" customHeight="1" x14ac:dyDescent="0.25">
      <c r="A9" s="1013"/>
      <c r="B9" s="36" t="s">
        <v>1175</v>
      </c>
      <c r="C9" s="222">
        <f>C16</f>
        <v>67.335418904468369</v>
      </c>
      <c r="D9" s="860">
        <f>C9*$D$5</f>
        <v>13.601754618702611</v>
      </c>
      <c r="E9" s="227" t="s">
        <v>1176</v>
      </c>
      <c r="F9" s="165"/>
      <c r="G9" s="58"/>
      <c r="H9" s="58"/>
      <c r="I9" s="2">
        <f>SUM(I10:I17)</f>
        <v>13.059999999999999</v>
      </c>
      <c r="J9" s="59" t="s">
        <v>1176</v>
      </c>
      <c r="K9" s="169"/>
      <c r="L9" s="60"/>
      <c r="M9" s="60"/>
      <c r="N9" s="61">
        <f>SUM(N10:N17)</f>
        <v>0.16400086094796795</v>
      </c>
      <c r="O9" s="60" t="s">
        <v>1176</v>
      </c>
      <c r="P9" s="60"/>
      <c r="Q9" s="62"/>
      <c r="R9" s="63"/>
      <c r="S9" s="399">
        <f>SUM(S10:S17)</f>
        <v>0.50427814153922768</v>
      </c>
      <c r="T9" s="61"/>
      <c r="U9" s="61"/>
      <c r="V9" s="61"/>
      <c r="W9" s="61"/>
      <c r="X9" s="61"/>
      <c r="Y9" s="399">
        <f>SUM(Y10:Y17)</f>
        <v>17.395676575372477</v>
      </c>
      <c r="Z9" s="64">
        <f>(C9+D9+I9+N9+S9+Y9)*$Z$5</f>
        <v>145.70050089784706</v>
      </c>
      <c r="AA9" s="65">
        <f>C9+D9+I9+N9+S9+Y9+Z9</f>
        <v>257.76162999887771</v>
      </c>
      <c r="AB9" s="66">
        <v>0.25</v>
      </c>
      <c r="AC9" s="244">
        <f>AA9*(1+AB9)</f>
        <v>322.20203749859712</v>
      </c>
      <c r="AD9" s="67"/>
      <c r="AI9" s="139"/>
      <c r="AJ9" s="140"/>
      <c r="AK9" s="141"/>
      <c r="AM9" s="142"/>
      <c r="AN9" s="143"/>
      <c r="AO9" s="142"/>
      <c r="AP9" s="139"/>
      <c r="AQ9" s="139"/>
      <c r="AR9" s="139"/>
      <c r="AS9" s="139"/>
      <c r="AT9" s="139"/>
      <c r="AU9" s="142"/>
      <c r="AV9" s="142"/>
      <c r="AW9" s="144"/>
    </row>
    <row r="10" spans="1:53" ht="12.75" customHeight="1" x14ac:dyDescent="0.25">
      <c r="A10" s="1013"/>
      <c r="B10" s="50" t="s">
        <v>830</v>
      </c>
      <c r="C10" s="222"/>
      <c r="D10" s="861"/>
      <c r="E10" s="68" t="s">
        <v>1437</v>
      </c>
      <c r="F10" s="69" t="s">
        <v>1438</v>
      </c>
      <c r="G10" s="70">
        <v>0.3</v>
      </c>
      <c r="H10" s="69">
        <v>10</v>
      </c>
      <c r="I10" s="71">
        <f>G10*H10</f>
        <v>3</v>
      </c>
      <c r="J10" s="59" t="s">
        <v>1291</v>
      </c>
      <c r="K10" s="72">
        <v>2</v>
      </c>
      <c r="L10" s="73">
        <v>750</v>
      </c>
      <c r="M10" s="72">
        <v>2</v>
      </c>
      <c r="N10" s="61">
        <f>L10/'Исп. коэффициенты'!E52*C14</f>
        <v>0.14138005254135169</v>
      </c>
      <c r="O10" s="60" t="s">
        <v>2266</v>
      </c>
      <c r="P10" s="60">
        <v>13600</v>
      </c>
      <c r="Q10" s="60">
        <v>19.670000000000002</v>
      </c>
      <c r="R10" s="60">
        <f>P10*Q10%</f>
        <v>2675.1200000000003</v>
      </c>
      <c r="S10" s="739">
        <f>R10/'Исп. коэффициенты'!E52*(C14)</f>
        <v>0.50427814153922768</v>
      </c>
      <c r="T10" s="239" t="s">
        <v>1435</v>
      </c>
      <c r="U10" s="240">
        <v>6785401.3499999996</v>
      </c>
      <c r="V10" s="740">
        <f>'Исп. коэффициенты'!E124</f>
        <v>2978.5</v>
      </c>
      <c r="W10" s="241">
        <f>'Исп. коэффициенты'!D124</f>
        <v>1.3599999999999999E-2</v>
      </c>
      <c r="X10" s="61">
        <f>U10*W10</f>
        <v>92281.45835999999</v>
      </c>
      <c r="Y10" s="739">
        <f>X10/'Исп. коэффициенты'!E52*C14</f>
        <v>17.395676575372477</v>
      </c>
      <c r="Z10" s="60"/>
      <c r="AA10" s="1"/>
      <c r="AB10" s="1"/>
      <c r="AC10" s="245"/>
      <c r="AD10" s="56"/>
      <c r="AF10" s="151"/>
      <c r="AJ10" s="136"/>
    </row>
    <row r="11" spans="1:53" x14ac:dyDescent="0.25">
      <c r="A11" s="1013"/>
      <c r="B11" s="74" t="s">
        <v>1178</v>
      </c>
      <c r="C11" s="223">
        <f>C2</f>
        <v>33.667709452234185</v>
      </c>
      <c r="D11" s="861"/>
      <c r="E11" s="68" t="s">
        <v>2112</v>
      </c>
      <c r="F11" s="69" t="s">
        <v>1</v>
      </c>
      <c r="G11" s="70">
        <v>0.47</v>
      </c>
      <c r="H11" s="69">
        <v>10</v>
      </c>
      <c r="I11" s="242">
        <f>G11*H11</f>
        <v>4.6999999999999993</v>
      </c>
      <c r="J11" s="59" t="s">
        <v>1445</v>
      </c>
      <c r="K11" s="61">
        <v>2</v>
      </c>
      <c r="L11" s="76">
        <v>95</v>
      </c>
      <c r="M11" s="72">
        <v>2</v>
      </c>
      <c r="N11" s="61">
        <f>L11/'Исп. коэффициенты'!E52*C14</f>
        <v>1.7908139988571214E-2</v>
      </c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1"/>
      <c r="AB11" s="1"/>
      <c r="AC11" s="245"/>
      <c r="AD11" s="56"/>
      <c r="AF11" s="151"/>
      <c r="AJ11" s="136"/>
      <c r="AM11" s="145"/>
    </row>
    <row r="12" spans="1:53" ht="12.75" customHeight="1" x14ac:dyDescent="0.25">
      <c r="A12" s="1013"/>
      <c r="B12" s="57" t="s">
        <v>1179</v>
      </c>
      <c r="C12" s="222">
        <f>C3</f>
        <v>0</v>
      </c>
      <c r="D12" s="861"/>
      <c r="E12" s="68" t="s">
        <v>1598</v>
      </c>
      <c r="F12" s="69" t="s">
        <v>1441</v>
      </c>
      <c r="G12" s="70">
        <v>5.36</v>
      </c>
      <c r="H12" s="70">
        <v>1</v>
      </c>
      <c r="I12" s="71">
        <f>G12*H12</f>
        <v>5.36</v>
      </c>
      <c r="J12" s="59" t="s">
        <v>1513</v>
      </c>
      <c r="K12" s="61">
        <v>2</v>
      </c>
      <c r="L12" s="61">
        <v>25</v>
      </c>
      <c r="M12" s="72">
        <v>0.5</v>
      </c>
      <c r="N12" s="61">
        <f>L12/'Исп. коэффициенты'!E52*C14</f>
        <v>4.7126684180450566E-3</v>
      </c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1"/>
      <c r="AB12" s="1"/>
      <c r="AC12" s="245"/>
      <c r="AD12" s="56"/>
      <c r="AF12" s="151"/>
      <c r="AJ12" s="136"/>
    </row>
    <row r="13" spans="1:53" ht="12.75" customHeight="1" x14ac:dyDescent="0.25">
      <c r="A13" s="1013"/>
      <c r="B13" s="57" t="s">
        <v>831</v>
      </c>
      <c r="C13" s="224"/>
      <c r="D13" s="861"/>
      <c r="E13" s="68"/>
      <c r="F13" s="69"/>
      <c r="G13" s="70"/>
      <c r="H13" s="69"/>
      <c r="I13" s="71"/>
      <c r="J13" s="59"/>
      <c r="K13" s="61"/>
      <c r="L13" s="61"/>
      <c r="M13" s="61"/>
      <c r="N13" s="6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1"/>
      <c r="AB13" s="1"/>
      <c r="AC13" s="245"/>
      <c r="AD13" s="56"/>
      <c r="AF13" s="151"/>
      <c r="AJ13" s="136"/>
    </row>
    <row r="14" spans="1:53" ht="12.75" customHeight="1" x14ac:dyDescent="0.25">
      <c r="A14" s="1013"/>
      <c r="B14" s="74" t="s">
        <v>1178</v>
      </c>
      <c r="C14" s="225">
        <v>2</v>
      </c>
      <c r="D14" s="861"/>
      <c r="E14" s="68"/>
      <c r="F14" s="69"/>
      <c r="G14" s="70"/>
      <c r="H14" s="69"/>
      <c r="I14" s="71"/>
      <c r="J14" s="59"/>
      <c r="K14" s="61"/>
      <c r="L14" s="61"/>
      <c r="M14" s="61"/>
      <c r="N14" s="61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1"/>
      <c r="AB14" s="1"/>
      <c r="AC14" s="245"/>
      <c r="AD14" s="56"/>
      <c r="AF14" s="151"/>
      <c r="AJ14" s="146"/>
    </row>
    <row r="15" spans="1:53" ht="12.75" customHeight="1" x14ac:dyDescent="0.25">
      <c r="A15" s="1013"/>
      <c r="B15" s="57" t="s">
        <v>1179</v>
      </c>
      <c r="C15" s="225"/>
      <c r="D15" s="861"/>
      <c r="E15" s="68"/>
      <c r="F15" s="69"/>
      <c r="G15" s="70"/>
      <c r="H15" s="69"/>
      <c r="I15" s="71"/>
      <c r="J15" s="59"/>
      <c r="K15" s="61"/>
      <c r="L15" s="61"/>
      <c r="M15" s="61"/>
      <c r="N15" s="61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1"/>
      <c r="AB15" s="1"/>
      <c r="AC15" s="245"/>
      <c r="AD15" s="56"/>
      <c r="AF15" s="151"/>
      <c r="AJ15" s="146"/>
    </row>
    <row r="16" spans="1:53" ht="12.75" customHeight="1" x14ac:dyDescent="0.25">
      <c r="A16" s="1013"/>
      <c r="B16" s="79" t="s">
        <v>1181</v>
      </c>
      <c r="C16" s="222">
        <f>C11*C14+C12*C15</f>
        <v>67.335418904468369</v>
      </c>
      <c r="D16" s="861"/>
      <c r="E16" s="228"/>
      <c r="F16" s="166"/>
      <c r="G16" s="70"/>
      <c r="H16" s="69"/>
      <c r="I16" s="71"/>
      <c r="J16" s="59"/>
      <c r="K16" s="170"/>
      <c r="L16" s="76"/>
      <c r="M16" s="72"/>
      <c r="N16" s="61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1"/>
      <c r="AB16" s="1"/>
      <c r="AC16" s="245"/>
      <c r="AD16" s="56"/>
      <c r="AF16" s="151"/>
      <c r="AJ16" s="136"/>
    </row>
    <row r="17" spans="1:49" s="3" customFormat="1" x14ac:dyDescent="0.25">
      <c r="A17" s="1014"/>
      <c r="B17" s="123"/>
      <c r="C17" s="225"/>
      <c r="D17" s="862"/>
      <c r="E17" s="228"/>
      <c r="F17" s="166"/>
      <c r="G17" s="70"/>
      <c r="H17" s="69"/>
      <c r="I17" s="71"/>
      <c r="J17" s="59"/>
      <c r="K17" s="170"/>
      <c r="L17" s="61"/>
      <c r="M17" s="72"/>
      <c r="N17" s="61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1"/>
      <c r="AB17" s="1"/>
      <c r="AC17" s="245"/>
      <c r="AD17" s="56"/>
      <c r="AF17" s="151"/>
      <c r="AG17" s="56"/>
      <c r="AH17" s="125"/>
      <c r="AI17" s="125"/>
      <c r="AJ17" s="146"/>
      <c r="AK17" s="125"/>
      <c r="AL17" s="127"/>
      <c r="AM17" s="125"/>
      <c r="AN17" s="125"/>
      <c r="AO17" s="128"/>
      <c r="AP17" s="125"/>
      <c r="AQ17" s="125"/>
      <c r="AR17" s="128"/>
      <c r="AS17" s="128"/>
      <c r="AT17" s="125"/>
      <c r="AU17" s="125"/>
      <c r="AV17" s="128"/>
      <c r="AW17" s="56"/>
    </row>
    <row r="18" spans="1:49" s="3" customFormat="1" ht="56.25" customHeight="1" x14ac:dyDescent="0.25">
      <c r="A18" s="1012" t="s">
        <v>2223</v>
      </c>
      <c r="B18" s="258" t="s">
        <v>2227</v>
      </c>
      <c r="C18" s="222"/>
      <c r="D18" s="860"/>
      <c r="E18" s="226" t="s">
        <v>488</v>
      </c>
      <c r="F18" s="53" t="s">
        <v>837</v>
      </c>
      <c r="G18" s="744" t="s">
        <v>489</v>
      </c>
      <c r="H18" s="52" t="s">
        <v>1170</v>
      </c>
      <c r="I18" s="53" t="s">
        <v>838</v>
      </c>
      <c r="J18" s="47" t="s">
        <v>1171</v>
      </c>
      <c r="K18" s="47" t="s">
        <v>490</v>
      </c>
      <c r="L18" s="54" t="s">
        <v>489</v>
      </c>
      <c r="M18" s="47" t="s">
        <v>1172</v>
      </c>
      <c r="N18" s="53" t="s">
        <v>838</v>
      </c>
      <c r="O18" s="47" t="s">
        <v>1171</v>
      </c>
      <c r="P18" s="47" t="s">
        <v>826</v>
      </c>
      <c r="Q18" s="47" t="s">
        <v>1173</v>
      </c>
      <c r="R18" s="47" t="s">
        <v>1174</v>
      </c>
      <c r="S18" s="47" t="s">
        <v>839</v>
      </c>
      <c r="T18" s="47" t="s">
        <v>1171</v>
      </c>
      <c r="U18" s="47" t="s">
        <v>1392</v>
      </c>
      <c r="V18" s="47" t="s">
        <v>841</v>
      </c>
      <c r="W18" s="231" t="s">
        <v>1173</v>
      </c>
      <c r="X18" s="47" t="s">
        <v>1394</v>
      </c>
      <c r="Y18" s="47" t="s">
        <v>839</v>
      </c>
      <c r="Z18" s="55"/>
      <c r="AA18" s="1"/>
      <c r="AB18" s="1"/>
      <c r="AC18" s="1"/>
      <c r="AD18" s="56"/>
      <c r="AF18" s="81"/>
      <c r="AG18" s="56"/>
      <c r="AH18" s="125"/>
      <c r="AI18" s="125"/>
      <c r="AJ18" s="125"/>
      <c r="AK18" s="125"/>
      <c r="AL18" s="127"/>
      <c r="AM18" s="125"/>
      <c r="AN18" s="125"/>
      <c r="AO18" s="128"/>
      <c r="AP18" s="125"/>
      <c r="AQ18" s="139"/>
      <c r="AR18" s="139"/>
      <c r="AS18" s="139"/>
      <c r="AT18" s="125"/>
      <c r="AU18" s="125"/>
      <c r="AV18" s="128"/>
      <c r="AW18" s="56"/>
    </row>
    <row r="19" spans="1:49" s="3" customFormat="1" x14ac:dyDescent="0.25">
      <c r="A19" s="1013"/>
      <c r="B19" s="36" t="s">
        <v>1175</v>
      </c>
      <c r="C19" s="222">
        <f>C26</f>
        <v>33.667709452234185</v>
      </c>
      <c r="D19" s="860">
        <f>C19*$D$5</f>
        <v>6.8008773093513053</v>
      </c>
      <c r="E19" s="227" t="s">
        <v>1176</v>
      </c>
      <c r="F19" s="165"/>
      <c r="G19" s="58"/>
      <c r="H19" s="58"/>
      <c r="I19" s="2">
        <f>SUM(I20:I27)</f>
        <v>13.059999999999999</v>
      </c>
      <c r="J19" s="59" t="s">
        <v>1176</v>
      </c>
      <c r="K19" s="169"/>
      <c r="L19" s="60"/>
      <c r="M19" s="60"/>
      <c r="N19" s="61">
        <f>SUM(N20:N27)</f>
        <v>9.0954500468269583E-2</v>
      </c>
      <c r="O19" s="60" t="s">
        <v>1176</v>
      </c>
      <c r="P19" s="60"/>
      <c r="Q19" s="62"/>
      <c r="R19" s="63"/>
      <c r="S19" s="399">
        <f>SUM(S20:S27)</f>
        <v>0.25213907076961384</v>
      </c>
      <c r="T19" s="61"/>
      <c r="U19" s="61"/>
      <c r="V19" s="61"/>
      <c r="W19" s="61"/>
      <c r="X19" s="61"/>
      <c r="Y19" s="399">
        <f>SUM(Y20:Y27)</f>
        <v>8.6978382876862383</v>
      </c>
      <c r="Z19" s="64">
        <f>(C19+D19+I19+N19+S19+Y19)*$Z$5</f>
        <v>81.352118054480442</v>
      </c>
      <c r="AA19" s="65">
        <f>C19+D19+I19+N19+S19+Y19+Z19</f>
        <v>143.92163667499005</v>
      </c>
      <c r="AB19" s="66">
        <v>0.25</v>
      </c>
      <c r="AC19" s="244">
        <f>AA19*(1+AB19)</f>
        <v>179.90204584373757</v>
      </c>
      <c r="AD19" s="67"/>
      <c r="AF19" s="81"/>
      <c r="AG19" s="56"/>
      <c r="AH19" s="125"/>
      <c r="AI19" s="139"/>
      <c r="AJ19" s="140"/>
      <c r="AK19" s="141"/>
      <c r="AL19" s="127"/>
      <c r="AM19" s="142"/>
      <c r="AN19" s="143"/>
      <c r="AO19" s="142"/>
      <c r="AP19" s="139"/>
      <c r="AQ19" s="139"/>
      <c r="AR19" s="139"/>
      <c r="AS19" s="139"/>
      <c r="AT19" s="139"/>
      <c r="AU19" s="142"/>
      <c r="AV19" s="142"/>
      <c r="AW19" s="144"/>
    </row>
    <row r="20" spans="1:49" s="3" customFormat="1" x14ac:dyDescent="0.25">
      <c r="A20" s="1013"/>
      <c r="B20" s="50" t="s">
        <v>830</v>
      </c>
      <c r="C20" s="222"/>
      <c r="D20" s="861"/>
      <c r="E20" s="68" t="s">
        <v>1437</v>
      </c>
      <c r="F20" s="69" t="s">
        <v>1438</v>
      </c>
      <c r="G20" s="70">
        <v>0.3</v>
      </c>
      <c r="H20" s="69">
        <v>10</v>
      </c>
      <c r="I20" s="71">
        <f>G20*H20</f>
        <v>3</v>
      </c>
      <c r="J20" s="59" t="s">
        <v>1291</v>
      </c>
      <c r="K20" s="72">
        <v>2</v>
      </c>
      <c r="L20" s="73">
        <v>750</v>
      </c>
      <c r="M20" s="72">
        <v>2</v>
      </c>
      <c r="N20" s="61">
        <f>L20/'Исп. коэффициенты'!E52*C24</f>
        <v>7.0690026270675846E-2</v>
      </c>
      <c r="O20" s="60" t="s">
        <v>2266</v>
      </c>
      <c r="P20" s="60">
        <v>13600</v>
      </c>
      <c r="Q20" s="60">
        <v>19.670000000000002</v>
      </c>
      <c r="R20" s="60">
        <f>P20*Q20%</f>
        <v>2675.1200000000003</v>
      </c>
      <c r="S20" s="739">
        <f>R20/'Исп. коэффициенты'!E52*(C24)</f>
        <v>0.25213907076961384</v>
      </c>
      <c r="T20" s="239" t="s">
        <v>1435</v>
      </c>
      <c r="U20" s="240">
        <v>6785401.3499999996</v>
      </c>
      <c r="V20" s="740">
        <f>'Исп. коэффициенты'!E124</f>
        <v>2978.5</v>
      </c>
      <c r="W20" s="241">
        <f>'Исп. коэффициенты'!D124</f>
        <v>1.3599999999999999E-2</v>
      </c>
      <c r="X20" s="61">
        <f>U20*W20</f>
        <v>92281.45835999999</v>
      </c>
      <c r="Y20" s="739">
        <f>X20/'Исп. коэффициенты'!E52*C24</f>
        <v>8.6978382876862383</v>
      </c>
      <c r="Z20" s="60"/>
      <c r="AA20" s="1"/>
      <c r="AB20" s="1"/>
      <c r="AC20" s="245"/>
      <c r="AD20" s="56"/>
      <c r="AF20" s="151"/>
      <c r="AG20" s="56"/>
      <c r="AH20" s="125"/>
      <c r="AI20" s="125"/>
      <c r="AJ20" s="136"/>
      <c r="AK20" s="125"/>
      <c r="AL20" s="127"/>
      <c r="AM20" s="125"/>
      <c r="AN20" s="125"/>
      <c r="AO20" s="128"/>
      <c r="AP20" s="125"/>
      <c r="AQ20" s="125"/>
      <c r="AR20" s="128"/>
      <c r="AS20" s="128"/>
      <c r="AT20" s="125"/>
      <c r="AU20" s="125"/>
      <c r="AV20" s="128"/>
      <c r="AW20" s="56"/>
    </row>
    <row r="21" spans="1:49" s="3" customFormat="1" x14ac:dyDescent="0.25">
      <c r="A21" s="1013"/>
      <c r="B21" s="74" t="s">
        <v>1178</v>
      </c>
      <c r="C21" s="223">
        <f>C2</f>
        <v>33.667709452234185</v>
      </c>
      <c r="D21" s="861"/>
      <c r="E21" s="68" t="s">
        <v>2112</v>
      </c>
      <c r="F21" s="69" t="s">
        <v>1</v>
      </c>
      <c r="G21" s="70">
        <v>0.47</v>
      </c>
      <c r="H21" s="69">
        <v>10</v>
      </c>
      <c r="I21" s="242">
        <f>G21*H21</f>
        <v>4.6999999999999993</v>
      </c>
      <c r="J21" s="59" t="s">
        <v>1445</v>
      </c>
      <c r="K21" s="61">
        <v>2</v>
      </c>
      <c r="L21" s="76">
        <v>95</v>
      </c>
      <c r="M21" s="72">
        <v>2</v>
      </c>
      <c r="N21" s="61">
        <f>L21/'Исп. коэффициенты'!E52*'КМУ УЗИ'!C24</f>
        <v>1.7908139988571214E-2</v>
      </c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1"/>
      <c r="AB21" s="1"/>
      <c r="AC21" s="245"/>
      <c r="AD21" s="56"/>
      <c r="AF21" s="151"/>
      <c r="AG21" s="56"/>
      <c r="AH21" s="125"/>
      <c r="AI21" s="125"/>
      <c r="AJ21" s="136"/>
      <c r="AK21" s="125"/>
      <c r="AL21" s="127"/>
      <c r="AM21" s="145"/>
      <c r="AN21" s="125"/>
      <c r="AO21" s="128"/>
      <c r="AP21" s="125"/>
      <c r="AQ21" s="125"/>
      <c r="AR21" s="128"/>
      <c r="AS21" s="128"/>
      <c r="AT21" s="125"/>
      <c r="AU21" s="125"/>
      <c r="AV21" s="128"/>
      <c r="AW21" s="56"/>
    </row>
    <row r="22" spans="1:49" s="3" customFormat="1" x14ac:dyDescent="0.25">
      <c r="A22" s="1013"/>
      <c r="B22" s="57" t="s">
        <v>1179</v>
      </c>
      <c r="C22" s="222">
        <f>C3</f>
        <v>0</v>
      </c>
      <c r="D22" s="861"/>
      <c r="E22" s="68" t="s">
        <v>1598</v>
      </c>
      <c r="F22" s="69" t="s">
        <v>1441</v>
      </c>
      <c r="G22" s="70">
        <v>5.36</v>
      </c>
      <c r="H22" s="70">
        <v>1</v>
      </c>
      <c r="I22" s="71">
        <f>G22*H22</f>
        <v>5.36</v>
      </c>
      <c r="J22" s="59" t="s">
        <v>1513</v>
      </c>
      <c r="K22" s="61">
        <v>2</v>
      </c>
      <c r="L22" s="61">
        <v>25</v>
      </c>
      <c r="M22" s="72">
        <v>0.5</v>
      </c>
      <c r="N22" s="61">
        <f>L22/'Исп. коэффициенты'!E52*C24</f>
        <v>2.3563342090225283E-3</v>
      </c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1"/>
      <c r="AB22" s="1"/>
      <c r="AC22" s="245"/>
      <c r="AD22" s="56"/>
      <c r="AF22" s="151"/>
      <c r="AG22" s="56"/>
      <c r="AH22" s="125"/>
      <c r="AI22" s="125"/>
      <c r="AJ22" s="136"/>
      <c r="AK22" s="125"/>
      <c r="AL22" s="127"/>
      <c r="AM22" s="125"/>
      <c r="AN22" s="125"/>
      <c r="AO22" s="128"/>
      <c r="AP22" s="125"/>
      <c r="AQ22" s="125"/>
      <c r="AR22" s="128"/>
      <c r="AS22" s="128"/>
      <c r="AT22" s="125"/>
      <c r="AU22" s="125"/>
      <c r="AV22" s="128"/>
      <c r="AW22" s="56"/>
    </row>
    <row r="23" spans="1:49" s="3" customFormat="1" x14ac:dyDescent="0.25">
      <c r="A23" s="1013"/>
      <c r="B23" s="57" t="s">
        <v>831</v>
      </c>
      <c r="C23" s="224"/>
      <c r="D23" s="861"/>
      <c r="E23" s="68"/>
      <c r="F23" s="69"/>
      <c r="G23" s="70"/>
      <c r="H23" s="69"/>
      <c r="I23" s="71"/>
      <c r="J23" s="59"/>
      <c r="K23" s="61"/>
      <c r="L23" s="61"/>
      <c r="M23" s="61"/>
      <c r="N23" s="61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1"/>
      <c r="AB23" s="1"/>
      <c r="AC23" s="245"/>
      <c r="AD23" s="56"/>
      <c r="AF23" s="151"/>
      <c r="AG23" s="56"/>
      <c r="AH23" s="125"/>
      <c r="AI23" s="125"/>
      <c r="AJ23" s="136"/>
      <c r="AK23" s="125"/>
      <c r="AL23" s="127"/>
      <c r="AM23" s="125"/>
      <c r="AN23" s="125"/>
      <c r="AO23" s="128"/>
      <c r="AP23" s="125"/>
      <c r="AQ23" s="125"/>
      <c r="AR23" s="128"/>
      <c r="AS23" s="128"/>
      <c r="AT23" s="125"/>
      <c r="AU23" s="125"/>
      <c r="AV23" s="128"/>
      <c r="AW23" s="56"/>
    </row>
    <row r="24" spans="1:49" s="3" customFormat="1" x14ac:dyDescent="0.25">
      <c r="A24" s="1013"/>
      <c r="B24" s="74" t="s">
        <v>1178</v>
      </c>
      <c r="C24" s="225">
        <v>1</v>
      </c>
      <c r="D24" s="861"/>
      <c r="E24" s="68"/>
      <c r="F24" s="69"/>
      <c r="G24" s="70"/>
      <c r="H24" s="69"/>
      <c r="I24" s="71"/>
      <c r="J24" s="59"/>
      <c r="K24" s="61"/>
      <c r="L24" s="61"/>
      <c r="M24" s="61"/>
      <c r="N24" s="61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1"/>
      <c r="AB24" s="1"/>
      <c r="AC24" s="245"/>
      <c r="AD24" s="56"/>
      <c r="AF24" s="151"/>
      <c r="AG24" s="56"/>
      <c r="AH24" s="125"/>
      <c r="AI24" s="125"/>
      <c r="AJ24" s="146"/>
      <c r="AK24" s="125"/>
      <c r="AL24" s="127"/>
      <c r="AM24" s="125"/>
      <c r="AN24" s="125"/>
      <c r="AO24" s="128"/>
      <c r="AP24" s="125"/>
      <c r="AQ24" s="125"/>
      <c r="AR24" s="128"/>
      <c r="AS24" s="128"/>
      <c r="AT24" s="125"/>
      <c r="AU24" s="125"/>
      <c r="AV24" s="128"/>
      <c r="AW24" s="56"/>
    </row>
    <row r="25" spans="1:49" s="3" customFormat="1" x14ac:dyDescent="0.25">
      <c r="A25" s="1013"/>
      <c r="B25" s="57" t="s">
        <v>1179</v>
      </c>
      <c r="C25" s="225">
        <v>0</v>
      </c>
      <c r="D25" s="861"/>
      <c r="E25" s="68"/>
      <c r="F25" s="69"/>
      <c r="G25" s="70"/>
      <c r="H25" s="69"/>
      <c r="I25" s="71"/>
      <c r="J25" s="59"/>
      <c r="K25" s="61"/>
      <c r="L25" s="61"/>
      <c r="M25" s="61"/>
      <c r="N25" s="61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1"/>
      <c r="AB25" s="1"/>
      <c r="AC25" s="245"/>
      <c r="AD25" s="56"/>
      <c r="AF25" s="151"/>
      <c r="AG25" s="56"/>
      <c r="AH25" s="125"/>
      <c r="AI25" s="125"/>
      <c r="AJ25" s="146"/>
      <c r="AK25" s="125"/>
      <c r="AL25" s="127"/>
      <c r="AM25" s="125"/>
      <c r="AN25" s="125"/>
      <c r="AO25" s="128"/>
      <c r="AP25" s="125"/>
      <c r="AQ25" s="125"/>
      <c r="AR25" s="128"/>
      <c r="AS25" s="128"/>
      <c r="AT25" s="125"/>
      <c r="AU25" s="125"/>
      <c r="AV25" s="128"/>
      <c r="AW25" s="56"/>
    </row>
    <row r="26" spans="1:49" s="3" customFormat="1" x14ac:dyDescent="0.25">
      <c r="A26" s="1013"/>
      <c r="B26" s="79" t="s">
        <v>1181</v>
      </c>
      <c r="C26" s="222">
        <f>C21*C24+C22*C25</f>
        <v>33.667709452234185</v>
      </c>
      <c r="D26" s="861"/>
      <c r="E26" s="228"/>
      <c r="F26" s="166"/>
      <c r="G26" s="70"/>
      <c r="H26" s="69"/>
      <c r="I26" s="71"/>
      <c r="J26" s="59"/>
      <c r="K26" s="170"/>
      <c r="L26" s="76"/>
      <c r="M26" s="72"/>
      <c r="N26" s="61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1"/>
      <c r="AB26" s="1"/>
      <c r="AC26" s="245"/>
      <c r="AD26" s="56"/>
      <c r="AF26" s="151"/>
      <c r="AG26" s="56"/>
      <c r="AH26" s="125"/>
      <c r="AI26" s="125"/>
      <c r="AJ26" s="136"/>
      <c r="AK26" s="125"/>
      <c r="AL26" s="127"/>
      <c r="AM26" s="125"/>
      <c r="AN26" s="125"/>
      <c r="AO26" s="128"/>
      <c r="AP26" s="125"/>
      <c r="AQ26" s="125"/>
      <c r="AR26" s="128"/>
      <c r="AS26" s="128"/>
      <c r="AT26" s="125"/>
      <c r="AU26" s="125"/>
      <c r="AV26" s="128"/>
      <c r="AW26" s="56"/>
    </row>
    <row r="27" spans="1:49" s="3" customFormat="1" x14ac:dyDescent="0.25">
      <c r="A27" s="1014"/>
      <c r="B27" s="123"/>
      <c r="C27" s="225"/>
      <c r="D27" s="862"/>
      <c r="E27" s="228"/>
      <c r="F27" s="166"/>
      <c r="G27" s="70"/>
      <c r="H27" s="69"/>
      <c r="I27" s="71"/>
      <c r="J27" s="59"/>
      <c r="K27" s="170"/>
      <c r="L27" s="61"/>
      <c r="M27" s="72"/>
      <c r="N27" s="61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1"/>
      <c r="AB27" s="1"/>
      <c r="AC27" s="245"/>
      <c r="AD27" s="56"/>
      <c r="AF27" s="151"/>
      <c r="AG27" s="56"/>
      <c r="AH27" s="125"/>
      <c r="AI27" s="125"/>
      <c r="AJ27" s="146"/>
      <c r="AK27" s="125"/>
      <c r="AL27" s="127"/>
      <c r="AM27" s="125"/>
      <c r="AN27" s="125"/>
      <c r="AO27" s="128"/>
      <c r="AP27" s="125"/>
      <c r="AQ27" s="125"/>
      <c r="AR27" s="128"/>
      <c r="AS27" s="128"/>
      <c r="AT27" s="125"/>
      <c r="AU27" s="125"/>
      <c r="AV27" s="128"/>
      <c r="AW27" s="56"/>
    </row>
    <row r="28" spans="1:49" s="3" customFormat="1" ht="40.799999999999997" x14ac:dyDescent="0.25">
      <c r="A28" s="1012" t="s">
        <v>2224</v>
      </c>
      <c r="B28" s="258" t="s">
        <v>2230</v>
      </c>
      <c r="C28" s="222"/>
      <c r="D28" s="860"/>
      <c r="E28" s="226" t="s">
        <v>488</v>
      </c>
      <c r="F28" s="53" t="s">
        <v>837</v>
      </c>
      <c r="G28" s="744" t="s">
        <v>489</v>
      </c>
      <c r="H28" s="52" t="s">
        <v>1170</v>
      </c>
      <c r="I28" s="53" t="s">
        <v>838</v>
      </c>
      <c r="J28" s="47" t="s">
        <v>1171</v>
      </c>
      <c r="K28" s="47" t="s">
        <v>490</v>
      </c>
      <c r="L28" s="54" t="s">
        <v>489</v>
      </c>
      <c r="M28" s="47" t="s">
        <v>1172</v>
      </c>
      <c r="N28" s="53" t="s">
        <v>838</v>
      </c>
      <c r="O28" s="47" t="s">
        <v>1171</v>
      </c>
      <c r="P28" s="47" t="s">
        <v>826</v>
      </c>
      <c r="Q28" s="47" t="s">
        <v>1173</v>
      </c>
      <c r="R28" s="47" t="s">
        <v>1174</v>
      </c>
      <c r="S28" s="47" t="s">
        <v>839</v>
      </c>
      <c r="T28" s="47" t="s">
        <v>1171</v>
      </c>
      <c r="U28" s="47" t="s">
        <v>1392</v>
      </c>
      <c r="V28" s="47" t="s">
        <v>841</v>
      </c>
      <c r="W28" s="231" t="s">
        <v>1173</v>
      </c>
      <c r="X28" s="47" t="s">
        <v>1394</v>
      </c>
      <c r="Y28" s="47" t="s">
        <v>839</v>
      </c>
      <c r="Z28" s="55"/>
      <c r="AA28" s="1"/>
      <c r="AB28" s="1"/>
      <c r="AC28" s="245"/>
      <c r="AD28" s="56"/>
      <c r="AF28" s="81"/>
      <c r="AG28" s="56"/>
      <c r="AH28" s="125"/>
      <c r="AI28" s="125"/>
      <c r="AJ28" s="125"/>
      <c r="AK28" s="125"/>
      <c r="AL28" s="127"/>
      <c r="AM28" s="125"/>
      <c r="AN28" s="125"/>
      <c r="AO28" s="128"/>
      <c r="AP28" s="125"/>
      <c r="AQ28" s="139"/>
      <c r="AR28" s="139"/>
      <c r="AS28" s="139"/>
      <c r="AT28" s="125"/>
      <c r="AU28" s="125"/>
      <c r="AV28" s="128"/>
      <c r="AW28" s="56"/>
    </row>
    <row r="29" spans="1:49" s="3" customFormat="1" x14ac:dyDescent="0.25">
      <c r="A29" s="1013"/>
      <c r="B29" s="36" t="s">
        <v>1175</v>
      </c>
      <c r="C29" s="222">
        <f>C36</f>
        <v>84.169273630585465</v>
      </c>
      <c r="D29" s="860">
        <f>C29*$D$5</f>
        <v>17.002193273378264</v>
      </c>
      <c r="E29" s="227" t="s">
        <v>1176</v>
      </c>
      <c r="F29" s="165"/>
      <c r="G29" s="58"/>
      <c r="H29" s="58"/>
      <c r="I29" s="2">
        <f>SUM(I30:I37)</f>
        <v>13.059999999999999</v>
      </c>
      <c r="J29" s="59" t="s">
        <v>1176</v>
      </c>
      <c r="K29" s="169"/>
      <c r="L29" s="60"/>
      <c r="M29" s="60"/>
      <c r="N29" s="61">
        <f>SUM(N30:N37)</f>
        <v>0.40411131684736357</v>
      </c>
      <c r="O29" s="60" t="s">
        <v>1176</v>
      </c>
      <c r="P29" s="60"/>
      <c r="Q29" s="62"/>
      <c r="R29" s="63"/>
      <c r="S29" s="399">
        <f>SUM(S30:S37)</f>
        <v>11.483405763276783</v>
      </c>
      <c r="T29" s="61"/>
      <c r="U29" s="61"/>
      <c r="V29" s="61"/>
      <c r="W29" s="61"/>
      <c r="X29" s="61"/>
      <c r="Y29" s="399">
        <f>SUM(Y30:Y37)</f>
        <v>21.744595719215596</v>
      </c>
      <c r="Z29" s="64">
        <f>(C29+D29+I29+N29+S29+Y29)*$Z$5</f>
        <v>192.25040654281526</v>
      </c>
      <c r="AA29" s="65">
        <f>C29+D29+I29+N29+S29+Y29+Z29</f>
        <v>340.11398624611871</v>
      </c>
      <c r="AB29" s="66">
        <v>0.25</v>
      </c>
      <c r="AC29" s="244">
        <f>AA29*(1+AB29)</f>
        <v>425.14248280764838</v>
      </c>
      <c r="AD29" s="67"/>
      <c r="AF29" s="81"/>
      <c r="AG29" s="56"/>
      <c r="AH29" s="125"/>
      <c r="AI29" s="139"/>
      <c r="AJ29" s="140"/>
      <c r="AK29" s="141"/>
      <c r="AL29" s="127"/>
      <c r="AM29" s="142"/>
      <c r="AN29" s="143"/>
      <c r="AO29" s="142"/>
      <c r="AP29" s="139"/>
      <c r="AQ29" s="139"/>
      <c r="AR29" s="139"/>
      <c r="AS29" s="139"/>
      <c r="AT29" s="139"/>
      <c r="AU29" s="142"/>
      <c r="AV29" s="142"/>
      <c r="AW29" s="144"/>
    </row>
    <row r="30" spans="1:49" s="3" customFormat="1" x14ac:dyDescent="0.25">
      <c r="A30" s="1013"/>
      <c r="B30" s="50" t="s">
        <v>830</v>
      </c>
      <c r="C30" s="222"/>
      <c r="D30" s="861"/>
      <c r="E30" s="68" t="s">
        <v>1437</v>
      </c>
      <c r="F30" s="69" t="s">
        <v>1438</v>
      </c>
      <c r="G30" s="70">
        <v>0.3</v>
      </c>
      <c r="H30" s="69">
        <v>10</v>
      </c>
      <c r="I30" s="71">
        <f>G30*H30</f>
        <v>3</v>
      </c>
      <c r="J30" s="59" t="s">
        <v>1291</v>
      </c>
      <c r="K30" s="72">
        <v>2</v>
      </c>
      <c r="L30" s="73">
        <v>750</v>
      </c>
      <c r="M30" s="72">
        <v>2</v>
      </c>
      <c r="N30" s="61">
        <f>L30*2/'Исп. коэффициенты'!E52*C34</f>
        <v>0.35345013135337922</v>
      </c>
      <c r="O30" s="60" t="s">
        <v>2265</v>
      </c>
      <c r="P30" s="60">
        <v>59280</v>
      </c>
      <c r="Q30" s="60">
        <v>19.670000000000002</v>
      </c>
      <c r="R30" s="60">
        <f t="shared" ref="R30:R36" si="0">P30*Q30%</f>
        <v>11660.376</v>
      </c>
      <c r="S30" s="739">
        <f>R30/'Исп. коэффициенты'!E52*C34</f>
        <v>2.7475742858865271</v>
      </c>
      <c r="T30" s="239" t="s">
        <v>1435</v>
      </c>
      <c r="U30" s="240">
        <v>6785401.3499999996</v>
      </c>
      <c r="V30" s="740">
        <f>'Исп. коэффициенты'!E124</f>
        <v>2978.5</v>
      </c>
      <c r="W30" s="241">
        <f>'Исп. коэффициенты'!D124</f>
        <v>1.3599999999999999E-2</v>
      </c>
      <c r="X30" s="61">
        <f>U30*W30</f>
        <v>92281.45835999999</v>
      </c>
      <c r="Y30" s="739">
        <f>X30/'Исп. коэффициенты'!E52*C34</f>
        <v>21.744595719215596</v>
      </c>
      <c r="Z30" s="60"/>
      <c r="AA30" s="1"/>
      <c r="AB30" s="1"/>
      <c r="AC30" s="1"/>
      <c r="AD30" s="56"/>
      <c r="AF30" s="151"/>
      <c r="AG30" s="56"/>
      <c r="AH30" s="125"/>
      <c r="AI30" s="125"/>
      <c r="AJ30" s="136"/>
      <c r="AK30" s="125"/>
      <c r="AL30" s="127"/>
      <c r="AM30" s="125"/>
      <c r="AN30" s="125"/>
      <c r="AO30" s="128"/>
      <c r="AP30" s="125"/>
      <c r="AQ30" s="125"/>
      <c r="AR30" s="128"/>
      <c r="AS30" s="128"/>
      <c r="AT30" s="125"/>
      <c r="AU30" s="125"/>
      <c r="AV30" s="128"/>
      <c r="AW30" s="56"/>
    </row>
    <row r="31" spans="1:49" s="3" customFormat="1" x14ac:dyDescent="0.25">
      <c r="A31" s="1013"/>
      <c r="B31" s="74" t="s">
        <v>1178</v>
      </c>
      <c r="C31" s="223">
        <f>C11</f>
        <v>33.667709452234185</v>
      </c>
      <c r="D31" s="861"/>
      <c r="E31" s="68" t="s">
        <v>2112</v>
      </c>
      <c r="F31" s="69" t="s">
        <v>1</v>
      </c>
      <c r="G31" s="70">
        <v>0.47</v>
      </c>
      <c r="H31" s="69">
        <v>10</v>
      </c>
      <c r="I31" s="242">
        <f>G31*H31</f>
        <v>4.6999999999999993</v>
      </c>
      <c r="J31" s="59" t="s">
        <v>1445</v>
      </c>
      <c r="K31" s="61">
        <v>2</v>
      </c>
      <c r="L31" s="76">
        <v>95</v>
      </c>
      <c r="M31" s="72">
        <v>2</v>
      </c>
      <c r="N31" s="61">
        <f>L31*M31/'Исп. коэффициенты'!E52*C34</f>
        <v>4.4770349971428036E-2</v>
      </c>
      <c r="O31" s="60" t="s">
        <v>2267</v>
      </c>
      <c r="P31" s="60">
        <v>1504</v>
      </c>
      <c r="Q31" s="60">
        <v>19.670000000000002</v>
      </c>
      <c r="R31" s="60">
        <f t="shared" si="0"/>
        <v>295.83680000000004</v>
      </c>
      <c r="S31" s="739">
        <f>R31/'Исп. коэффициенты'!E52*C34</f>
        <v>6.9709037212775604E-2</v>
      </c>
      <c r="T31" s="60"/>
      <c r="U31" s="60"/>
      <c r="V31" s="60"/>
      <c r="W31" s="60"/>
      <c r="X31" s="60"/>
      <c r="Y31" s="60"/>
      <c r="Z31" s="60"/>
      <c r="AA31" s="1"/>
      <c r="AB31" s="1"/>
      <c r="AC31" s="1"/>
      <c r="AD31" s="56"/>
      <c r="AF31" s="151"/>
      <c r="AG31" s="56"/>
      <c r="AH31" s="125"/>
      <c r="AI31" s="125"/>
      <c r="AJ31" s="136"/>
      <c r="AK31" s="125"/>
      <c r="AL31" s="127"/>
      <c r="AM31" s="145"/>
      <c r="AN31" s="125"/>
      <c r="AO31" s="128"/>
      <c r="AP31" s="125"/>
      <c r="AQ31" s="125"/>
      <c r="AR31" s="128"/>
      <c r="AS31" s="128"/>
      <c r="AT31" s="125"/>
      <c r="AU31" s="125"/>
      <c r="AV31" s="128"/>
      <c r="AW31" s="56"/>
    </row>
    <row r="32" spans="1:49" s="3" customFormat="1" x14ac:dyDescent="0.25">
      <c r="A32" s="1013"/>
      <c r="B32" s="57" t="s">
        <v>1179</v>
      </c>
      <c r="C32" s="222">
        <f>C12</f>
        <v>0</v>
      </c>
      <c r="D32" s="861"/>
      <c r="E32" s="68" t="s">
        <v>1598</v>
      </c>
      <c r="F32" s="69" t="s">
        <v>1441</v>
      </c>
      <c r="G32" s="70">
        <v>5.36</v>
      </c>
      <c r="H32" s="70">
        <v>1</v>
      </c>
      <c r="I32" s="71">
        <f>G32*H32</f>
        <v>5.36</v>
      </c>
      <c r="J32" s="59" t="s">
        <v>1513</v>
      </c>
      <c r="K32" s="61">
        <v>2</v>
      </c>
      <c r="L32" s="61">
        <v>25</v>
      </c>
      <c r="M32" s="72">
        <v>0.5</v>
      </c>
      <c r="N32" s="61">
        <f>L32/'Исп. коэффициенты'!E52*C34</f>
        <v>5.8908355225563208E-3</v>
      </c>
      <c r="O32" s="60" t="s">
        <v>2268</v>
      </c>
      <c r="P32" s="60">
        <v>2880</v>
      </c>
      <c r="Q32" s="60">
        <v>100</v>
      </c>
      <c r="R32" s="60">
        <f t="shared" si="0"/>
        <v>2880</v>
      </c>
      <c r="S32" s="739">
        <f>R32/'Исп. коэффициенты'!E52*C34</f>
        <v>0.6786242521984881</v>
      </c>
      <c r="T32" s="60"/>
      <c r="U32" s="60"/>
      <c r="V32" s="60"/>
      <c r="W32" s="60"/>
      <c r="X32" s="60"/>
      <c r="Y32" s="60"/>
      <c r="Z32" s="60"/>
      <c r="AA32" s="1"/>
      <c r="AB32" s="1"/>
      <c r="AC32" s="1"/>
      <c r="AD32" s="56"/>
      <c r="AF32" s="151"/>
      <c r="AG32" s="56"/>
      <c r="AH32" s="125"/>
      <c r="AI32" s="125"/>
      <c r="AJ32" s="136"/>
      <c r="AK32" s="125"/>
      <c r="AL32" s="127"/>
      <c r="AM32" s="125"/>
      <c r="AN32" s="125"/>
      <c r="AO32" s="128"/>
      <c r="AP32" s="125"/>
      <c r="AQ32" s="125"/>
      <c r="AR32" s="128"/>
      <c r="AS32" s="128"/>
      <c r="AT32" s="125"/>
      <c r="AU32" s="125"/>
      <c r="AV32" s="128"/>
      <c r="AW32" s="56"/>
    </row>
    <row r="33" spans="1:53" x14ac:dyDescent="0.25">
      <c r="A33" s="1013"/>
      <c r="B33" s="57" t="s">
        <v>831</v>
      </c>
      <c r="C33" s="224"/>
      <c r="D33" s="861"/>
      <c r="E33" s="68"/>
      <c r="F33" s="69"/>
      <c r="G33" s="70"/>
      <c r="H33" s="69"/>
      <c r="I33" s="71"/>
      <c r="J33" s="59"/>
      <c r="K33" s="61"/>
      <c r="L33" s="61"/>
      <c r="M33" s="61"/>
      <c r="N33" s="61"/>
      <c r="O33" s="60" t="s">
        <v>2269</v>
      </c>
      <c r="P33" s="60">
        <v>885.6</v>
      </c>
      <c r="Q33" s="60">
        <v>100</v>
      </c>
      <c r="R33" s="60">
        <f t="shared" si="0"/>
        <v>885.6</v>
      </c>
      <c r="S33" s="739">
        <f>R33/'Исп. коэффициенты'!E52*C34</f>
        <v>0.2086769575510351</v>
      </c>
      <c r="T33" s="60"/>
      <c r="U33" s="60"/>
      <c r="V33" s="60"/>
      <c r="W33" s="60"/>
      <c r="X33" s="60"/>
      <c r="Y33" s="60"/>
      <c r="Z33" s="60"/>
      <c r="AA33" s="1"/>
      <c r="AB33" s="1"/>
      <c r="AC33" s="1"/>
      <c r="AD33" s="56"/>
      <c r="AF33" s="151"/>
      <c r="AJ33" s="136"/>
      <c r="AX33" s="3"/>
      <c r="AY33" s="3"/>
      <c r="AZ33" s="3"/>
      <c r="BA33" s="3"/>
    </row>
    <row r="34" spans="1:53" x14ac:dyDescent="0.25">
      <c r="A34" s="1013"/>
      <c r="B34" s="74" t="s">
        <v>1178</v>
      </c>
      <c r="C34" s="225">
        <v>2.5</v>
      </c>
      <c r="D34" s="861"/>
      <c r="E34" s="68"/>
      <c r="F34" s="69"/>
      <c r="G34" s="70"/>
      <c r="H34" s="69"/>
      <c r="I34" s="71"/>
      <c r="J34" s="59"/>
      <c r="K34" s="61"/>
      <c r="L34" s="61"/>
      <c r="M34" s="61"/>
      <c r="N34" s="61"/>
      <c r="O34" s="60" t="s">
        <v>2270</v>
      </c>
      <c r="P34" s="60">
        <v>1360</v>
      </c>
      <c r="Q34" s="60">
        <v>100</v>
      </c>
      <c r="R34" s="60">
        <f t="shared" si="0"/>
        <v>1360</v>
      </c>
      <c r="S34" s="739">
        <f>R34/'Исп. коэффициенты'!E52*C34</f>
        <v>0.32046145242706381</v>
      </c>
      <c r="T34" s="60"/>
      <c r="U34" s="60"/>
      <c r="V34" s="60"/>
      <c r="W34" s="60"/>
      <c r="X34" s="60"/>
      <c r="Y34" s="60"/>
      <c r="Z34" s="60"/>
      <c r="AA34" s="1"/>
      <c r="AB34" s="1"/>
      <c r="AC34" s="1"/>
      <c r="AD34" s="56"/>
      <c r="AF34" s="151"/>
      <c r="AJ34" s="146"/>
      <c r="AX34" s="3"/>
      <c r="AY34" s="3"/>
      <c r="AZ34" s="3"/>
      <c r="BA34" s="3"/>
    </row>
    <row r="35" spans="1:53" x14ac:dyDescent="0.25">
      <c r="A35" s="1013"/>
      <c r="B35" s="57" t="s">
        <v>1179</v>
      </c>
      <c r="C35" s="225">
        <v>0</v>
      </c>
      <c r="D35" s="861"/>
      <c r="E35" s="68"/>
      <c r="F35" s="69"/>
      <c r="G35" s="70"/>
      <c r="H35" s="69"/>
      <c r="I35" s="71"/>
      <c r="J35" s="59"/>
      <c r="K35" s="61"/>
      <c r="L35" s="61"/>
      <c r="M35" s="61"/>
      <c r="N35" s="61"/>
      <c r="O35" s="60" t="s">
        <v>2271</v>
      </c>
      <c r="P35" s="60">
        <v>1814</v>
      </c>
      <c r="Q35" s="60">
        <v>100</v>
      </c>
      <c r="R35" s="60">
        <f t="shared" si="0"/>
        <v>1814</v>
      </c>
      <c r="S35" s="739">
        <f>R35/'Исп. коэффициенты'!E52*C34</f>
        <v>0.42743902551668661</v>
      </c>
      <c r="T35" s="60"/>
      <c r="U35" s="60"/>
      <c r="V35" s="60"/>
      <c r="W35" s="60"/>
      <c r="X35" s="60"/>
      <c r="Y35" s="60"/>
      <c r="Z35" s="60"/>
      <c r="AA35" s="1"/>
      <c r="AB35" s="1"/>
      <c r="AC35" s="1"/>
      <c r="AD35" s="56"/>
      <c r="AF35" s="151"/>
      <c r="AJ35" s="146"/>
      <c r="AX35" s="3"/>
      <c r="AY35" s="3"/>
      <c r="AZ35" s="3"/>
      <c r="BA35" s="3"/>
    </row>
    <row r="36" spans="1:53" x14ac:dyDescent="0.25">
      <c r="A36" s="1013"/>
      <c r="B36" s="79" t="s">
        <v>1181</v>
      </c>
      <c r="C36" s="222">
        <f>C31*C34+C32*C35</f>
        <v>84.169273630585465</v>
      </c>
      <c r="D36" s="861"/>
      <c r="E36" s="228"/>
      <c r="F36" s="166"/>
      <c r="G36" s="70"/>
      <c r="H36" s="69"/>
      <c r="I36" s="71"/>
      <c r="J36" s="59"/>
      <c r="K36" s="170"/>
      <c r="L36" s="76"/>
      <c r="M36" s="72"/>
      <c r="N36" s="61"/>
      <c r="O36" s="60" t="s">
        <v>2272</v>
      </c>
      <c r="P36" s="60">
        <v>980</v>
      </c>
      <c r="Q36" s="60">
        <v>100</v>
      </c>
      <c r="R36" s="60">
        <f t="shared" si="0"/>
        <v>980</v>
      </c>
      <c r="S36" s="739">
        <f>R36/'Исп. коэффициенты'!E52*C34</f>
        <v>0.23092075248420776</v>
      </c>
      <c r="T36" s="60"/>
      <c r="U36" s="60"/>
      <c r="V36" s="60"/>
      <c r="W36" s="60"/>
      <c r="X36" s="60"/>
      <c r="Y36" s="60"/>
      <c r="Z36" s="60"/>
      <c r="AA36" s="1"/>
      <c r="AB36" s="1"/>
      <c r="AC36" s="1"/>
      <c r="AD36" s="56"/>
      <c r="AF36" s="151"/>
      <c r="AJ36" s="136"/>
      <c r="AX36" s="3"/>
      <c r="AY36" s="3"/>
      <c r="AZ36" s="3"/>
      <c r="BA36" s="3"/>
    </row>
    <row r="37" spans="1:53" x14ac:dyDescent="0.25">
      <c r="A37" s="1014"/>
      <c r="B37" s="123"/>
      <c r="C37" s="225"/>
      <c r="D37" s="862"/>
      <c r="E37" s="228"/>
      <c r="F37" s="166"/>
      <c r="G37" s="70"/>
      <c r="H37" s="69"/>
      <c r="I37" s="71"/>
      <c r="J37" s="59"/>
      <c r="K37" s="170"/>
      <c r="L37" s="61"/>
      <c r="M37" s="72"/>
      <c r="N37" s="61"/>
      <c r="O37" s="60" t="s">
        <v>2273</v>
      </c>
      <c r="P37" s="60"/>
      <c r="Q37" s="60"/>
      <c r="R37" s="60"/>
      <c r="S37" s="60">
        <v>6.8</v>
      </c>
      <c r="T37" s="60"/>
      <c r="U37" s="60"/>
      <c r="V37" s="60"/>
      <c r="W37" s="60"/>
      <c r="X37" s="60"/>
      <c r="Y37" s="60"/>
      <c r="Z37" s="60"/>
      <c r="AA37" s="1"/>
      <c r="AB37" s="1"/>
      <c r="AC37" s="1"/>
      <c r="AD37" s="56"/>
      <c r="AF37" s="151"/>
      <c r="AJ37" s="146"/>
      <c r="AX37" s="3"/>
      <c r="AY37" s="3"/>
      <c r="AZ37" s="3"/>
      <c r="BA37" s="3"/>
    </row>
    <row r="38" spans="1:53" ht="40.799999999999997" x14ac:dyDescent="0.25">
      <c r="A38" s="1012" t="s">
        <v>2231</v>
      </c>
      <c r="B38" s="258" t="s">
        <v>2232</v>
      </c>
      <c r="C38" s="222"/>
      <c r="D38" s="860"/>
      <c r="E38" s="226" t="s">
        <v>488</v>
      </c>
      <c r="F38" s="53" t="s">
        <v>837</v>
      </c>
      <c r="G38" s="744" t="s">
        <v>489</v>
      </c>
      <c r="H38" s="52" t="s">
        <v>1170</v>
      </c>
      <c r="I38" s="53" t="s">
        <v>838</v>
      </c>
      <c r="J38" s="47" t="s">
        <v>1171</v>
      </c>
      <c r="K38" s="47" t="s">
        <v>490</v>
      </c>
      <c r="L38" s="54" t="s">
        <v>489</v>
      </c>
      <c r="M38" s="47" t="s">
        <v>1172</v>
      </c>
      <c r="N38" s="53" t="s">
        <v>838</v>
      </c>
      <c r="O38" s="47" t="s">
        <v>1171</v>
      </c>
      <c r="P38" s="47" t="s">
        <v>826</v>
      </c>
      <c r="Q38" s="47" t="s">
        <v>1173</v>
      </c>
      <c r="R38" s="47" t="s">
        <v>1174</v>
      </c>
      <c r="S38" s="47" t="s">
        <v>839</v>
      </c>
      <c r="T38" s="47" t="s">
        <v>1171</v>
      </c>
      <c r="U38" s="47" t="s">
        <v>1392</v>
      </c>
      <c r="V38" s="47" t="s">
        <v>841</v>
      </c>
      <c r="W38" s="231" t="s">
        <v>1173</v>
      </c>
      <c r="X38" s="47" t="s">
        <v>1394</v>
      </c>
      <c r="Y38" s="47" t="s">
        <v>839</v>
      </c>
      <c r="Z38" s="55"/>
      <c r="AA38" s="1"/>
      <c r="AB38" s="1"/>
      <c r="AC38" s="245"/>
      <c r="AD38" s="56"/>
      <c r="AQ38" s="139"/>
      <c r="AR38" s="139"/>
      <c r="AS38" s="139"/>
      <c r="AX38" s="3"/>
      <c r="AY38" s="3"/>
      <c r="AZ38" s="3"/>
      <c r="BA38" s="3"/>
    </row>
    <row r="39" spans="1:53" x14ac:dyDescent="0.25">
      <c r="A39" s="1013"/>
      <c r="B39" s="36" t="s">
        <v>1175</v>
      </c>
      <c r="C39" s="222">
        <f>C46</f>
        <v>67.335418904468369</v>
      </c>
      <c r="D39" s="860">
        <f>C39*$D$5</f>
        <v>13.601754618702611</v>
      </c>
      <c r="E39" s="227" t="s">
        <v>1176</v>
      </c>
      <c r="F39" s="165"/>
      <c r="G39" s="58"/>
      <c r="H39" s="58"/>
      <c r="I39" s="2">
        <f>SUM(I40:I47)</f>
        <v>13.059999999999999</v>
      </c>
      <c r="J39" s="59" t="s">
        <v>1176</v>
      </c>
      <c r="K39" s="169"/>
      <c r="L39" s="60"/>
      <c r="M39" s="60"/>
      <c r="N39" s="61">
        <f>SUM(N40:N47)</f>
        <v>0.16400086094796795</v>
      </c>
      <c r="O39" s="60" t="s">
        <v>1176</v>
      </c>
      <c r="P39" s="60"/>
      <c r="Q39" s="62"/>
      <c r="R39" s="63"/>
      <c r="S39" s="399">
        <f>SUM(S40:S47)</f>
        <v>2.0042306911257022</v>
      </c>
      <c r="T39" s="61"/>
      <c r="U39" s="61"/>
      <c r="V39" s="61"/>
      <c r="W39" s="61"/>
      <c r="X39" s="61"/>
      <c r="Y39" s="399">
        <f>SUM(Y40:Y47)</f>
        <v>17.395676575372477</v>
      </c>
      <c r="Z39" s="64">
        <f>(C39+D39+I39+N39+S39+Y39)*$Z$5</f>
        <v>147.65072074259555</v>
      </c>
      <c r="AA39" s="65">
        <f>C39+D39+I39+N39+S39+Y39+Z39</f>
        <v>261.21180239321268</v>
      </c>
      <c r="AB39" s="66">
        <v>0.25</v>
      </c>
      <c r="AC39" s="244">
        <f>AA39*(1+AB39)</f>
        <v>326.51475299151582</v>
      </c>
      <c r="AD39" s="67"/>
      <c r="AI39" s="139"/>
      <c r="AJ39" s="140"/>
      <c r="AK39" s="141"/>
      <c r="AM39" s="142"/>
      <c r="AN39" s="143"/>
      <c r="AO39" s="142"/>
      <c r="AP39" s="139"/>
      <c r="AQ39" s="139"/>
      <c r="AR39" s="139"/>
      <c r="AS39" s="139"/>
      <c r="AT39" s="139"/>
      <c r="AU39" s="142"/>
      <c r="AV39" s="142"/>
      <c r="AW39" s="144"/>
      <c r="AX39" s="3"/>
      <c r="AY39" s="3"/>
      <c r="AZ39" s="3"/>
      <c r="BA39" s="3"/>
    </row>
    <row r="40" spans="1:53" x14ac:dyDescent="0.25">
      <c r="A40" s="1013"/>
      <c r="B40" s="50" t="s">
        <v>830</v>
      </c>
      <c r="C40" s="222"/>
      <c r="D40" s="861"/>
      <c r="E40" s="68" t="s">
        <v>1437</v>
      </c>
      <c r="F40" s="69" t="s">
        <v>1438</v>
      </c>
      <c r="G40" s="70">
        <v>0.3</v>
      </c>
      <c r="H40" s="69">
        <v>10</v>
      </c>
      <c r="I40" s="71">
        <f>G40*H40</f>
        <v>3</v>
      </c>
      <c r="J40" s="59" t="s">
        <v>1291</v>
      </c>
      <c r="K40" s="72">
        <v>2</v>
      </c>
      <c r="L40" s="73">
        <v>750</v>
      </c>
      <c r="M40" s="72">
        <v>2</v>
      </c>
      <c r="N40" s="61">
        <f>L40/'Исп. коэффициенты'!E52*C44</f>
        <v>0.14138005254135169</v>
      </c>
      <c r="O40" s="60"/>
      <c r="P40" s="60"/>
      <c r="Q40" s="60">
        <v>19.670000000000002</v>
      </c>
      <c r="R40" s="60">
        <v>6513.87</v>
      </c>
      <c r="S40" s="739">
        <f>R40/'Исп. коэффициенты'!E34*+('КМУ УЗИ'!C44)</f>
        <v>2.0042306911257022</v>
      </c>
      <c r="T40" s="239" t="s">
        <v>1435</v>
      </c>
      <c r="U40" s="240">
        <v>6785401.3499999996</v>
      </c>
      <c r="V40" s="740">
        <f>'Исп. коэффициенты'!E124</f>
        <v>2978.5</v>
      </c>
      <c r="W40" s="241">
        <f>'Исп. коэффициенты'!D124</f>
        <v>1.3599999999999999E-2</v>
      </c>
      <c r="X40" s="61">
        <f>U40*W40</f>
        <v>92281.45835999999</v>
      </c>
      <c r="Y40" s="739">
        <f>X40/'Исп. коэффициенты'!E52*C44</f>
        <v>17.395676575372477</v>
      </c>
      <c r="Z40" s="60"/>
      <c r="AA40" s="1"/>
      <c r="AB40" s="1"/>
      <c r="AC40" s="1"/>
      <c r="AD40" s="56"/>
      <c r="AF40" s="151"/>
      <c r="AJ40" s="136"/>
      <c r="AX40" s="3"/>
      <c r="AY40" s="3"/>
      <c r="AZ40" s="3"/>
      <c r="BA40" s="3"/>
    </row>
    <row r="41" spans="1:53" x14ac:dyDescent="0.25">
      <c r="A41" s="1013"/>
      <c r="B41" s="74" t="s">
        <v>1178</v>
      </c>
      <c r="C41" s="223">
        <f>C21</f>
        <v>33.667709452234185</v>
      </c>
      <c r="D41" s="861"/>
      <c r="E41" s="68" t="s">
        <v>2112</v>
      </c>
      <c r="F41" s="69" t="s">
        <v>1</v>
      </c>
      <c r="G41" s="70">
        <v>0.47</v>
      </c>
      <c r="H41" s="69">
        <v>10</v>
      </c>
      <c r="I41" s="242">
        <f>G41*H41</f>
        <v>4.6999999999999993</v>
      </c>
      <c r="J41" s="59" t="s">
        <v>1445</v>
      </c>
      <c r="K41" s="61">
        <v>2</v>
      </c>
      <c r="L41" s="76">
        <v>95</v>
      </c>
      <c r="M41" s="72">
        <v>2</v>
      </c>
      <c r="N41" s="61">
        <f>L41/'Исп. коэффициенты'!E52*C44</f>
        <v>1.7908139988571214E-2</v>
      </c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1"/>
      <c r="AB41" s="1"/>
      <c r="AC41" s="1"/>
      <c r="AD41" s="56"/>
      <c r="AF41" s="151"/>
      <c r="AJ41" s="136"/>
      <c r="AM41" s="145"/>
      <c r="AX41" s="3"/>
      <c r="AY41" s="3"/>
      <c r="AZ41" s="3"/>
      <c r="BA41" s="3"/>
    </row>
    <row r="42" spans="1:53" x14ac:dyDescent="0.25">
      <c r="A42" s="1013"/>
      <c r="B42" s="57" t="s">
        <v>1179</v>
      </c>
      <c r="C42" s="222">
        <f>C22</f>
        <v>0</v>
      </c>
      <c r="D42" s="861"/>
      <c r="E42" s="68" t="s">
        <v>1598</v>
      </c>
      <c r="F42" s="69" t="s">
        <v>1441</v>
      </c>
      <c r="G42" s="70">
        <v>5.36</v>
      </c>
      <c r="H42" s="70">
        <v>1</v>
      </c>
      <c r="I42" s="71">
        <f>G42*H42</f>
        <v>5.36</v>
      </c>
      <c r="J42" s="59" t="s">
        <v>1513</v>
      </c>
      <c r="K42" s="61">
        <v>2</v>
      </c>
      <c r="L42" s="61">
        <v>25</v>
      </c>
      <c r="M42" s="72">
        <v>0.5</v>
      </c>
      <c r="N42" s="61">
        <f>L42/'Исп. коэффициенты'!E52*C44</f>
        <v>4.7126684180450566E-3</v>
      </c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1"/>
      <c r="AB42" s="1"/>
      <c r="AC42" s="1"/>
      <c r="AD42" s="56"/>
      <c r="AF42" s="151"/>
      <c r="AJ42" s="136"/>
      <c r="AX42" s="3"/>
      <c r="AY42" s="3"/>
      <c r="AZ42" s="3"/>
      <c r="BA42" s="3"/>
    </row>
    <row r="43" spans="1:53" x14ac:dyDescent="0.25">
      <c r="A43" s="1013"/>
      <c r="B43" s="57" t="s">
        <v>831</v>
      </c>
      <c r="C43" s="224"/>
      <c r="D43" s="861"/>
      <c r="E43" s="68"/>
      <c r="F43" s="69"/>
      <c r="G43" s="70"/>
      <c r="H43" s="69"/>
      <c r="I43" s="71"/>
      <c r="J43" s="59"/>
      <c r="K43" s="61"/>
      <c r="L43" s="61"/>
      <c r="M43" s="61"/>
      <c r="N43" s="61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1"/>
      <c r="AB43" s="1"/>
      <c r="AC43" s="1"/>
      <c r="AD43" s="56"/>
      <c r="AF43" s="151"/>
      <c r="AJ43" s="136"/>
      <c r="AX43" s="3"/>
      <c r="AY43" s="3"/>
      <c r="AZ43" s="3"/>
      <c r="BA43" s="3"/>
    </row>
    <row r="44" spans="1:53" x14ac:dyDescent="0.25">
      <c r="A44" s="1013"/>
      <c r="B44" s="74" t="s">
        <v>1178</v>
      </c>
      <c r="C44" s="225">
        <v>2</v>
      </c>
      <c r="D44" s="861"/>
      <c r="E44" s="68"/>
      <c r="F44" s="69"/>
      <c r="G44" s="70"/>
      <c r="H44" s="69"/>
      <c r="I44" s="71"/>
      <c r="J44" s="59"/>
      <c r="K44" s="61"/>
      <c r="L44" s="61"/>
      <c r="M44" s="61"/>
      <c r="N44" s="61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1"/>
      <c r="AB44" s="1"/>
      <c r="AC44" s="1"/>
      <c r="AD44" s="56"/>
      <c r="AF44" s="151"/>
      <c r="AJ44" s="146"/>
      <c r="AX44" s="3"/>
      <c r="AY44" s="3"/>
      <c r="AZ44" s="3"/>
      <c r="BA44" s="3"/>
    </row>
    <row r="45" spans="1:53" x14ac:dyDescent="0.25">
      <c r="A45" s="1013"/>
      <c r="B45" s="57" t="s">
        <v>1179</v>
      </c>
      <c r="C45" s="225">
        <v>0</v>
      </c>
      <c r="D45" s="861"/>
      <c r="E45" s="68"/>
      <c r="F45" s="69"/>
      <c r="G45" s="70"/>
      <c r="H45" s="69"/>
      <c r="I45" s="71"/>
      <c r="J45" s="59"/>
      <c r="K45" s="61"/>
      <c r="L45" s="61"/>
      <c r="M45" s="61"/>
      <c r="N45" s="61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1"/>
      <c r="AB45" s="1"/>
      <c r="AC45" s="1"/>
      <c r="AD45" s="56"/>
      <c r="AF45" s="151"/>
      <c r="AJ45" s="146"/>
      <c r="AX45" s="3"/>
      <c r="AY45" s="3"/>
      <c r="AZ45" s="3"/>
      <c r="BA45" s="3"/>
    </row>
    <row r="46" spans="1:53" x14ac:dyDescent="0.25">
      <c r="A46" s="1013"/>
      <c r="B46" s="79" t="s">
        <v>1181</v>
      </c>
      <c r="C46" s="222">
        <f>C41*C44+C42*C45</f>
        <v>67.335418904468369</v>
      </c>
      <c r="D46" s="861"/>
      <c r="E46" s="228"/>
      <c r="F46" s="166"/>
      <c r="G46" s="70"/>
      <c r="H46" s="69"/>
      <c r="I46" s="71"/>
      <c r="J46" s="59"/>
      <c r="K46" s="170"/>
      <c r="L46" s="76"/>
      <c r="M46" s="72"/>
      <c r="N46" s="61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1"/>
      <c r="AB46" s="1"/>
      <c r="AC46" s="1"/>
      <c r="AD46" s="56"/>
      <c r="AF46" s="151"/>
      <c r="AJ46" s="136"/>
      <c r="AX46" s="3"/>
      <c r="AY46" s="3"/>
      <c r="AZ46" s="3"/>
      <c r="BA46" s="3"/>
    </row>
    <row r="47" spans="1:53" x14ac:dyDescent="0.25">
      <c r="A47" s="1014"/>
      <c r="B47" s="123"/>
      <c r="C47" s="225"/>
      <c r="D47" s="862"/>
      <c r="E47" s="228"/>
      <c r="F47" s="166"/>
      <c r="G47" s="70"/>
      <c r="H47" s="69"/>
      <c r="I47" s="71"/>
      <c r="J47" s="59"/>
      <c r="K47" s="170"/>
      <c r="L47" s="61"/>
      <c r="M47" s="72"/>
      <c r="N47" s="61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1"/>
      <c r="AB47" s="1"/>
      <c r="AC47" s="1"/>
      <c r="AD47" s="56"/>
      <c r="AF47" s="151"/>
      <c r="AJ47" s="146"/>
      <c r="AX47" s="3"/>
      <c r="AY47" s="3"/>
      <c r="AZ47" s="3"/>
      <c r="BA47" s="3"/>
    </row>
    <row r="48" spans="1:53" ht="56.25" customHeight="1" x14ac:dyDescent="0.25">
      <c r="A48" s="1012" t="s">
        <v>2234</v>
      </c>
      <c r="B48" s="258" t="s">
        <v>2233</v>
      </c>
      <c r="C48" s="222"/>
      <c r="D48" s="860"/>
      <c r="E48" s="226" t="s">
        <v>488</v>
      </c>
      <c r="F48" s="53" t="s">
        <v>837</v>
      </c>
      <c r="G48" s="744" t="s">
        <v>489</v>
      </c>
      <c r="H48" s="52" t="s">
        <v>1170</v>
      </c>
      <c r="I48" s="53" t="s">
        <v>838</v>
      </c>
      <c r="J48" s="47" t="s">
        <v>1171</v>
      </c>
      <c r="K48" s="47" t="s">
        <v>490</v>
      </c>
      <c r="L48" s="54" t="s">
        <v>489</v>
      </c>
      <c r="M48" s="47" t="s">
        <v>1172</v>
      </c>
      <c r="N48" s="53" t="s">
        <v>838</v>
      </c>
      <c r="O48" s="47" t="s">
        <v>1171</v>
      </c>
      <c r="P48" s="47" t="s">
        <v>826</v>
      </c>
      <c r="Q48" s="47" t="s">
        <v>1173</v>
      </c>
      <c r="R48" s="47" t="s">
        <v>1174</v>
      </c>
      <c r="S48" s="47" t="s">
        <v>839</v>
      </c>
      <c r="T48" s="47" t="s">
        <v>1171</v>
      </c>
      <c r="U48" s="47" t="s">
        <v>1392</v>
      </c>
      <c r="V48" s="47" t="s">
        <v>841</v>
      </c>
      <c r="W48" s="231" t="s">
        <v>1173</v>
      </c>
      <c r="X48" s="47" t="s">
        <v>1394</v>
      </c>
      <c r="Y48" s="47" t="s">
        <v>839</v>
      </c>
      <c r="Z48" s="55"/>
      <c r="AA48" s="1"/>
      <c r="AB48" s="1"/>
      <c r="AC48" s="245"/>
      <c r="AD48" s="56"/>
      <c r="AQ48" s="139"/>
      <c r="AR48" s="139"/>
      <c r="AS48" s="139"/>
      <c r="AX48" s="3"/>
      <c r="AY48" s="3"/>
      <c r="AZ48" s="3"/>
      <c r="BA48" s="3"/>
    </row>
    <row r="49" spans="1:53" ht="12.75" customHeight="1" x14ac:dyDescent="0.25">
      <c r="A49" s="1013"/>
      <c r="B49" s="36" t="s">
        <v>1175</v>
      </c>
      <c r="C49" s="222">
        <f>C56</f>
        <v>50.501564178351273</v>
      </c>
      <c r="D49" s="860">
        <f>C49*$D$5</f>
        <v>10.201315964026957</v>
      </c>
      <c r="E49" s="227" t="s">
        <v>1176</v>
      </c>
      <c r="F49" s="165"/>
      <c r="G49" s="58"/>
      <c r="H49" s="58"/>
      <c r="I49" s="2">
        <f>SUM(I50:I57)</f>
        <v>13.059999999999999</v>
      </c>
      <c r="J49" s="59" t="s">
        <v>1176</v>
      </c>
      <c r="K49" s="169"/>
      <c r="L49" s="60"/>
      <c r="M49" s="60"/>
      <c r="N49" s="61">
        <f>SUM(N50:N57)</f>
        <v>0.12300064571097598</v>
      </c>
      <c r="O49" s="60" t="s">
        <v>1176</v>
      </c>
      <c r="P49" s="60"/>
      <c r="Q49" s="62"/>
      <c r="R49" s="63"/>
      <c r="S49" s="399">
        <f>SUM(S50:S57)</f>
        <v>1.670192242604752</v>
      </c>
      <c r="T49" s="61"/>
      <c r="U49" s="61"/>
      <c r="V49" s="61"/>
      <c r="W49" s="61"/>
      <c r="X49" s="61"/>
      <c r="Y49" s="399">
        <f>SUM(Y50:Y57)</f>
        <v>13.046757431529358</v>
      </c>
      <c r="Z49" s="64">
        <f>(C49+D49+I49+N49+S49+Y49)*$Z$5</f>
        <v>115.20030971376524</v>
      </c>
      <c r="AA49" s="65">
        <f>C49+D49+I49+N49+S49+Y49+Z49</f>
        <v>203.80314017598857</v>
      </c>
      <c r="AB49" s="66">
        <v>0.25</v>
      </c>
      <c r="AC49" s="244">
        <f>AA49*(1+AB49)</f>
        <v>254.75392521998572</v>
      </c>
      <c r="AD49" s="67"/>
      <c r="AI49" s="139"/>
      <c r="AJ49" s="140"/>
      <c r="AK49" s="141"/>
      <c r="AM49" s="142"/>
      <c r="AN49" s="143"/>
      <c r="AO49" s="142"/>
      <c r="AP49" s="139"/>
      <c r="AQ49" s="139"/>
      <c r="AR49" s="139"/>
      <c r="AS49" s="139"/>
      <c r="AT49" s="139"/>
      <c r="AU49" s="142"/>
      <c r="AV49" s="142"/>
      <c r="AW49" s="144"/>
      <c r="AX49" s="3"/>
      <c r="AY49" s="3"/>
      <c r="AZ49" s="3"/>
      <c r="BA49" s="3"/>
    </row>
    <row r="50" spans="1:53" x14ac:dyDescent="0.25">
      <c r="A50" s="1013"/>
      <c r="B50" s="50" t="s">
        <v>830</v>
      </c>
      <c r="C50" s="222"/>
      <c r="D50" s="861"/>
      <c r="E50" s="68" t="s">
        <v>1437</v>
      </c>
      <c r="F50" s="69" t="s">
        <v>1438</v>
      </c>
      <c r="G50" s="70">
        <v>0.3</v>
      </c>
      <c r="H50" s="69">
        <v>10</v>
      </c>
      <c r="I50" s="71">
        <f>G50*H50</f>
        <v>3</v>
      </c>
      <c r="J50" s="59" t="s">
        <v>1291</v>
      </c>
      <c r="K50" s="72">
        <v>2</v>
      </c>
      <c r="L50" s="73">
        <v>750</v>
      </c>
      <c r="M50" s="72">
        <v>2</v>
      </c>
      <c r="N50" s="61">
        <f>L50/'Исп. коэффициенты'!E52*C54</f>
        <v>0.10603503940601378</v>
      </c>
      <c r="O50" s="60"/>
      <c r="P50" s="60"/>
      <c r="Q50" s="60">
        <v>19.670000000000002</v>
      </c>
      <c r="R50" s="60">
        <v>6513.87</v>
      </c>
      <c r="S50" s="739">
        <f>R50/'Исп. коэффициенты'!E34*+('КМУ УЗИ'!C54)</f>
        <v>1.670192242604752</v>
      </c>
      <c r="T50" s="239" t="s">
        <v>1435</v>
      </c>
      <c r="U50" s="240">
        <v>6785401.3499999996</v>
      </c>
      <c r="V50" s="740">
        <f>'Исп. коэффициенты'!E124</f>
        <v>2978.5</v>
      </c>
      <c r="W50" s="241">
        <f>'Исп. коэффициенты'!D124</f>
        <v>1.3599999999999999E-2</v>
      </c>
      <c r="X50" s="61">
        <f>U50*W50</f>
        <v>92281.45835999999</v>
      </c>
      <c r="Y50" s="739">
        <f>X50/'Исп. коэффициенты'!E52*C54</f>
        <v>13.046757431529358</v>
      </c>
      <c r="Z50" s="60"/>
      <c r="AA50" s="1"/>
      <c r="AB50" s="1"/>
      <c r="AC50" s="1"/>
      <c r="AD50" s="56"/>
      <c r="AF50" s="151"/>
      <c r="AJ50" s="136"/>
      <c r="AX50" s="3"/>
      <c r="AY50" s="3"/>
      <c r="AZ50" s="3"/>
      <c r="BA50" s="3"/>
    </row>
    <row r="51" spans="1:53" x14ac:dyDescent="0.25">
      <c r="A51" s="1013"/>
      <c r="B51" s="74" t="s">
        <v>1178</v>
      </c>
      <c r="C51" s="223">
        <f>C31</f>
        <v>33.667709452234185</v>
      </c>
      <c r="D51" s="861"/>
      <c r="E51" s="68" t="s">
        <v>2112</v>
      </c>
      <c r="F51" s="69" t="s">
        <v>1</v>
      </c>
      <c r="G51" s="70">
        <v>0.47</v>
      </c>
      <c r="H51" s="69">
        <v>10</v>
      </c>
      <c r="I51" s="242">
        <f>G51*H51</f>
        <v>4.6999999999999993</v>
      </c>
      <c r="J51" s="59" t="s">
        <v>1445</v>
      </c>
      <c r="K51" s="61">
        <v>2</v>
      </c>
      <c r="L51" s="76">
        <v>95</v>
      </c>
      <c r="M51" s="72">
        <v>2</v>
      </c>
      <c r="N51" s="61">
        <f>L51/'Исп. коэффициенты'!E52*C54</f>
        <v>1.3431104991428411E-2</v>
      </c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1"/>
      <c r="AB51" s="1"/>
      <c r="AC51" s="1"/>
      <c r="AD51" s="56"/>
      <c r="AF51" s="151"/>
      <c r="AJ51" s="136"/>
      <c r="AM51" s="145"/>
      <c r="AX51" s="3"/>
      <c r="AY51" s="3"/>
      <c r="AZ51" s="3"/>
      <c r="BA51" s="3"/>
    </row>
    <row r="52" spans="1:53" x14ac:dyDescent="0.25">
      <c r="A52" s="1013"/>
      <c r="B52" s="57" t="s">
        <v>1179</v>
      </c>
      <c r="C52" s="222">
        <f>C32</f>
        <v>0</v>
      </c>
      <c r="D52" s="861"/>
      <c r="E52" s="68" t="s">
        <v>1598</v>
      </c>
      <c r="F52" s="69" t="s">
        <v>1441</v>
      </c>
      <c r="G52" s="70">
        <v>5.36</v>
      </c>
      <c r="H52" s="70">
        <v>1</v>
      </c>
      <c r="I52" s="71">
        <f>G52*H52</f>
        <v>5.36</v>
      </c>
      <c r="J52" s="59" t="s">
        <v>1513</v>
      </c>
      <c r="K52" s="61">
        <v>2</v>
      </c>
      <c r="L52" s="61">
        <v>25</v>
      </c>
      <c r="M52" s="72">
        <v>0.5</v>
      </c>
      <c r="N52" s="61">
        <f>L52/'Исп. коэффициенты'!E52*C54</f>
        <v>3.5345013135337925E-3</v>
      </c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1"/>
      <c r="AB52" s="1"/>
      <c r="AC52" s="1"/>
      <c r="AD52" s="56"/>
      <c r="AF52" s="151"/>
      <c r="AJ52" s="136"/>
      <c r="AX52" s="3"/>
      <c r="AY52" s="3"/>
      <c r="AZ52" s="3"/>
      <c r="BA52" s="3"/>
    </row>
    <row r="53" spans="1:53" x14ac:dyDescent="0.25">
      <c r="A53" s="1013"/>
      <c r="B53" s="57" t="s">
        <v>831</v>
      </c>
      <c r="C53" s="224"/>
      <c r="D53" s="861"/>
      <c r="E53" s="68"/>
      <c r="F53" s="69"/>
      <c r="G53" s="70"/>
      <c r="H53" s="69"/>
      <c r="I53" s="71"/>
      <c r="J53" s="59"/>
      <c r="K53" s="61"/>
      <c r="L53" s="61"/>
      <c r="M53" s="61"/>
      <c r="N53" s="61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1"/>
      <c r="AB53" s="1"/>
      <c r="AC53" s="1"/>
      <c r="AD53" s="56"/>
      <c r="AF53" s="151"/>
      <c r="AJ53" s="136"/>
      <c r="AX53" s="3"/>
      <c r="AY53" s="3"/>
      <c r="AZ53" s="3"/>
      <c r="BA53" s="3"/>
    </row>
    <row r="54" spans="1:53" x14ac:dyDescent="0.25">
      <c r="A54" s="1013"/>
      <c r="B54" s="74" t="s">
        <v>1178</v>
      </c>
      <c r="C54" s="225">
        <v>1.5</v>
      </c>
      <c r="D54" s="861"/>
      <c r="E54" s="68"/>
      <c r="F54" s="69"/>
      <c r="G54" s="70"/>
      <c r="H54" s="69"/>
      <c r="I54" s="71"/>
      <c r="J54" s="59"/>
      <c r="K54" s="61"/>
      <c r="L54" s="61"/>
      <c r="M54" s="61"/>
      <c r="N54" s="61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1"/>
      <c r="AB54" s="1"/>
      <c r="AC54" s="1"/>
      <c r="AD54" s="56"/>
      <c r="AF54" s="151"/>
      <c r="AJ54" s="146"/>
      <c r="AX54" s="3"/>
      <c r="AY54" s="3"/>
      <c r="AZ54" s="3"/>
      <c r="BA54" s="3"/>
    </row>
    <row r="55" spans="1:53" x14ac:dyDescent="0.25">
      <c r="A55" s="1013"/>
      <c r="B55" s="57" t="s">
        <v>1179</v>
      </c>
      <c r="C55" s="225"/>
      <c r="D55" s="861"/>
      <c r="E55" s="68"/>
      <c r="F55" s="69"/>
      <c r="G55" s="70"/>
      <c r="H55" s="69"/>
      <c r="I55" s="71"/>
      <c r="J55" s="59"/>
      <c r="K55" s="61"/>
      <c r="L55" s="61"/>
      <c r="M55" s="61"/>
      <c r="N55" s="61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1"/>
      <c r="AB55" s="1"/>
      <c r="AC55" s="1"/>
      <c r="AD55" s="56"/>
      <c r="AF55" s="151"/>
      <c r="AJ55" s="146"/>
      <c r="AX55" s="3"/>
      <c r="AY55" s="3"/>
      <c r="AZ55" s="3"/>
      <c r="BA55" s="3"/>
    </row>
    <row r="56" spans="1:53" x14ac:dyDescent="0.25">
      <c r="A56" s="1013"/>
      <c r="B56" s="79" t="s">
        <v>1181</v>
      </c>
      <c r="C56" s="222">
        <f>C51*C54+C52*C55</f>
        <v>50.501564178351273</v>
      </c>
      <c r="D56" s="861"/>
      <c r="E56" s="228"/>
      <c r="F56" s="166"/>
      <c r="G56" s="70"/>
      <c r="H56" s="69"/>
      <c r="I56" s="71"/>
      <c r="J56" s="59"/>
      <c r="K56" s="170"/>
      <c r="L56" s="76"/>
      <c r="M56" s="72"/>
      <c r="N56" s="61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1"/>
      <c r="AB56" s="1"/>
      <c r="AC56" s="1"/>
      <c r="AD56" s="56"/>
      <c r="AF56" s="151"/>
      <c r="AJ56" s="136"/>
      <c r="AX56" s="3"/>
      <c r="AY56" s="3"/>
      <c r="AZ56" s="3"/>
      <c r="BA56" s="3"/>
    </row>
    <row r="57" spans="1:53" x14ac:dyDescent="0.25">
      <c r="A57" s="1014"/>
      <c r="B57" s="123"/>
      <c r="C57" s="225"/>
      <c r="D57" s="862"/>
      <c r="E57" s="228"/>
      <c r="F57" s="166"/>
      <c r="G57" s="70"/>
      <c r="H57" s="69"/>
      <c r="I57" s="71"/>
      <c r="J57" s="59"/>
      <c r="K57" s="170"/>
      <c r="L57" s="61"/>
      <c r="M57" s="72"/>
      <c r="N57" s="61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1"/>
      <c r="AB57" s="1"/>
      <c r="AC57" s="1"/>
      <c r="AD57" s="56"/>
      <c r="AF57" s="151"/>
      <c r="AJ57" s="146"/>
      <c r="AX57" s="3"/>
      <c r="AY57" s="3"/>
      <c r="AZ57" s="3"/>
      <c r="BA57" s="3"/>
    </row>
    <row r="58" spans="1:53" ht="56.25" customHeight="1" x14ac:dyDescent="0.25">
      <c r="A58" s="1012" t="s">
        <v>2235</v>
      </c>
      <c r="B58" s="258" t="s">
        <v>2236</v>
      </c>
      <c r="C58" s="222"/>
      <c r="D58" s="860"/>
      <c r="E58" s="226" t="s">
        <v>488</v>
      </c>
      <c r="F58" s="53" t="s">
        <v>837</v>
      </c>
      <c r="G58" s="744" t="s">
        <v>489</v>
      </c>
      <c r="H58" s="52" t="s">
        <v>1170</v>
      </c>
      <c r="I58" s="53" t="s">
        <v>838</v>
      </c>
      <c r="J58" s="47" t="s">
        <v>1171</v>
      </c>
      <c r="K58" s="47" t="s">
        <v>490</v>
      </c>
      <c r="L58" s="54" t="s">
        <v>489</v>
      </c>
      <c r="M58" s="47" t="s">
        <v>1172</v>
      </c>
      <c r="N58" s="53" t="s">
        <v>838</v>
      </c>
      <c r="O58" s="47" t="s">
        <v>1171</v>
      </c>
      <c r="P58" s="47" t="s">
        <v>826</v>
      </c>
      <c r="Q58" s="47" t="s">
        <v>1173</v>
      </c>
      <c r="R58" s="47" t="s">
        <v>1174</v>
      </c>
      <c r="S58" s="47" t="s">
        <v>839</v>
      </c>
      <c r="T58" s="47" t="s">
        <v>1171</v>
      </c>
      <c r="U58" s="47" t="s">
        <v>1392</v>
      </c>
      <c r="V58" s="47" t="s">
        <v>841</v>
      </c>
      <c r="W58" s="231" t="s">
        <v>1173</v>
      </c>
      <c r="X58" s="47" t="s">
        <v>1394</v>
      </c>
      <c r="Y58" s="47" t="s">
        <v>839</v>
      </c>
      <c r="Z58" s="55"/>
      <c r="AA58" s="1"/>
      <c r="AB58" s="1"/>
      <c r="AC58" s="245"/>
      <c r="AD58" s="56"/>
      <c r="AQ58" s="139"/>
      <c r="AR58" s="139"/>
      <c r="AS58" s="139"/>
      <c r="AX58" s="3"/>
      <c r="AY58" s="3"/>
      <c r="AZ58" s="3"/>
      <c r="BA58" s="3"/>
    </row>
    <row r="59" spans="1:53" ht="12.75" customHeight="1" x14ac:dyDescent="0.25">
      <c r="A59" s="1013"/>
      <c r="B59" s="36" t="s">
        <v>1175</v>
      </c>
      <c r="C59" s="222">
        <f>C66</f>
        <v>50.501564178351273</v>
      </c>
      <c r="D59" s="860">
        <f>C59*$D$5</f>
        <v>10.201315964026957</v>
      </c>
      <c r="E59" s="227" t="s">
        <v>1176</v>
      </c>
      <c r="F59" s="165"/>
      <c r="G59" s="58"/>
      <c r="H59" s="58"/>
      <c r="I59" s="2">
        <f>SUM(I60:I67)</f>
        <v>13.059999999999999</v>
      </c>
      <c r="J59" s="59" t="s">
        <v>1176</v>
      </c>
      <c r="K59" s="169"/>
      <c r="L59" s="60"/>
      <c r="M59" s="60"/>
      <c r="N59" s="61">
        <f>SUM(N60:N67)</f>
        <v>0.12300064571097598</v>
      </c>
      <c r="O59" s="60" t="s">
        <v>1176</v>
      </c>
      <c r="P59" s="60"/>
      <c r="Q59" s="62"/>
      <c r="R59" s="63"/>
      <c r="S59" s="399">
        <f>SUM(S60:S67)</f>
        <v>1.670192242604752</v>
      </c>
      <c r="T59" s="61"/>
      <c r="U59" s="61"/>
      <c r="V59" s="61"/>
      <c r="W59" s="61"/>
      <c r="X59" s="61"/>
      <c r="Y59" s="399">
        <f>SUM(Y60:Y67)</f>
        <v>13.046757431529358</v>
      </c>
      <c r="Z59" s="64">
        <f>(C59+D59+I59+N59+S59+Y59)*$Z$5</f>
        <v>115.20030971376524</v>
      </c>
      <c r="AA59" s="65">
        <f>C59+D59+I59+N59+S59+Y59+Z59</f>
        <v>203.80314017598857</v>
      </c>
      <c r="AB59" s="66">
        <v>0.25</v>
      </c>
      <c r="AC59" s="244">
        <f>AA59*(1+AB59)</f>
        <v>254.75392521998572</v>
      </c>
      <c r="AD59" s="67"/>
      <c r="AI59" s="139"/>
      <c r="AJ59" s="140"/>
      <c r="AK59" s="141"/>
      <c r="AM59" s="142"/>
      <c r="AN59" s="143"/>
      <c r="AO59" s="142"/>
      <c r="AP59" s="139"/>
      <c r="AQ59" s="139"/>
      <c r="AR59" s="139"/>
      <c r="AS59" s="139"/>
      <c r="AT59" s="139"/>
      <c r="AU59" s="142"/>
      <c r="AV59" s="142"/>
      <c r="AW59" s="144"/>
      <c r="AX59" s="3"/>
      <c r="AY59" s="3"/>
      <c r="AZ59" s="3"/>
      <c r="BA59" s="3"/>
    </row>
    <row r="60" spans="1:53" x14ac:dyDescent="0.25">
      <c r="A60" s="1013"/>
      <c r="B60" s="50" t="s">
        <v>830</v>
      </c>
      <c r="C60" s="222"/>
      <c r="D60" s="861"/>
      <c r="E60" s="68" t="s">
        <v>1437</v>
      </c>
      <c r="F60" s="69" t="s">
        <v>1438</v>
      </c>
      <c r="G60" s="70">
        <v>0.3</v>
      </c>
      <c r="H60" s="69">
        <v>10</v>
      </c>
      <c r="I60" s="71">
        <f>G60*H60</f>
        <v>3</v>
      </c>
      <c r="J60" s="59" t="s">
        <v>1291</v>
      </c>
      <c r="K60" s="72">
        <v>2</v>
      </c>
      <c r="L60" s="73">
        <v>750</v>
      </c>
      <c r="M60" s="72">
        <v>2</v>
      </c>
      <c r="N60" s="61">
        <f>L60/'Исп. коэффициенты'!E52*C64</f>
        <v>0.10603503940601378</v>
      </c>
      <c r="O60" s="60"/>
      <c r="P60" s="60">
        <v>2994195.8</v>
      </c>
      <c r="Q60" s="60">
        <v>19.670000000000002</v>
      </c>
      <c r="R60" s="60">
        <v>6513.87</v>
      </c>
      <c r="S60" s="739">
        <f>R60/'Исп. коэффициенты'!E34*+('КМУ УЗИ'!C64)</f>
        <v>1.670192242604752</v>
      </c>
      <c r="T60" s="239" t="s">
        <v>1435</v>
      </c>
      <c r="U60" s="240">
        <v>6785401.3499999996</v>
      </c>
      <c r="V60" s="740">
        <f>'Исп. коэффициенты'!E124</f>
        <v>2978.5</v>
      </c>
      <c r="W60" s="241">
        <f>'Исп. коэффициенты'!D124</f>
        <v>1.3599999999999999E-2</v>
      </c>
      <c r="X60" s="61">
        <f>U60*W60</f>
        <v>92281.45835999999</v>
      </c>
      <c r="Y60" s="739">
        <f>X60/'Исп. коэффициенты'!E52*C64</f>
        <v>13.046757431529358</v>
      </c>
      <c r="Z60" s="60"/>
      <c r="AA60" s="1"/>
      <c r="AB60" s="1"/>
      <c r="AC60" s="1"/>
      <c r="AD60" s="56"/>
      <c r="AF60" s="151"/>
      <c r="AJ60" s="136"/>
      <c r="AX60" s="3"/>
      <c r="AY60" s="3"/>
      <c r="AZ60" s="3"/>
      <c r="BA60" s="3"/>
    </row>
    <row r="61" spans="1:53" x14ac:dyDescent="0.25">
      <c r="A61" s="1013"/>
      <c r="B61" s="74" t="s">
        <v>1178</v>
      </c>
      <c r="C61" s="223">
        <f>C41</f>
        <v>33.667709452234185</v>
      </c>
      <c r="D61" s="861"/>
      <c r="E61" s="68" t="s">
        <v>2112</v>
      </c>
      <c r="F61" s="69" t="s">
        <v>1</v>
      </c>
      <c r="G61" s="70">
        <v>0.47</v>
      </c>
      <c r="H61" s="69">
        <v>10</v>
      </c>
      <c r="I61" s="242">
        <f>G61*H61</f>
        <v>4.6999999999999993</v>
      </c>
      <c r="J61" s="59" t="s">
        <v>1445</v>
      </c>
      <c r="K61" s="61">
        <v>2</v>
      </c>
      <c r="L61" s="76">
        <v>95</v>
      </c>
      <c r="M61" s="72">
        <v>2</v>
      </c>
      <c r="N61" s="61">
        <f>L61/'Исп. коэффициенты'!E52*C64</f>
        <v>1.3431104991428411E-2</v>
      </c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1"/>
      <c r="AB61" s="1"/>
      <c r="AC61" s="1"/>
      <c r="AD61" s="56"/>
      <c r="AF61" s="151"/>
      <c r="AJ61" s="136"/>
      <c r="AM61" s="145"/>
      <c r="AX61" s="3"/>
      <c r="AY61" s="3"/>
      <c r="AZ61" s="3"/>
      <c r="BA61" s="3"/>
    </row>
    <row r="62" spans="1:53" x14ac:dyDescent="0.25">
      <c r="A62" s="1013"/>
      <c r="B62" s="57" t="s">
        <v>1179</v>
      </c>
      <c r="C62" s="222">
        <f>C42</f>
        <v>0</v>
      </c>
      <c r="D62" s="861"/>
      <c r="E62" s="68" t="s">
        <v>1598</v>
      </c>
      <c r="F62" s="69" t="s">
        <v>1441</v>
      </c>
      <c r="G62" s="70">
        <v>5.36</v>
      </c>
      <c r="H62" s="70">
        <v>1</v>
      </c>
      <c r="I62" s="71">
        <f>G62*H62</f>
        <v>5.36</v>
      </c>
      <c r="J62" s="59" t="s">
        <v>1513</v>
      </c>
      <c r="K62" s="61">
        <v>2</v>
      </c>
      <c r="L62" s="61">
        <v>25</v>
      </c>
      <c r="M62" s="72">
        <v>0.5</v>
      </c>
      <c r="N62" s="61">
        <f>L62/'Исп. коэффициенты'!E52*C64</f>
        <v>3.5345013135337925E-3</v>
      </c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1"/>
      <c r="AB62" s="1"/>
      <c r="AC62" s="1"/>
      <c r="AD62" s="56"/>
      <c r="AF62" s="151"/>
      <c r="AJ62" s="136"/>
      <c r="AX62" s="3"/>
      <c r="AY62" s="3"/>
      <c r="AZ62" s="3"/>
      <c r="BA62" s="3"/>
    </row>
    <row r="63" spans="1:53" x14ac:dyDescent="0.25">
      <c r="A63" s="1013"/>
      <c r="B63" s="57" t="s">
        <v>831</v>
      </c>
      <c r="C63" s="224"/>
      <c r="D63" s="861"/>
      <c r="E63" s="68"/>
      <c r="F63" s="69"/>
      <c r="G63" s="70"/>
      <c r="H63" s="69"/>
      <c r="I63" s="71"/>
      <c r="J63" s="59"/>
      <c r="K63" s="61"/>
      <c r="L63" s="61"/>
      <c r="M63" s="61"/>
      <c r="N63" s="61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1"/>
      <c r="AB63" s="1"/>
      <c r="AC63" s="1"/>
      <c r="AD63" s="56"/>
      <c r="AF63" s="151"/>
      <c r="AJ63" s="136"/>
      <c r="AX63" s="3"/>
      <c r="AY63" s="3"/>
      <c r="AZ63" s="3"/>
      <c r="BA63" s="3"/>
    </row>
    <row r="64" spans="1:53" x14ac:dyDescent="0.25">
      <c r="A64" s="1013"/>
      <c r="B64" s="74" t="s">
        <v>1178</v>
      </c>
      <c r="C64" s="225">
        <v>1.5</v>
      </c>
      <c r="D64" s="861"/>
      <c r="E64" s="68"/>
      <c r="F64" s="69"/>
      <c r="G64" s="70"/>
      <c r="H64" s="69"/>
      <c r="I64" s="71"/>
      <c r="J64" s="59"/>
      <c r="K64" s="61"/>
      <c r="L64" s="61"/>
      <c r="M64" s="61"/>
      <c r="N64" s="61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1"/>
      <c r="AB64" s="1"/>
      <c r="AC64" s="1"/>
      <c r="AD64" s="56"/>
      <c r="AF64" s="151"/>
      <c r="AJ64" s="146"/>
      <c r="AX64" s="3"/>
      <c r="AY64" s="3"/>
      <c r="AZ64" s="3"/>
      <c r="BA64" s="3"/>
    </row>
    <row r="65" spans="1:53" x14ac:dyDescent="0.25">
      <c r="A65" s="1013"/>
      <c r="B65" s="57" t="s">
        <v>1179</v>
      </c>
      <c r="C65" s="225"/>
      <c r="D65" s="861"/>
      <c r="E65" s="68"/>
      <c r="F65" s="69"/>
      <c r="G65" s="70"/>
      <c r="H65" s="69"/>
      <c r="I65" s="71"/>
      <c r="J65" s="59"/>
      <c r="K65" s="61"/>
      <c r="L65" s="61"/>
      <c r="M65" s="61"/>
      <c r="N65" s="61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1"/>
      <c r="AB65" s="1"/>
      <c r="AC65" s="1"/>
      <c r="AD65" s="56"/>
      <c r="AF65" s="151"/>
      <c r="AJ65" s="146"/>
      <c r="AX65" s="3"/>
      <c r="AY65" s="3"/>
      <c r="AZ65" s="3"/>
      <c r="BA65" s="3"/>
    </row>
    <row r="66" spans="1:53" x14ac:dyDescent="0.25">
      <c r="A66" s="1013"/>
      <c r="B66" s="79" t="s">
        <v>1181</v>
      </c>
      <c r="C66" s="222">
        <f>C61*C64+C62*C65</f>
        <v>50.501564178351273</v>
      </c>
      <c r="D66" s="861"/>
      <c r="E66" s="228"/>
      <c r="F66" s="166"/>
      <c r="G66" s="70"/>
      <c r="H66" s="69"/>
      <c r="I66" s="71"/>
      <c r="J66" s="59"/>
      <c r="K66" s="170"/>
      <c r="L66" s="76"/>
      <c r="M66" s="72"/>
      <c r="N66" s="61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1"/>
      <c r="AB66" s="1"/>
      <c r="AC66" s="1"/>
      <c r="AD66" s="56"/>
      <c r="AF66" s="151"/>
      <c r="AJ66" s="136"/>
      <c r="AX66" s="3"/>
      <c r="AY66" s="3"/>
      <c r="AZ66" s="3"/>
      <c r="BA66" s="3"/>
    </row>
    <row r="67" spans="1:53" x14ac:dyDescent="0.25">
      <c r="A67" s="1014"/>
      <c r="B67" s="123"/>
      <c r="C67" s="225"/>
      <c r="D67" s="862"/>
      <c r="E67" s="228"/>
      <c r="F67" s="166"/>
      <c r="G67" s="70"/>
      <c r="H67" s="69"/>
      <c r="I67" s="71"/>
      <c r="J67" s="59"/>
      <c r="K67" s="170"/>
      <c r="L67" s="61"/>
      <c r="M67" s="72"/>
      <c r="N67" s="61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1"/>
      <c r="AB67" s="1"/>
      <c r="AC67" s="1"/>
      <c r="AD67" s="56"/>
      <c r="AF67" s="151"/>
      <c r="AJ67" s="146"/>
      <c r="AX67" s="3"/>
      <c r="AY67" s="3"/>
      <c r="AZ67" s="3"/>
      <c r="BA67" s="3"/>
    </row>
    <row r="68" spans="1:53" ht="56.25" customHeight="1" x14ac:dyDescent="0.25">
      <c r="A68" s="1012" t="s">
        <v>2237</v>
      </c>
      <c r="B68" s="258" t="s">
        <v>2238</v>
      </c>
      <c r="C68" s="222"/>
      <c r="D68" s="860"/>
      <c r="E68" s="226" t="s">
        <v>488</v>
      </c>
      <c r="F68" s="53" t="s">
        <v>837</v>
      </c>
      <c r="G68" s="744" t="s">
        <v>489</v>
      </c>
      <c r="H68" s="52" t="s">
        <v>1170</v>
      </c>
      <c r="I68" s="53" t="s">
        <v>838</v>
      </c>
      <c r="J68" s="47" t="s">
        <v>1171</v>
      </c>
      <c r="K68" s="47" t="s">
        <v>490</v>
      </c>
      <c r="L68" s="54" t="s">
        <v>489</v>
      </c>
      <c r="M68" s="47" t="s">
        <v>1172</v>
      </c>
      <c r="N68" s="53" t="s">
        <v>838</v>
      </c>
      <c r="O68" s="47" t="s">
        <v>1171</v>
      </c>
      <c r="P68" s="47" t="s">
        <v>826</v>
      </c>
      <c r="Q68" s="47" t="s">
        <v>1173</v>
      </c>
      <c r="R68" s="47" t="s">
        <v>1174</v>
      </c>
      <c r="S68" s="47" t="s">
        <v>839</v>
      </c>
      <c r="T68" s="47" t="s">
        <v>1171</v>
      </c>
      <c r="U68" s="47" t="s">
        <v>1392</v>
      </c>
      <c r="V68" s="47" t="s">
        <v>841</v>
      </c>
      <c r="W68" s="231" t="s">
        <v>1173</v>
      </c>
      <c r="X68" s="47" t="s">
        <v>1394</v>
      </c>
      <c r="Y68" s="47" t="s">
        <v>839</v>
      </c>
      <c r="Z68" s="55"/>
      <c r="AA68" s="1"/>
      <c r="AB68" s="1"/>
      <c r="AC68" s="245"/>
      <c r="AD68" s="56"/>
      <c r="AQ68" s="139"/>
      <c r="AR68" s="139"/>
      <c r="AS68" s="139"/>
      <c r="AX68" s="3"/>
      <c r="AY68" s="3"/>
      <c r="AZ68" s="3"/>
      <c r="BA68" s="3"/>
    </row>
    <row r="69" spans="1:53" ht="12.75" customHeight="1" x14ac:dyDescent="0.25">
      <c r="A69" s="1013"/>
      <c r="B69" s="36" t="s">
        <v>1175</v>
      </c>
      <c r="C69" s="222">
        <f>C76</f>
        <v>50.501564178351273</v>
      </c>
      <c r="D69" s="860">
        <f>C69*$D$5</f>
        <v>10.201315964026957</v>
      </c>
      <c r="E69" s="227" t="s">
        <v>1176</v>
      </c>
      <c r="F69" s="165"/>
      <c r="G69" s="58"/>
      <c r="H69" s="58"/>
      <c r="I69" s="2">
        <f>SUM(I70:I77)</f>
        <v>13.059999999999999</v>
      </c>
      <c r="J69" s="59" t="s">
        <v>1176</v>
      </c>
      <c r="K69" s="169"/>
      <c r="L69" s="60"/>
      <c r="M69" s="60"/>
      <c r="N69" s="399">
        <f>SUM(N70:N77)</f>
        <v>0.12300064571097598</v>
      </c>
      <c r="O69" s="60" t="s">
        <v>1176</v>
      </c>
      <c r="P69" s="60"/>
      <c r="Q69" s="62"/>
      <c r="R69" s="63"/>
      <c r="S69" s="399">
        <f>SUM(S70:S77)</f>
        <v>1.670192242604752</v>
      </c>
      <c r="T69" s="61"/>
      <c r="U69" s="61"/>
      <c r="V69" s="61"/>
      <c r="W69" s="61"/>
      <c r="X69" s="61"/>
      <c r="Y69" s="399">
        <f>SUM(Y70:Y77)</f>
        <v>13.046757431529358</v>
      </c>
      <c r="Z69" s="64">
        <f>(C69+D69+I69+N69+S69+Y69)*$Z$5</f>
        <v>115.20030971376524</v>
      </c>
      <c r="AA69" s="65">
        <f>C69+D69+I69+N69+S69+Y69+Z69</f>
        <v>203.80314017598857</v>
      </c>
      <c r="AB69" s="66">
        <v>0.25</v>
      </c>
      <c r="AC69" s="244">
        <f>AA69*(1+AB69)</f>
        <v>254.75392521998572</v>
      </c>
      <c r="AD69" s="67"/>
      <c r="AI69" s="139"/>
      <c r="AJ69" s="140"/>
      <c r="AK69" s="141"/>
      <c r="AM69" s="142"/>
      <c r="AN69" s="143"/>
      <c r="AO69" s="142"/>
      <c r="AP69" s="139"/>
      <c r="AQ69" s="139"/>
      <c r="AR69" s="139"/>
      <c r="AS69" s="139"/>
      <c r="AT69" s="139"/>
      <c r="AU69" s="142"/>
      <c r="AV69" s="142"/>
      <c r="AW69" s="144"/>
      <c r="AX69" s="3"/>
      <c r="AY69" s="3"/>
      <c r="AZ69" s="3"/>
      <c r="BA69" s="3"/>
    </row>
    <row r="70" spans="1:53" x14ac:dyDescent="0.25">
      <c r="A70" s="1013"/>
      <c r="B70" s="50" t="s">
        <v>830</v>
      </c>
      <c r="C70" s="222"/>
      <c r="D70" s="861"/>
      <c r="E70" s="68" t="s">
        <v>1437</v>
      </c>
      <c r="F70" s="69" t="s">
        <v>1438</v>
      </c>
      <c r="G70" s="70">
        <v>0.3</v>
      </c>
      <c r="H70" s="69">
        <v>10</v>
      </c>
      <c r="I70" s="71">
        <f>G70*H70</f>
        <v>3</v>
      </c>
      <c r="J70" s="59" t="s">
        <v>1291</v>
      </c>
      <c r="K70" s="72">
        <v>2</v>
      </c>
      <c r="L70" s="73">
        <v>750</v>
      </c>
      <c r="M70" s="72">
        <v>2</v>
      </c>
      <c r="N70" s="399">
        <f>L70/'Исп. коэффициенты'!E52*C74</f>
        <v>0.10603503940601378</v>
      </c>
      <c r="O70" s="60"/>
      <c r="P70" s="60">
        <v>2994195.8</v>
      </c>
      <c r="Q70" s="60">
        <v>19.670000000000002</v>
      </c>
      <c r="R70" s="60">
        <v>6513.87</v>
      </c>
      <c r="S70" s="739">
        <f>R70/'Исп. коэффициенты'!E34*+('КМУ УЗИ'!C74)</f>
        <v>1.670192242604752</v>
      </c>
      <c r="T70" s="239" t="s">
        <v>1435</v>
      </c>
      <c r="U70" s="240">
        <v>6785401.3499999996</v>
      </c>
      <c r="V70" s="740">
        <f>'Исп. коэффициенты'!E124</f>
        <v>2978.5</v>
      </c>
      <c r="W70" s="241">
        <f>'Исп. коэффициенты'!D124</f>
        <v>1.3599999999999999E-2</v>
      </c>
      <c r="X70" s="61">
        <f>U70*W70</f>
        <v>92281.45835999999</v>
      </c>
      <c r="Y70" s="739">
        <f>X70/'Исп. коэффициенты'!E52*C74</f>
        <v>13.046757431529358</v>
      </c>
      <c r="Z70" s="60"/>
      <c r="AA70" s="1"/>
      <c r="AB70" s="1"/>
      <c r="AC70" s="1"/>
      <c r="AD70" s="56"/>
      <c r="AF70" s="151"/>
      <c r="AJ70" s="136"/>
      <c r="AX70" s="3"/>
      <c r="AY70" s="3"/>
      <c r="AZ70" s="3"/>
      <c r="BA70" s="3"/>
    </row>
    <row r="71" spans="1:53" x14ac:dyDescent="0.25">
      <c r="A71" s="1013"/>
      <c r="B71" s="74" t="s">
        <v>1178</v>
      </c>
      <c r="C71" s="223">
        <f>C51</f>
        <v>33.667709452234185</v>
      </c>
      <c r="D71" s="861"/>
      <c r="E71" s="68" t="s">
        <v>2112</v>
      </c>
      <c r="F71" s="69" t="s">
        <v>1</v>
      </c>
      <c r="G71" s="70">
        <v>0.47</v>
      </c>
      <c r="H71" s="69">
        <v>10</v>
      </c>
      <c r="I71" s="242">
        <f>G71*H71</f>
        <v>4.6999999999999993</v>
      </c>
      <c r="J71" s="59" t="s">
        <v>1445</v>
      </c>
      <c r="K71" s="61">
        <v>2</v>
      </c>
      <c r="L71" s="76">
        <v>95</v>
      </c>
      <c r="M71" s="72">
        <v>2</v>
      </c>
      <c r="N71" s="399">
        <f>L71/'Исп. коэффициенты'!E52*C74</f>
        <v>1.3431104991428411E-2</v>
      </c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1"/>
      <c r="AB71" s="1"/>
      <c r="AC71" s="1"/>
      <c r="AD71" s="56"/>
      <c r="AF71" s="151"/>
      <c r="AJ71" s="136"/>
      <c r="AM71" s="145"/>
      <c r="AX71" s="3"/>
      <c r="AY71" s="3"/>
      <c r="AZ71" s="3"/>
      <c r="BA71" s="3"/>
    </row>
    <row r="72" spans="1:53" x14ac:dyDescent="0.25">
      <c r="A72" s="1013"/>
      <c r="B72" s="57" t="s">
        <v>1179</v>
      </c>
      <c r="C72" s="222">
        <f>C52</f>
        <v>0</v>
      </c>
      <c r="D72" s="861"/>
      <c r="E72" s="68" t="s">
        <v>1598</v>
      </c>
      <c r="F72" s="69" t="s">
        <v>1441</v>
      </c>
      <c r="G72" s="70">
        <v>5.36</v>
      </c>
      <c r="H72" s="70">
        <v>1</v>
      </c>
      <c r="I72" s="71">
        <f>G72*H72</f>
        <v>5.36</v>
      </c>
      <c r="J72" s="59" t="s">
        <v>1513</v>
      </c>
      <c r="K72" s="61">
        <v>2</v>
      </c>
      <c r="L72" s="61">
        <v>25</v>
      </c>
      <c r="M72" s="72">
        <v>0.5</v>
      </c>
      <c r="N72" s="399">
        <f>L72/'Исп. коэффициенты'!E52*C74</f>
        <v>3.5345013135337925E-3</v>
      </c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1"/>
      <c r="AB72" s="1"/>
      <c r="AC72" s="1"/>
      <c r="AD72" s="56"/>
      <c r="AF72" s="151"/>
      <c r="AJ72" s="136"/>
      <c r="AX72" s="3"/>
      <c r="AY72" s="3"/>
      <c r="AZ72" s="3"/>
      <c r="BA72" s="3"/>
    </row>
    <row r="73" spans="1:53" x14ac:dyDescent="0.25">
      <c r="A73" s="1013"/>
      <c r="B73" s="57" t="s">
        <v>831</v>
      </c>
      <c r="C73" s="224"/>
      <c r="D73" s="861"/>
      <c r="E73" s="68"/>
      <c r="F73" s="69"/>
      <c r="G73" s="70"/>
      <c r="H73" s="69"/>
      <c r="I73" s="71"/>
      <c r="J73" s="59"/>
      <c r="K73" s="61"/>
      <c r="L73" s="61"/>
      <c r="M73" s="61"/>
      <c r="N73" s="61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1"/>
      <c r="AB73" s="1"/>
      <c r="AC73" s="1"/>
      <c r="AD73" s="56"/>
      <c r="AF73" s="151"/>
      <c r="AJ73" s="136"/>
      <c r="AX73" s="3"/>
      <c r="AY73" s="3"/>
      <c r="AZ73" s="3"/>
      <c r="BA73" s="3"/>
    </row>
    <row r="74" spans="1:53" x14ac:dyDescent="0.25">
      <c r="A74" s="1013"/>
      <c r="B74" s="74" t="s">
        <v>1178</v>
      </c>
      <c r="C74" s="225">
        <v>1.5</v>
      </c>
      <c r="D74" s="861"/>
      <c r="E74" s="68"/>
      <c r="F74" s="69"/>
      <c r="G74" s="70"/>
      <c r="H74" s="69"/>
      <c r="I74" s="71"/>
      <c r="J74" s="59"/>
      <c r="K74" s="61"/>
      <c r="L74" s="61"/>
      <c r="M74" s="61"/>
      <c r="N74" s="61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1"/>
      <c r="AB74" s="1"/>
      <c r="AC74" s="1"/>
      <c r="AD74" s="56"/>
      <c r="AF74" s="151"/>
      <c r="AJ74" s="146"/>
      <c r="AX74" s="3"/>
      <c r="AY74" s="3"/>
      <c r="AZ74" s="3"/>
      <c r="BA74" s="3"/>
    </row>
    <row r="75" spans="1:53" x14ac:dyDescent="0.25">
      <c r="A75" s="1013"/>
      <c r="B75" s="57" t="s">
        <v>1179</v>
      </c>
      <c r="C75" s="225"/>
      <c r="D75" s="861"/>
      <c r="E75" s="68"/>
      <c r="F75" s="69"/>
      <c r="G75" s="70"/>
      <c r="H75" s="69"/>
      <c r="I75" s="71"/>
      <c r="J75" s="59"/>
      <c r="K75" s="61"/>
      <c r="L75" s="61"/>
      <c r="M75" s="61"/>
      <c r="N75" s="61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1"/>
      <c r="AB75" s="1"/>
      <c r="AC75" s="1"/>
      <c r="AD75" s="56"/>
      <c r="AF75" s="151"/>
      <c r="AJ75" s="146"/>
      <c r="AX75" s="3"/>
      <c r="AY75" s="3"/>
      <c r="AZ75" s="3"/>
      <c r="BA75" s="3"/>
    </row>
    <row r="76" spans="1:53" x14ac:dyDescent="0.25">
      <c r="A76" s="1013"/>
      <c r="B76" s="79" t="s">
        <v>1181</v>
      </c>
      <c r="C76" s="222">
        <f>C71*C74+C72*C75</f>
        <v>50.501564178351273</v>
      </c>
      <c r="D76" s="861"/>
      <c r="E76" s="228"/>
      <c r="F76" s="166"/>
      <c r="G76" s="70"/>
      <c r="H76" s="69"/>
      <c r="I76" s="71"/>
      <c r="J76" s="59"/>
      <c r="K76" s="170"/>
      <c r="L76" s="76"/>
      <c r="M76" s="72"/>
      <c r="N76" s="61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1"/>
      <c r="AB76" s="1"/>
      <c r="AC76" s="1"/>
      <c r="AD76" s="56"/>
      <c r="AF76" s="151"/>
      <c r="AJ76" s="136"/>
      <c r="AX76" s="3"/>
      <c r="AY76" s="3"/>
      <c r="AZ76" s="3"/>
      <c r="BA76" s="3"/>
    </row>
    <row r="77" spans="1:53" x14ac:dyDescent="0.25">
      <c r="A77" s="1014"/>
      <c r="B77" s="123"/>
      <c r="C77" s="225"/>
      <c r="D77" s="862"/>
      <c r="E77" s="228"/>
      <c r="F77" s="166"/>
      <c r="G77" s="70"/>
      <c r="H77" s="69"/>
      <c r="I77" s="71"/>
      <c r="J77" s="59"/>
      <c r="K77" s="170"/>
      <c r="L77" s="61"/>
      <c r="M77" s="72"/>
      <c r="N77" s="61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1"/>
      <c r="AB77" s="1"/>
      <c r="AC77" s="1"/>
      <c r="AD77" s="56"/>
      <c r="AF77" s="151"/>
      <c r="AJ77" s="146"/>
      <c r="AX77" s="3"/>
      <c r="AY77" s="3"/>
      <c r="AZ77" s="3"/>
      <c r="BA77" s="3"/>
    </row>
    <row r="78" spans="1:53" ht="56.25" customHeight="1" x14ac:dyDescent="0.25">
      <c r="A78" s="1012" t="s">
        <v>2239</v>
      </c>
      <c r="B78" s="258" t="s">
        <v>2240</v>
      </c>
      <c r="C78" s="222"/>
      <c r="D78" s="860"/>
      <c r="E78" s="226" t="s">
        <v>488</v>
      </c>
      <c r="F78" s="53" t="s">
        <v>837</v>
      </c>
      <c r="G78" s="744" t="s">
        <v>489</v>
      </c>
      <c r="H78" s="52" t="s">
        <v>1170</v>
      </c>
      <c r="I78" s="53" t="s">
        <v>838</v>
      </c>
      <c r="J78" s="47" t="s">
        <v>1171</v>
      </c>
      <c r="K78" s="47" t="s">
        <v>490</v>
      </c>
      <c r="L78" s="54" t="s">
        <v>489</v>
      </c>
      <c r="M78" s="47" t="s">
        <v>1172</v>
      </c>
      <c r="N78" s="53" t="s">
        <v>838</v>
      </c>
      <c r="O78" s="47" t="s">
        <v>1171</v>
      </c>
      <c r="P78" s="47" t="s">
        <v>826</v>
      </c>
      <c r="Q78" s="47" t="s">
        <v>1173</v>
      </c>
      <c r="R78" s="47" t="s">
        <v>1174</v>
      </c>
      <c r="S78" s="47" t="s">
        <v>839</v>
      </c>
      <c r="T78" s="47" t="s">
        <v>1171</v>
      </c>
      <c r="U78" s="47" t="s">
        <v>1392</v>
      </c>
      <c r="V78" s="47" t="s">
        <v>841</v>
      </c>
      <c r="W78" s="231" t="s">
        <v>1173</v>
      </c>
      <c r="X78" s="47" t="s">
        <v>1394</v>
      </c>
      <c r="Y78" s="47" t="s">
        <v>839</v>
      </c>
      <c r="Z78" s="55"/>
      <c r="AA78" s="1"/>
      <c r="AB78" s="1"/>
      <c r="AC78" s="245"/>
      <c r="AD78" s="56"/>
      <c r="AQ78" s="139"/>
      <c r="AR78" s="139"/>
      <c r="AS78" s="139"/>
      <c r="AX78" s="3"/>
      <c r="AY78" s="3"/>
      <c r="AZ78" s="3"/>
      <c r="BA78" s="3"/>
    </row>
    <row r="79" spans="1:53" ht="12.75" customHeight="1" x14ac:dyDescent="0.25">
      <c r="A79" s="1013"/>
      <c r="B79" s="36" t="s">
        <v>1175</v>
      </c>
      <c r="C79" s="222">
        <f>C86</f>
        <v>84.169273630585465</v>
      </c>
      <c r="D79" s="860">
        <f>C79*$D$5</f>
        <v>17.002193273378264</v>
      </c>
      <c r="E79" s="227" t="s">
        <v>1176</v>
      </c>
      <c r="F79" s="165"/>
      <c r="G79" s="58"/>
      <c r="H79" s="58"/>
      <c r="I79" s="2">
        <f>SUM(I80:I87)</f>
        <v>13.059999999999999</v>
      </c>
      <c r="J79" s="59" t="s">
        <v>1176</v>
      </c>
      <c r="K79" s="169"/>
      <c r="L79" s="60"/>
      <c r="M79" s="60"/>
      <c r="N79" s="399">
        <f>SUM(N80:N87)</f>
        <v>0.20500107618495994</v>
      </c>
      <c r="O79" s="60" t="s">
        <v>1176</v>
      </c>
      <c r="P79" s="60"/>
      <c r="Q79" s="62"/>
      <c r="R79" s="63"/>
      <c r="S79" s="399">
        <f>SUM(S80:S87)</f>
        <v>1.3361537940838015</v>
      </c>
      <c r="T79" s="61"/>
      <c r="U79" s="61"/>
      <c r="V79" s="61"/>
      <c r="W79" s="61"/>
      <c r="X79" s="61"/>
      <c r="Y79" s="399">
        <f>SUM(Y80:Y87)</f>
        <v>21.744595719215596</v>
      </c>
      <c r="Z79" s="64">
        <f>(C79+D79+I79+N79+S79+Y79)*$Z$5</f>
        <v>178.79819373236427</v>
      </c>
      <c r="AA79" s="65">
        <f>C79+D79+I79+N79+S79+Y79+Z79</f>
        <v>316.31541122581234</v>
      </c>
      <c r="AB79" s="66">
        <v>0.25</v>
      </c>
      <c r="AC79" s="244">
        <f>AA79*(1+AB79)</f>
        <v>395.39426403226543</v>
      </c>
      <c r="AD79" s="67"/>
      <c r="AI79" s="139"/>
      <c r="AJ79" s="140"/>
      <c r="AK79" s="141"/>
      <c r="AM79" s="142"/>
      <c r="AN79" s="143"/>
      <c r="AO79" s="142"/>
      <c r="AP79" s="139"/>
      <c r="AQ79" s="139"/>
      <c r="AR79" s="139"/>
      <c r="AS79" s="139"/>
      <c r="AT79" s="139"/>
      <c r="AU79" s="142"/>
      <c r="AV79" s="142"/>
      <c r="AW79" s="144"/>
      <c r="AX79" s="3"/>
      <c r="AY79" s="3"/>
      <c r="AZ79" s="3"/>
      <c r="BA79" s="3"/>
    </row>
    <row r="80" spans="1:53" x14ac:dyDescent="0.25">
      <c r="A80" s="1013"/>
      <c r="B80" s="50" t="s">
        <v>830</v>
      </c>
      <c r="C80" s="222"/>
      <c r="D80" s="861"/>
      <c r="E80" s="68" t="s">
        <v>1437</v>
      </c>
      <c r="F80" s="69" t="s">
        <v>1438</v>
      </c>
      <c r="G80" s="70">
        <v>0.3</v>
      </c>
      <c r="H80" s="69">
        <v>10</v>
      </c>
      <c r="I80" s="71">
        <f>G80*H80</f>
        <v>3</v>
      </c>
      <c r="J80" s="59" t="s">
        <v>1291</v>
      </c>
      <c r="K80" s="72">
        <v>2</v>
      </c>
      <c r="L80" s="73">
        <v>750</v>
      </c>
      <c r="M80" s="72">
        <v>2</v>
      </c>
      <c r="N80" s="399">
        <f>L80/'Исп. коэффициенты'!E52*C84</f>
        <v>0.17672506567668961</v>
      </c>
      <c r="O80" s="60"/>
      <c r="P80" s="60">
        <v>2994195.8</v>
      </c>
      <c r="Q80" s="60">
        <v>19.670000000000002</v>
      </c>
      <c r="R80" s="60">
        <v>6513.87</v>
      </c>
      <c r="S80" s="739">
        <f>R80/'Исп. коэффициенты'!E34*+('КМУ УЗИ'!C84)</f>
        <v>1.3361537940838015</v>
      </c>
      <c r="T80" s="239" t="s">
        <v>1435</v>
      </c>
      <c r="U80" s="240">
        <v>6785401.3499999996</v>
      </c>
      <c r="V80" s="740">
        <f>'Исп. коэффициенты'!E124</f>
        <v>2978.5</v>
      </c>
      <c r="W80" s="241">
        <f>'Исп. коэффициенты'!D124</f>
        <v>1.3599999999999999E-2</v>
      </c>
      <c r="X80" s="61">
        <f>U80*W80</f>
        <v>92281.45835999999</v>
      </c>
      <c r="Y80" s="739">
        <f>X80/'Исп. коэффициенты'!E52*C84</f>
        <v>21.744595719215596</v>
      </c>
      <c r="Z80" s="60"/>
      <c r="AA80" s="1"/>
      <c r="AB80" s="1"/>
      <c r="AC80" s="1"/>
      <c r="AD80" s="56"/>
      <c r="AF80" s="151"/>
      <c r="AJ80" s="136"/>
      <c r="AX80" s="3"/>
      <c r="AY80" s="3"/>
      <c r="AZ80" s="3"/>
      <c r="BA80" s="3"/>
    </row>
    <row r="81" spans="1:53" x14ac:dyDescent="0.25">
      <c r="A81" s="1013"/>
      <c r="B81" s="74" t="s">
        <v>1178</v>
      </c>
      <c r="C81" s="223">
        <f>C61</f>
        <v>33.667709452234185</v>
      </c>
      <c r="D81" s="861"/>
      <c r="E81" s="68" t="s">
        <v>2112</v>
      </c>
      <c r="F81" s="69" t="s">
        <v>1</v>
      </c>
      <c r="G81" s="70">
        <v>0.47</v>
      </c>
      <c r="H81" s="69">
        <v>10</v>
      </c>
      <c r="I81" s="242">
        <f>G81*H81</f>
        <v>4.6999999999999993</v>
      </c>
      <c r="J81" s="59" t="s">
        <v>1445</v>
      </c>
      <c r="K81" s="61">
        <v>2</v>
      </c>
      <c r="L81" s="76">
        <v>95</v>
      </c>
      <c r="M81" s="72">
        <v>2</v>
      </c>
      <c r="N81" s="399">
        <f>L81/'Исп. коэффициенты'!E52*C84</f>
        <v>2.2385174985714018E-2</v>
      </c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1"/>
      <c r="AB81" s="1"/>
      <c r="AC81" s="1"/>
      <c r="AD81" s="56"/>
      <c r="AF81" s="151"/>
      <c r="AJ81" s="136"/>
      <c r="AM81" s="145"/>
      <c r="AX81" s="3"/>
      <c r="AY81" s="3"/>
      <c r="AZ81" s="3"/>
      <c r="BA81" s="3"/>
    </row>
    <row r="82" spans="1:53" x14ac:dyDescent="0.25">
      <c r="A82" s="1013"/>
      <c r="B82" s="57" t="s">
        <v>1179</v>
      </c>
      <c r="C82" s="222">
        <f>C62</f>
        <v>0</v>
      </c>
      <c r="D82" s="861"/>
      <c r="E82" s="68" t="s">
        <v>1598</v>
      </c>
      <c r="F82" s="69" t="s">
        <v>1441</v>
      </c>
      <c r="G82" s="70">
        <v>5.36</v>
      </c>
      <c r="H82" s="70">
        <v>1</v>
      </c>
      <c r="I82" s="71">
        <f>G82*H82</f>
        <v>5.36</v>
      </c>
      <c r="J82" s="59" t="s">
        <v>1513</v>
      </c>
      <c r="K82" s="61">
        <v>2</v>
      </c>
      <c r="L82" s="61">
        <v>25</v>
      </c>
      <c r="M82" s="72">
        <v>0.5</v>
      </c>
      <c r="N82" s="399">
        <f>L82/'Исп. коэффициенты'!E52*C84</f>
        <v>5.8908355225563208E-3</v>
      </c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1"/>
      <c r="AB82" s="1"/>
      <c r="AC82" s="1"/>
      <c r="AD82" s="56"/>
      <c r="AF82" s="151"/>
      <c r="AJ82" s="136"/>
      <c r="AX82" s="3"/>
      <c r="AY82" s="3"/>
      <c r="AZ82" s="3"/>
      <c r="BA82" s="3"/>
    </row>
    <row r="83" spans="1:53" x14ac:dyDescent="0.25">
      <c r="A83" s="1013"/>
      <c r="B83" s="57" t="s">
        <v>831</v>
      </c>
      <c r="C83" s="224"/>
      <c r="D83" s="861"/>
      <c r="E83" s="68"/>
      <c r="F83" s="69"/>
      <c r="G83" s="70"/>
      <c r="H83" s="69"/>
      <c r="I83" s="71"/>
      <c r="J83" s="59"/>
      <c r="K83" s="61"/>
      <c r="L83" s="61"/>
      <c r="M83" s="61"/>
      <c r="N83" s="61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1"/>
      <c r="AB83" s="1"/>
      <c r="AC83" s="1"/>
      <c r="AD83" s="56"/>
      <c r="AF83" s="151"/>
      <c r="AJ83" s="136"/>
      <c r="AX83" s="3"/>
      <c r="AY83" s="3"/>
      <c r="AZ83" s="3"/>
      <c r="BA83" s="3"/>
    </row>
    <row r="84" spans="1:53" x14ac:dyDescent="0.25">
      <c r="A84" s="1013"/>
      <c r="B84" s="74" t="s">
        <v>1178</v>
      </c>
      <c r="C84" s="225">
        <v>2.5</v>
      </c>
      <c r="D84" s="861"/>
      <c r="E84" s="68"/>
      <c r="F84" s="69"/>
      <c r="G84" s="70"/>
      <c r="H84" s="69"/>
      <c r="I84" s="71"/>
      <c r="J84" s="59"/>
      <c r="K84" s="61"/>
      <c r="L84" s="61"/>
      <c r="M84" s="61"/>
      <c r="N84" s="61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1"/>
      <c r="AB84" s="1"/>
      <c r="AC84" s="1"/>
      <c r="AD84" s="56"/>
      <c r="AF84" s="151"/>
      <c r="AJ84" s="146"/>
      <c r="AX84" s="3"/>
      <c r="AY84" s="3"/>
      <c r="AZ84" s="3"/>
      <c r="BA84" s="3"/>
    </row>
    <row r="85" spans="1:53" x14ac:dyDescent="0.25">
      <c r="A85" s="1013"/>
      <c r="B85" s="57" t="s">
        <v>1179</v>
      </c>
      <c r="C85" s="225"/>
      <c r="D85" s="861"/>
      <c r="E85" s="68"/>
      <c r="F85" s="69"/>
      <c r="G85" s="70"/>
      <c r="H85" s="69"/>
      <c r="I85" s="71"/>
      <c r="J85" s="59"/>
      <c r="K85" s="61"/>
      <c r="L85" s="61"/>
      <c r="M85" s="61"/>
      <c r="N85" s="61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1"/>
      <c r="AB85" s="1"/>
      <c r="AC85" s="1"/>
      <c r="AD85" s="56"/>
      <c r="AF85" s="151"/>
      <c r="AJ85" s="146"/>
      <c r="AX85" s="3"/>
      <c r="AY85" s="3"/>
      <c r="AZ85" s="3"/>
      <c r="BA85" s="3"/>
    </row>
    <row r="86" spans="1:53" x14ac:dyDescent="0.25">
      <c r="A86" s="1013"/>
      <c r="B86" s="79" t="s">
        <v>1181</v>
      </c>
      <c r="C86" s="222">
        <f>C81*C84+C82*C85</f>
        <v>84.169273630585465</v>
      </c>
      <c r="D86" s="861"/>
      <c r="E86" s="228"/>
      <c r="F86" s="166"/>
      <c r="G86" s="70"/>
      <c r="H86" s="69"/>
      <c r="I86" s="71"/>
      <c r="J86" s="59"/>
      <c r="K86" s="170"/>
      <c r="L86" s="76"/>
      <c r="M86" s="72"/>
      <c r="N86" s="61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1"/>
      <c r="AB86" s="1"/>
      <c r="AC86" s="1"/>
      <c r="AD86" s="56"/>
      <c r="AF86" s="151"/>
      <c r="AJ86" s="136"/>
      <c r="AX86" s="3"/>
      <c r="AY86" s="3"/>
      <c r="AZ86" s="3"/>
      <c r="BA86" s="3"/>
    </row>
    <row r="87" spans="1:53" x14ac:dyDescent="0.25">
      <c r="A87" s="1014"/>
      <c r="B87" s="123"/>
      <c r="C87" s="225"/>
      <c r="D87" s="862"/>
      <c r="E87" s="228"/>
      <c r="F87" s="166"/>
      <c r="G87" s="70"/>
      <c r="H87" s="69"/>
      <c r="I87" s="71"/>
      <c r="J87" s="59"/>
      <c r="K87" s="170"/>
      <c r="L87" s="61"/>
      <c r="M87" s="72"/>
      <c r="N87" s="61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1"/>
      <c r="AB87" s="1"/>
      <c r="AC87" s="1"/>
      <c r="AD87" s="56"/>
      <c r="AF87" s="151"/>
      <c r="AJ87" s="146"/>
      <c r="AX87" s="3"/>
      <c r="AY87" s="3"/>
      <c r="AZ87" s="3"/>
      <c r="BA87" s="3"/>
    </row>
    <row r="88" spans="1:53" ht="56.25" customHeight="1" x14ac:dyDescent="0.25">
      <c r="A88" s="1012" t="s">
        <v>2241</v>
      </c>
      <c r="B88" s="258" t="s">
        <v>2242</v>
      </c>
      <c r="C88" s="222"/>
      <c r="D88" s="860"/>
      <c r="E88" s="226" t="s">
        <v>488</v>
      </c>
      <c r="F88" s="53" t="s">
        <v>837</v>
      </c>
      <c r="G88" s="744" t="s">
        <v>489</v>
      </c>
      <c r="H88" s="52" t="s">
        <v>1170</v>
      </c>
      <c r="I88" s="53" t="s">
        <v>838</v>
      </c>
      <c r="J88" s="47" t="s">
        <v>1171</v>
      </c>
      <c r="K88" s="47" t="s">
        <v>490</v>
      </c>
      <c r="L88" s="54" t="s">
        <v>489</v>
      </c>
      <c r="M88" s="47" t="s">
        <v>1172</v>
      </c>
      <c r="N88" s="53" t="s">
        <v>838</v>
      </c>
      <c r="O88" s="47" t="s">
        <v>1171</v>
      </c>
      <c r="P88" s="47" t="s">
        <v>826</v>
      </c>
      <c r="Q88" s="47" t="s">
        <v>1173</v>
      </c>
      <c r="R88" s="47" t="s">
        <v>1174</v>
      </c>
      <c r="S88" s="47" t="s">
        <v>839</v>
      </c>
      <c r="T88" s="47" t="s">
        <v>1171</v>
      </c>
      <c r="U88" s="47" t="s">
        <v>1392</v>
      </c>
      <c r="V88" s="47" t="s">
        <v>841</v>
      </c>
      <c r="W88" s="231" t="s">
        <v>1173</v>
      </c>
      <c r="X88" s="47" t="s">
        <v>1394</v>
      </c>
      <c r="Y88" s="47" t="s">
        <v>839</v>
      </c>
      <c r="Z88" s="55"/>
      <c r="AA88" s="1"/>
      <c r="AB88" s="1"/>
      <c r="AC88" s="245"/>
      <c r="AD88" s="56"/>
      <c r="AQ88" s="139"/>
      <c r="AR88" s="139"/>
      <c r="AS88" s="139"/>
      <c r="AX88" s="3"/>
      <c r="AY88" s="3"/>
      <c r="AZ88" s="3"/>
      <c r="BA88" s="3"/>
    </row>
    <row r="89" spans="1:53" ht="12.75" customHeight="1" x14ac:dyDescent="0.25">
      <c r="A89" s="1013"/>
      <c r="B89" s="36" t="s">
        <v>1175</v>
      </c>
      <c r="C89" s="222">
        <f>C96</f>
        <v>67.335418904468369</v>
      </c>
      <c r="D89" s="860">
        <f>C89*$D$5</f>
        <v>13.601754618702611</v>
      </c>
      <c r="E89" s="227" t="s">
        <v>1176</v>
      </c>
      <c r="F89" s="165"/>
      <c r="G89" s="58"/>
      <c r="H89" s="58"/>
      <c r="I89" s="2">
        <f>SUM(I90:I97)</f>
        <v>13.059999999999999</v>
      </c>
      <c r="J89" s="59" t="s">
        <v>1176</v>
      </c>
      <c r="K89" s="169"/>
      <c r="L89" s="60"/>
      <c r="M89" s="60"/>
      <c r="N89" s="399">
        <f>SUM(N90:N97)</f>
        <v>0.16400086094796795</v>
      </c>
      <c r="O89" s="60" t="s">
        <v>1176</v>
      </c>
      <c r="P89" s="60"/>
      <c r="Q89" s="62"/>
      <c r="R89" s="63"/>
      <c r="S89" s="399">
        <f>SUM(S90:S97)</f>
        <v>5.6</v>
      </c>
      <c r="T89" s="61"/>
      <c r="U89" s="61"/>
      <c r="V89" s="61"/>
      <c r="W89" s="61"/>
      <c r="X89" s="61"/>
      <c r="Y89" s="399">
        <f>SUM(Y90:Y97)</f>
        <v>17.395676575372477</v>
      </c>
      <c r="Z89" s="64">
        <f>(C89+D89+I89+N89+S89+Y89)*$Z$5</f>
        <v>152.3258957441231</v>
      </c>
      <c r="AA89" s="65">
        <f>C89+D89+I89+N89+S89+Y89+Z89</f>
        <v>269.48274670361451</v>
      </c>
      <c r="AB89" s="66">
        <v>0.25</v>
      </c>
      <c r="AC89" s="244">
        <f>AA89*(1+AB89)</f>
        <v>336.85343337951815</v>
      </c>
      <c r="AD89" s="67"/>
      <c r="AI89" s="139"/>
      <c r="AJ89" s="140"/>
      <c r="AK89" s="141"/>
      <c r="AM89" s="142"/>
      <c r="AN89" s="143"/>
      <c r="AO89" s="142"/>
      <c r="AP89" s="139"/>
      <c r="AQ89" s="139"/>
      <c r="AR89" s="139"/>
      <c r="AS89" s="139"/>
      <c r="AT89" s="139"/>
      <c r="AU89" s="142"/>
      <c r="AV89" s="142"/>
      <c r="AW89" s="144"/>
      <c r="AX89" s="3"/>
      <c r="AY89" s="3"/>
      <c r="AZ89" s="3"/>
      <c r="BA89" s="3"/>
    </row>
    <row r="90" spans="1:53" x14ac:dyDescent="0.25">
      <c r="A90" s="1013"/>
      <c r="B90" s="50" t="s">
        <v>830</v>
      </c>
      <c r="C90" s="222"/>
      <c r="D90" s="861"/>
      <c r="E90" s="68" t="s">
        <v>1437</v>
      </c>
      <c r="F90" s="69" t="s">
        <v>1438</v>
      </c>
      <c r="G90" s="70">
        <v>0.3</v>
      </c>
      <c r="H90" s="69">
        <v>10</v>
      </c>
      <c r="I90" s="71">
        <f>G90*H90</f>
        <v>3</v>
      </c>
      <c r="J90" s="59" t="s">
        <v>1291</v>
      </c>
      <c r="K90" s="72">
        <v>2</v>
      </c>
      <c r="L90" s="73">
        <v>750</v>
      </c>
      <c r="M90" s="72">
        <v>2</v>
      </c>
      <c r="N90" s="399">
        <f>L90/'Исп. коэффициенты'!E52*C94</f>
        <v>0.14138005254135169</v>
      </c>
      <c r="O90" s="60" t="s">
        <v>2273</v>
      </c>
      <c r="P90" s="60"/>
      <c r="Q90" s="60"/>
      <c r="R90" s="60"/>
      <c r="S90" s="60">
        <v>5.6</v>
      </c>
      <c r="T90" s="239" t="s">
        <v>1435</v>
      </c>
      <c r="U90" s="240">
        <v>6785401.3499999996</v>
      </c>
      <c r="V90" s="740">
        <f>'Исп. коэффициенты'!E124</f>
        <v>2978.5</v>
      </c>
      <c r="W90" s="241">
        <f>'Исп. коэффициенты'!D124</f>
        <v>1.3599999999999999E-2</v>
      </c>
      <c r="X90" s="61">
        <f>U90*W90</f>
        <v>92281.45835999999</v>
      </c>
      <c r="Y90" s="739">
        <f>X90/'Исп. коэффициенты'!E52*C94</f>
        <v>17.395676575372477</v>
      </c>
      <c r="Z90" s="60"/>
      <c r="AA90" s="1"/>
      <c r="AB90" s="1"/>
      <c r="AC90" s="1"/>
      <c r="AD90" s="56"/>
      <c r="AF90" s="151"/>
      <c r="AJ90" s="136"/>
      <c r="AX90" s="3"/>
      <c r="AY90" s="3"/>
      <c r="AZ90" s="3"/>
      <c r="BA90" s="3"/>
    </row>
    <row r="91" spans="1:53" x14ac:dyDescent="0.25">
      <c r="A91" s="1013"/>
      <c r="B91" s="74" t="s">
        <v>1178</v>
      </c>
      <c r="C91" s="223">
        <f>C71</f>
        <v>33.667709452234185</v>
      </c>
      <c r="D91" s="861"/>
      <c r="E91" s="68" t="s">
        <v>2112</v>
      </c>
      <c r="F91" s="69" t="s">
        <v>1</v>
      </c>
      <c r="G91" s="70">
        <v>0.47</v>
      </c>
      <c r="H91" s="69">
        <v>10</v>
      </c>
      <c r="I91" s="242">
        <f>G91*H91</f>
        <v>4.6999999999999993</v>
      </c>
      <c r="J91" s="59" t="s">
        <v>1445</v>
      </c>
      <c r="K91" s="61">
        <v>2</v>
      </c>
      <c r="L91" s="76">
        <v>95</v>
      </c>
      <c r="M91" s="72">
        <v>2</v>
      </c>
      <c r="N91" s="399">
        <f>L91/'Исп. коэффициенты'!E52*C94</f>
        <v>1.7908139988571214E-2</v>
      </c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1"/>
      <c r="AB91" s="1"/>
      <c r="AC91" s="1"/>
      <c r="AD91" s="56"/>
      <c r="AF91" s="151"/>
      <c r="AJ91" s="136"/>
      <c r="AM91" s="145"/>
      <c r="AX91" s="3"/>
      <c r="AY91" s="3"/>
      <c r="AZ91" s="3"/>
      <c r="BA91" s="3"/>
    </row>
    <row r="92" spans="1:53" x14ac:dyDescent="0.25">
      <c r="A92" s="1013"/>
      <c r="B92" s="57" t="s">
        <v>1179</v>
      </c>
      <c r="C92" s="222">
        <f>C72</f>
        <v>0</v>
      </c>
      <c r="D92" s="861"/>
      <c r="E92" s="68" t="s">
        <v>1598</v>
      </c>
      <c r="F92" s="69" t="s">
        <v>1441</v>
      </c>
      <c r="G92" s="70">
        <v>5.36</v>
      </c>
      <c r="H92" s="70">
        <v>1</v>
      </c>
      <c r="I92" s="71">
        <f>G92*H92</f>
        <v>5.36</v>
      </c>
      <c r="J92" s="59" t="s">
        <v>1513</v>
      </c>
      <c r="K92" s="61">
        <v>2</v>
      </c>
      <c r="L92" s="61">
        <v>25</v>
      </c>
      <c r="M92" s="72">
        <v>0.5</v>
      </c>
      <c r="N92" s="399">
        <f>L92/'Исп. коэффициенты'!E52*C94</f>
        <v>4.7126684180450566E-3</v>
      </c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1"/>
      <c r="AB92" s="1"/>
      <c r="AC92" s="1"/>
      <c r="AD92" s="56"/>
      <c r="AF92" s="151"/>
      <c r="AJ92" s="136"/>
      <c r="AX92" s="3"/>
      <c r="AY92" s="3"/>
      <c r="AZ92" s="3"/>
      <c r="BA92" s="3"/>
    </row>
    <row r="93" spans="1:53" x14ac:dyDescent="0.25">
      <c r="A93" s="1013"/>
      <c r="B93" s="57" t="s">
        <v>831</v>
      </c>
      <c r="C93" s="224"/>
      <c r="D93" s="861"/>
      <c r="E93" s="68"/>
      <c r="F93" s="69"/>
      <c r="G93" s="70"/>
      <c r="H93" s="69"/>
      <c r="I93" s="71"/>
      <c r="J93" s="59"/>
      <c r="K93" s="61"/>
      <c r="L93" s="61"/>
      <c r="M93" s="61"/>
      <c r="N93" s="61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1"/>
      <c r="AB93" s="1"/>
      <c r="AC93" s="1"/>
      <c r="AD93" s="56"/>
      <c r="AF93" s="151"/>
      <c r="AJ93" s="136"/>
      <c r="AX93" s="3"/>
      <c r="AY93" s="3"/>
      <c r="AZ93" s="3"/>
      <c r="BA93" s="3"/>
    </row>
    <row r="94" spans="1:53" x14ac:dyDescent="0.25">
      <c r="A94" s="1013"/>
      <c r="B94" s="74" t="s">
        <v>1178</v>
      </c>
      <c r="C94" s="225">
        <v>2</v>
      </c>
      <c r="D94" s="861"/>
      <c r="E94" s="68"/>
      <c r="F94" s="69"/>
      <c r="G94" s="70"/>
      <c r="H94" s="69"/>
      <c r="I94" s="71"/>
      <c r="J94" s="59"/>
      <c r="K94" s="61"/>
      <c r="L94" s="61"/>
      <c r="M94" s="61"/>
      <c r="N94" s="61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1"/>
      <c r="AB94" s="1"/>
      <c r="AC94" s="1"/>
      <c r="AD94" s="56"/>
      <c r="AF94" s="151"/>
      <c r="AJ94" s="146"/>
      <c r="AX94" s="3"/>
      <c r="AY94" s="3"/>
      <c r="AZ94" s="3"/>
      <c r="BA94" s="3"/>
    </row>
    <row r="95" spans="1:53" x14ac:dyDescent="0.25">
      <c r="A95" s="1013"/>
      <c r="B95" s="57" t="s">
        <v>1179</v>
      </c>
      <c r="C95" s="225"/>
      <c r="D95" s="861"/>
      <c r="E95" s="68"/>
      <c r="F95" s="69"/>
      <c r="G95" s="70"/>
      <c r="H95" s="69"/>
      <c r="I95" s="71"/>
      <c r="J95" s="59"/>
      <c r="K95" s="61"/>
      <c r="L95" s="61"/>
      <c r="M95" s="61"/>
      <c r="N95" s="61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1"/>
      <c r="AB95" s="1"/>
      <c r="AC95" s="1"/>
      <c r="AD95" s="56"/>
      <c r="AF95" s="151"/>
      <c r="AJ95" s="146"/>
      <c r="AX95" s="3"/>
      <c r="AY95" s="3"/>
      <c r="AZ95" s="3"/>
      <c r="BA95" s="3"/>
    </row>
    <row r="96" spans="1:53" x14ac:dyDescent="0.25">
      <c r="A96" s="1013"/>
      <c r="B96" s="79" t="s">
        <v>1181</v>
      </c>
      <c r="C96" s="222">
        <f>C91*C94+C92*C95</f>
        <v>67.335418904468369</v>
      </c>
      <c r="D96" s="861"/>
      <c r="E96" s="228"/>
      <c r="F96" s="166"/>
      <c r="G96" s="70"/>
      <c r="H96" s="69"/>
      <c r="I96" s="71"/>
      <c r="J96" s="59"/>
      <c r="K96" s="170"/>
      <c r="L96" s="76"/>
      <c r="M96" s="72"/>
      <c r="N96" s="61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1"/>
      <c r="AB96" s="1"/>
      <c r="AC96" s="1"/>
      <c r="AD96" s="56"/>
      <c r="AF96" s="151"/>
      <c r="AJ96" s="136"/>
      <c r="AX96" s="3"/>
      <c r="AY96" s="3"/>
      <c r="AZ96" s="3"/>
      <c r="BA96" s="3"/>
    </row>
    <row r="97" spans="1:53" x14ac:dyDescent="0.25">
      <c r="A97" s="1014"/>
      <c r="B97" s="123"/>
      <c r="C97" s="225"/>
      <c r="D97" s="862"/>
      <c r="E97" s="228"/>
      <c r="F97" s="166"/>
      <c r="G97" s="70"/>
      <c r="H97" s="69"/>
      <c r="I97" s="71"/>
      <c r="J97" s="59"/>
      <c r="K97" s="170"/>
      <c r="L97" s="61"/>
      <c r="M97" s="72"/>
      <c r="N97" s="61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1"/>
      <c r="AB97" s="1"/>
      <c r="AC97" s="1"/>
      <c r="AD97" s="56"/>
      <c r="AF97" s="151"/>
      <c r="AJ97" s="146"/>
      <c r="AX97" s="3"/>
      <c r="AY97" s="3"/>
      <c r="AZ97" s="3"/>
      <c r="BA97" s="3"/>
    </row>
    <row r="98" spans="1:53" ht="56.25" customHeight="1" x14ac:dyDescent="0.25">
      <c r="A98" s="1012" t="s">
        <v>2243</v>
      </c>
      <c r="B98" s="258" t="s">
        <v>2244</v>
      </c>
      <c r="C98" s="222"/>
      <c r="D98" s="860"/>
      <c r="E98" s="226" t="s">
        <v>488</v>
      </c>
      <c r="F98" s="53" t="s">
        <v>837</v>
      </c>
      <c r="G98" s="744" t="s">
        <v>489</v>
      </c>
      <c r="H98" s="52" t="s">
        <v>1170</v>
      </c>
      <c r="I98" s="53" t="s">
        <v>838</v>
      </c>
      <c r="J98" s="47" t="s">
        <v>1171</v>
      </c>
      <c r="K98" s="47" t="s">
        <v>490</v>
      </c>
      <c r="L98" s="54" t="s">
        <v>489</v>
      </c>
      <c r="M98" s="47" t="s">
        <v>1172</v>
      </c>
      <c r="N98" s="53" t="s">
        <v>838</v>
      </c>
      <c r="O98" s="47" t="s">
        <v>1171</v>
      </c>
      <c r="P98" s="47" t="s">
        <v>826</v>
      </c>
      <c r="Q98" s="47" t="s">
        <v>1173</v>
      </c>
      <c r="R98" s="47" t="s">
        <v>1174</v>
      </c>
      <c r="S98" s="47" t="s">
        <v>839</v>
      </c>
      <c r="T98" s="47" t="s">
        <v>1171</v>
      </c>
      <c r="U98" s="47" t="s">
        <v>1392</v>
      </c>
      <c r="V98" s="47" t="s">
        <v>841</v>
      </c>
      <c r="W98" s="231" t="s">
        <v>1173</v>
      </c>
      <c r="X98" s="47" t="s">
        <v>1394</v>
      </c>
      <c r="Y98" s="47" t="s">
        <v>839</v>
      </c>
      <c r="Z98" s="55"/>
      <c r="AA98" s="1"/>
      <c r="AB98" s="1"/>
      <c r="AC98" s="245"/>
      <c r="AD98" s="56"/>
      <c r="AQ98" s="139"/>
      <c r="AR98" s="139"/>
      <c r="AS98" s="139"/>
      <c r="AX98" s="3"/>
      <c r="AY98" s="3"/>
      <c r="AZ98" s="3"/>
      <c r="BA98" s="3"/>
    </row>
    <row r="99" spans="1:53" ht="12.75" customHeight="1" x14ac:dyDescent="0.25">
      <c r="A99" s="1013"/>
      <c r="B99" s="36" t="s">
        <v>1175</v>
      </c>
      <c r="C99" s="222">
        <f>C106</f>
        <v>67.335418904468369</v>
      </c>
      <c r="D99" s="860">
        <f>C99*$D$5</f>
        <v>13.601754618702611</v>
      </c>
      <c r="E99" s="227" t="s">
        <v>1176</v>
      </c>
      <c r="F99" s="165"/>
      <c r="G99" s="58"/>
      <c r="H99" s="58"/>
      <c r="I99" s="2">
        <f>SUM(I100:I107)</f>
        <v>13.059999999999999</v>
      </c>
      <c r="J99" s="59" t="s">
        <v>1176</v>
      </c>
      <c r="K99" s="169"/>
      <c r="L99" s="60"/>
      <c r="M99" s="60"/>
      <c r="N99" s="399">
        <f>SUM(N100:N107)</f>
        <v>0.16400086094796795</v>
      </c>
      <c r="O99" s="60" t="s">
        <v>1176</v>
      </c>
      <c r="P99" s="60"/>
      <c r="Q99" s="62"/>
      <c r="R99" s="63"/>
      <c r="S99" s="399">
        <f>SUM(S100:S107)</f>
        <v>1.3361537940838015</v>
      </c>
      <c r="T99" s="61"/>
      <c r="U99" s="61"/>
      <c r="V99" s="61"/>
      <c r="W99" s="61"/>
      <c r="X99" s="61"/>
      <c r="Y99" s="399">
        <f>SUM(Y100:Y107)</f>
        <v>17.395676575372477</v>
      </c>
      <c r="Z99" s="64">
        <f>(C99+D99+I99+N99+S99+Y99)*$Z$5</f>
        <v>146.78209538322116</v>
      </c>
      <c r="AA99" s="65">
        <f>C99+D99+I99+N99+S99+Y99+Z99</f>
        <v>259.6751001367964</v>
      </c>
      <c r="AB99" s="66">
        <v>0.25</v>
      </c>
      <c r="AC99" s="244">
        <f>AA99*(1+AB99)</f>
        <v>324.59387517099549</v>
      </c>
      <c r="AD99" s="67"/>
      <c r="AI99" s="139"/>
      <c r="AJ99" s="140"/>
      <c r="AK99" s="141"/>
      <c r="AM99" s="142"/>
      <c r="AN99" s="143"/>
      <c r="AO99" s="142"/>
      <c r="AP99" s="139"/>
      <c r="AQ99" s="139"/>
      <c r="AR99" s="139"/>
      <c r="AS99" s="139"/>
      <c r="AT99" s="139"/>
      <c r="AU99" s="142"/>
      <c r="AV99" s="142"/>
      <c r="AW99" s="144"/>
      <c r="AX99" s="3"/>
      <c r="AY99" s="3"/>
      <c r="AZ99" s="3"/>
      <c r="BA99" s="3"/>
    </row>
    <row r="100" spans="1:53" x14ac:dyDescent="0.25">
      <c r="A100" s="1013"/>
      <c r="B100" s="50" t="s">
        <v>830</v>
      </c>
      <c r="C100" s="222"/>
      <c r="D100" s="861"/>
      <c r="E100" s="68" t="s">
        <v>1437</v>
      </c>
      <c r="F100" s="69" t="s">
        <v>1438</v>
      </c>
      <c r="G100" s="70">
        <v>0.3</v>
      </c>
      <c r="H100" s="69">
        <v>10</v>
      </c>
      <c r="I100" s="71">
        <f>G100*H100</f>
        <v>3</v>
      </c>
      <c r="J100" s="59" t="s">
        <v>1291</v>
      </c>
      <c r="K100" s="72">
        <v>2</v>
      </c>
      <c r="L100" s="73">
        <v>750</v>
      </c>
      <c r="M100" s="72">
        <v>2</v>
      </c>
      <c r="N100" s="399">
        <f>L100/'Исп. коэффициенты'!E52*C104</f>
        <v>0.14138005254135169</v>
      </c>
      <c r="O100" s="60"/>
      <c r="P100" s="60"/>
      <c r="Q100" s="60">
        <v>19.670000000000002</v>
      </c>
      <c r="R100" s="60">
        <v>6513.87</v>
      </c>
      <c r="S100" s="739">
        <f>R100/'Исп. коэффициенты'!E34*+('КМУ УЗИ'!C104)</f>
        <v>1.3361537940838015</v>
      </c>
      <c r="T100" s="239" t="s">
        <v>1435</v>
      </c>
      <c r="U100" s="240">
        <v>6785401.3499999996</v>
      </c>
      <c r="V100" s="740">
        <f>'Исп. коэффициенты'!E124</f>
        <v>2978.5</v>
      </c>
      <c r="W100" s="241">
        <f>'Исп. коэффициенты'!D124</f>
        <v>1.3599999999999999E-2</v>
      </c>
      <c r="X100" s="61">
        <f>U100*W100</f>
        <v>92281.45835999999</v>
      </c>
      <c r="Y100" s="739">
        <f>X100/'Исп. коэффициенты'!E52*C104</f>
        <v>17.395676575372477</v>
      </c>
      <c r="Z100" s="60"/>
      <c r="AA100" s="1"/>
      <c r="AB100" s="1"/>
      <c r="AC100" s="1"/>
      <c r="AD100" s="56"/>
      <c r="AF100" s="151"/>
      <c r="AJ100" s="136"/>
      <c r="AX100" s="3"/>
      <c r="AY100" s="3"/>
      <c r="AZ100" s="3"/>
      <c r="BA100" s="3"/>
    </row>
    <row r="101" spans="1:53" x14ac:dyDescent="0.25">
      <c r="A101" s="1013"/>
      <c r="B101" s="74" t="s">
        <v>1178</v>
      </c>
      <c r="C101" s="223">
        <f>C81</f>
        <v>33.667709452234185</v>
      </c>
      <c r="D101" s="861"/>
      <c r="E101" s="68" t="s">
        <v>2112</v>
      </c>
      <c r="F101" s="69" t="s">
        <v>1</v>
      </c>
      <c r="G101" s="70">
        <v>0.47</v>
      </c>
      <c r="H101" s="69">
        <v>10</v>
      </c>
      <c r="I101" s="242">
        <f>G101*H101</f>
        <v>4.6999999999999993</v>
      </c>
      <c r="J101" s="59" t="s">
        <v>1445</v>
      </c>
      <c r="K101" s="61">
        <v>2</v>
      </c>
      <c r="L101" s="76">
        <v>95</v>
      </c>
      <c r="M101" s="72">
        <v>2</v>
      </c>
      <c r="N101" s="399">
        <f>L101/'Исп. коэффициенты'!E52*C104</f>
        <v>1.7908139988571214E-2</v>
      </c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1"/>
      <c r="AB101" s="1"/>
      <c r="AC101" s="1"/>
      <c r="AD101" s="56"/>
      <c r="AF101" s="151"/>
      <c r="AJ101" s="136"/>
      <c r="AM101" s="145"/>
      <c r="AX101" s="3"/>
      <c r="AY101" s="3"/>
      <c r="AZ101" s="3"/>
      <c r="BA101" s="3"/>
    </row>
    <row r="102" spans="1:53" x14ac:dyDescent="0.25">
      <c r="A102" s="1013"/>
      <c r="B102" s="57" t="s">
        <v>1179</v>
      </c>
      <c r="C102" s="222">
        <f>C82</f>
        <v>0</v>
      </c>
      <c r="D102" s="861"/>
      <c r="E102" s="68" t="s">
        <v>1598</v>
      </c>
      <c r="F102" s="69" t="s">
        <v>1441</v>
      </c>
      <c r="G102" s="70">
        <v>5.36</v>
      </c>
      <c r="H102" s="70">
        <v>1</v>
      </c>
      <c r="I102" s="71">
        <f>G102*H102</f>
        <v>5.36</v>
      </c>
      <c r="J102" s="59" t="s">
        <v>1513</v>
      </c>
      <c r="K102" s="61">
        <v>2</v>
      </c>
      <c r="L102" s="61">
        <v>25</v>
      </c>
      <c r="M102" s="72">
        <v>0.5</v>
      </c>
      <c r="N102" s="399">
        <f>L102/'Исп. коэффициенты'!E52*C104</f>
        <v>4.7126684180450566E-3</v>
      </c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1"/>
      <c r="AB102" s="1"/>
      <c r="AC102" s="1"/>
      <c r="AD102" s="56"/>
      <c r="AF102" s="151"/>
      <c r="AJ102" s="136"/>
      <c r="AX102" s="3"/>
      <c r="AY102" s="3"/>
      <c r="AZ102" s="3"/>
      <c r="BA102" s="3"/>
    </row>
    <row r="103" spans="1:53" x14ac:dyDescent="0.25">
      <c r="A103" s="1013"/>
      <c r="B103" s="57" t="s">
        <v>831</v>
      </c>
      <c r="C103" s="224"/>
      <c r="D103" s="861"/>
      <c r="E103" s="68"/>
      <c r="F103" s="69"/>
      <c r="G103" s="70"/>
      <c r="H103" s="69"/>
      <c r="I103" s="71"/>
      <c r="J103" s="59"/>
      <c r="K103" s="61"/>
      <c r="L103" s="61"/>
      <c r="M103" s="61"/>
      <c r="N103" s="61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1"/>
      <c r="AB103" s="1"/>
      <c r="AC103" s="1"/>
      <c r="AD103" s="56"/>
      <c r="AF103" s="151"/>
      <c r="AJ103" s="136"/>
      <c r="AX103" s="3"/>
      <c r="AY103" s="3"/>
      <c r="AZ103" s="3"/>
      <c r="BA103" s="3"/>
    </row>
    <row r="104" spans="1:53" x14ac:dyDescent="0.25">
      <c r="A104" s="1013"/>
      <c r="B104" s="74" t="s">
        <v>1178</v>
      </c>
      <c r="C104" s="225">
        <v>2</v>
      </c>
      <c r="D104" s="861"/>
      <c r="E104" s="68"/>
      <c r="F104" s="69"/>
      <c r="G104" s="70"/>
      <c r="H104" s="69"/>
      <c r="I104" s="71"/>
      <c r="J104" s="59"/>
      <c r="K104" s="61"/>
      <c r="L104" s="61"/>
      <c r="M104" s="61"/>
      <c r="N104" s="61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1"/>
      <c r="AB104" s="1"/>
      <c r="AC104" s="1"/>
      <c r="AD104" s="56"/>
      <c r="AF104" s="151"/>
      <c r="AJ104" s="146"/>
      <c r="AX104" s="3"/>
      <c r="AY104" s="3"/>
      <c r="AZ104" s="3"/>
      <c r="BA104" s="3"/>
    </row>
    <row r="105" spans="1:53" x14ac:dyDescent="0.25">
      <c r="A105" s="1013"/>
      <c r="B105" s="57" t="s">
        <v>1179</v>
      </c>
      <c r="C105" s="225"/>
      <c r="D105" s="861"/>
      <c r="E105" s="68"/>
      <c r="F105" s="69"/>
      <c r="G105" s="70"/>
      <c r="H105" s="69"/>
      <c r="I105" s="71"/>
      <c r="J105" s="59"/>
      <c r="K105" s="61"/>
      <c r="L105" s="61"/>
      <c r="M105" s="61"/>
      <c r="N105" s="61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1"/>
      <c r="AB105" s="1"/>
      <c r="AC105" s="1"/>
      <c r="AD105" s="56"/>
      <c r="AF105" s="151"/>
      <c r="AJ105" s="146"/>
      <c r="AX105" s="3"/>
      <c r="AY105" s="3"/>
      <c r="AZ105" s="3"/>
      <c r="BA105" s="3"/>
    </row>
    <row r="106" spans="1:53" x14ac:dyDescent="0.25">
      <c r="A106" s="1013"/>
      <c r="B106" s="79" t="s">
        <v>1181</v>
      </c>
      <c r="C106" s="222">
        <f>C101*C104+C102*C105</f>
        <v>67.335418904468369</v>
      </c>
      <c r="D106" s="861"/>
      <c r="E106" s="228"/>
      <c r="F106" s="166"/>
      <c r="G106" s="70"/>
      <c r="H106" s="69"/>
      <c r="I106" s="71"/>
      <c r="J106" s="59"/>
      <c r="K106" s="170"/>
      <c r="L106" s="76"/>
      <c r="M106" s="72"/>
      <c r="N106" s="61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1"/>
      <c r="AB106" s="1"/>
      <c r="AC106" s="1"/>
      <c r="AD106" s="56"/>
      <c r="AF106" s="151"/>
      <c r="AJ106" s="136"/>
      <c r="AX106" s="3"/>
      <c r="AY106" s="3"/>
      <c r="AZ106" s="3"/>
      <c r="BA106" s="3"/>
    </row>
    <row r="107" spans="1:53" x14ac:dyDescent="0.25">
      <c r="A107" s="1014"/>
      <c r="B107" s="123"/>
      <c r="C107" s="225"/>
      <c r="D107" s="862"/>
      <c r="E107" s="228"/>
      <c r="F107" s="166"/>
      <c r="G107" s="70"/>
      <c r="H107" s="69"/>
      <c r="I107" s="71"/>
      <c r="J107" s="59"/>
      <c r="K107" s="170"/>
      <c r="L107" s="61"/>
      <c r="M107" s="72"/>
      <c r="N107" s="61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1"/>
      <c r="AB107" s="1"/>
      <c r="AC107" s="1"/>
      <c r="AD107" s="56"/>
      <c r="AF107" s="151"/>
      <c r="AJ107" s="146"/>
      <c r="AX107" s="3"/>
      <c r="AY107" s="3"/>
      <c r="AZ107" s="3"/>
      <c r="BA107" s="3"/>
    </row>
    <row r="108" spans="1:53" ht="56.25" customHeight="1" x14ac:dyDescent="0.25">
      <c r="A108" s="1012" t="s">
        <v>2245</v>
      </c>
      <c r="B108" s="258" t="s">
        <v>2246</v>
      </c>
      <c r="C108" s="222"/>
      <c r="D108" s="860"/>
      <c r="E108" s="226" t="s">
        <v>488</v>
      </c>
      <c r="F108" s="53" t="s">
        <v>837</v>
      </c>
      <c r="G108" s="744" t="s">
        <v>489</v>
      </c>
      <c r="H108" s="52" t="s">
        <v>1170</v>
      </c>
      <c r="I108" s="53" t="s">
        <v>838</v>
      </c>
      <c r="J108" s="47" t="s">
        <v>1171</v>
      </c>
      <c r="K108" s="47" t="s">
        <v>490</v>
      </c>
      <c r="L108" s="54" t="s">
        <v>489</v>
      </c>
      <c r="M108" s="47" t="s">
        <v>1172</v>
      </c>
      <c r="N108" s="53" t="s">
        <v>838</v>
      </c>
      <c r="O108" s="47" t="s">
        <v>1171</v>
      </c>
      <c r="P108" s="47" t="s">
        <v>826</v>
      </c>
      <c r="Q108" s="47" t="s">
        <v>1173</v>
      </c>
      <c r="R108" s="47" t="s">
        <v>1174</v>
      </c>
      <c r="S108" s="47" t="s">
        <v>839</v>
      </c>
      <c r="T108" s="47" t="s">
        <v>1171</v>
      </c>
      <c r="U108" s="47" t="s">
        <v>1392</v>
      </c>
      <c r="V108" s="47" t="s">
        <v>841</v>
      </c>
      <c r="W108" s="231" t="s">
        <v>1173</v>
      </c>
      <c r="X108" s="47" t="s">
        <v>1394</v>
      </c>
      <c r="Y108" s="47" t="s">
        <v>839</v>
      </c>
      <c r="Z108" s="55"/>
      <c r="AA108" s="1"/>
      <c r="AB108" s="1"/>
      <c r="AC108" s="245"/>
      <c r="AD108" s="56"/>
      <c r="AQ108" s="139"/>
      <c r="AR108" s="139"/>
      <c r="AS108" s="139"/>
      <c r="AX108" s="3"/>
      <c r="AY108" s="3"/>
      <c r="AZ108" s="3"/>
      <c r="BA108" s="3"/>
    </row>
    <row r="109" spans="1:53" ht="12.75" customHeight="1" x14ac:dyDescent="0.25">
      <c r="A109" s="1013"/>
      <c r="B109" s="36" t="s">
        <v>1175</v>
      </c>
      <c r="C109" s="222">
        <f>C116</f>
        <v>84.169273630585465</v>
      </c>
      <c r="D109" s="860">
        <f>C109*$D$5</f>
        <v>17.002193273378264</v>
      </c>
      <c r="E109" s="227" t="s">
        <v>1176</v>
      </c>
      <c r="F109" s="165"/>
      <c r="G109" s="58"/>
      <c r="H109" s="58"/>
      <c r="I109" s="2">
        <f>SUM(I110:I117)</f>
        <v>13.059999999999999</v>
      </c>
      <c r="J109" s="59" t="s">
        <v>1176</v>
      </c>
      <c r="K109" s="169"/>
      <c r="L109" s="60"/>
      <c r="M109" s="60"/>
      <c r="N109" s="399">
        <f>SUM(N110:N117)</f>
        <v>0.20500107618495994</v>
      </c>
      <c r="O109" s="60" t="s">
        <v>1176</v>
      </c>
      <c r="P109" s="60"/>
      <c r="Q109" s="62"/>
      <c r="R109" s="63"/>
      <c r="S109" s="399">
        <f>SUM(S110:S117)</f>
        <v>0.63034767692403459</v>
      </c>
      <c r="T109" s="61"/>
      <c r="U109" s="61"/>
      <c r="V109" s="61"/>
      <c r="W109" s="61"/>
      <c r="X109" s="61"/>
      <c r="Y109" s="399">
        <f>SUM(Y110:Y117)</f>
        <v>21.744595719215596</v>
      </c>
      <c r="Z109" s="64">
        <f>(C109+D109+I109+N109+S109+Y109)*$Z$5</f>
        <v>177.88051330533389</v>
      </c>
      <c r="AA109" s="65">
        <f>C109+D109+I109+N109+S109+Y109+Z109</f>
        <v>314.69192468162225</v>
      </c>
      <c r="AB109" s="66">
        <v>0.25</v>
      </c>
      <c r="AC109" s="244">
        <f>AA109*(1+AB109)</f>
        <v>393.36490585202785</v>
      </c>
      <c r="AD109" s="67"/>
      <c r="AI109" s="139"/>
      <c r="AJ109" s="140"/>
      <c r="AK109" s="141"/>
      <c r="AM109" s="142"/>
      <c r="AN109" s="143"/>
      <c r="AO109" s="142"/>
      <c r="AP109" s="139"/>
      <c r="AQ109" s="139"/>
      <c r="AR109" s="139"/>
      <c r="AS109" s="139"/>
      <c r="AT109" s="139"/>
      <c r="AU109" s="142"/>
      <c r="AV109" s="142"/>
      <c r="AW109" s="144"/>
      <c r="AX109" s="3"/>
      <c r="AY109" s="3"/>
      <c r="AZ109" s="3"/>
      <c r="BA109" s="3"/>
    </row>
    <row r="110" spans="1:53" x14ac:dyDescent="0.25">
      <c r="A110" s="1013"/>
      <c r="B110" s="50" t="s">
        <v>830</v>
      </c>
      <c r="C110" s="222"/>
      <c r="D110" s="861"/>
      <c r="E110" s="68" t="s">
        <v>1437</v>
      </c>
      <c r="F110" s="69" t="s">
        <v>1438</v>
      </c>
      <c r="G110" s="70">
        <v>0.3</v>
      </c>
      <c r="H110" s="69">
        <v>10</v>
      </c>
      <c r="I110" s="71">
        <f>G110*H110</f>
        <v>3</v>
      </c>
      <c r="J110" s="59" t="s">
        <v>1291</v>
      </c>
      <c r="K110" s="72">
        <v>2</v>
      </c>
      <c r="L110" s="73">
        <v>750</v>
      </c>
      <c r="M110" s="72">
        <v>2</v>
      </c>
      <c r="N110" s="399">
        <f>L110/'Исп. коэффициенты'!E52*C114</f>
        <v>0.17672506567668961</v>
      </c>
      <c r="O110" s="60" t="s">
        <v>2266</v>
      </c>
      <c r="P110" s="60">
        <v>13600</v>
      </c>
      <c r="Q110" s="60">
        <v>19.670000000000002</v>
      </c>
      <c r="R110" s="60">
        <f>P110*Q110%</f>
        <v>2675.1200000000003</v>
      </c>
      <c r="S110" s="739">
        <f>R110/'Исп. коэффициенты'!E52*C114</f>
        <v>0.63034767692403459</v>
      </c>
      <c r="T110" s="239" t="s">
        <v>1435</v>
      </c>
      <c r="U110" s="240">
        <v>6785401.3499999996</v>
      </c>
      <c r="V110" s="740">
        <f>'Исп. коэффициенты'!E124</f>
        <v>2978.5</v>
      </c>
      <c r="W110" s="241">
        <f>'Исп. коэффициенты'!D124</f>
        <v>1.3599999999999999E-2</v>
      </c>
      <c r="X110" s="61">
        <f>U110*W110</f>
        <v>92281.45835999999</v>
      </c>
      <c r="Y110" s="739">
        <f>X110/'Исп. коэффициенты'!E52*C114</f>
        <v>21.744595719215596</v>
      </c>
      <c r="Z110" s="60"/>
      <c r="AA110" s="1"/>
      <c r="AB110" s="1"/>
      <c r="AC110" s="1"/>
      <c r="AD110" s="56"/>
      <c r="AF110" s="151"/>
      <c r="AJ110" s="136"/>
      <c r="AX110" s="3"/>
      <c r="AY110" s="3"/>
      <c r="AZ110" s="3"/>
      <c r="BA110" s="3"/>
    </row>
    <row r="111" spans="1:53" x14ac:dyDescent="0.25">
      <c r="A111" s="1013"/>
      <c r="B111" s="74" t="s">
        <v>1178</v>
      </c>
      <c r="C111" s="223">
        <f>C91</f>
        <v>33.667709452234185</v>
      </c>
      <c r="D111" s="861"/>
      <c r="E111" s="68" t="s">
        <v>2112</v>
      </c>
      <c r="F111" s="69" t="s">
        <v>1</v>
      </c>
      <c r="G111" s="70">
        <v>0.47</v>
      </c>
      <c r="H111" s="69">
        <v>10</v>
      </c>
      <c r="I111" s="242">
        <f>G111*H111</f>
        <v>4.6999999999999993</v>
      </c>
      <c r="J111" s="59" t="s">
        <v>1445</v>
      </c>
      <c r="K111" s="61">
        <v>2</v>
      </c>
      <c r="L111" s="76">
        <v>95</v>
      </c>
      <c r="M111" s="72">
        <v>2</v>
      </c>
      <c r="N111" s="399">
        <f>L111/'Исп. коэффициенты'!E52*C114</f>
        <v>2.2385174985714018E-2</v>
      </c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1"/>
      <c r="AB111" s="1"/>
      <c r="AC111" s="1"/>
      <c r="AD111" s="56"/>
      <c r="AF111" s="151"/>
      <c r="AJ111" s="136"/>
      <c r="AM111" s="145"/>
      <c r="AX111" s="3"/>
      <c r="AY111" s="3"/>
      <c r="AZ111" s="3"/>
      <c r="BA111" s="3"/>
    </row>
    <row r="112" spans="1:53" x14ac:dyDescent="0.25">
      <c r="A112" s="1013"/>
      <c r="B112" s="57" t="s">
        <v>1179</v>
      </c>
      <c r="C112" s="222">
        <f>C92</f>
        <v>0</v>
      </c>
      <c r="D112" s="861"/>
      <c r="E112" s="68" t="s">
        <v>1598</v>
      </c>
      <c r="F112" s="69" t="s">
        <v>1441</v>
      </c>
      <c r="G112" s="70">
        <v>5.36</v>
      </c>
      <c r="H112" s="70">
        <v>1</v>
      </c>
      <c r="I112" s="71">
        <f>G112*H112</f>
        <v>5.36</v>
      </c>
      <c r="J112" s="59" t="s">
        <v>1513</v>
      </c>
      <c r="K112" s="61">
        <v>2</v>
      </c>
      <c r="L112" s="61">
        <v>25</v>
      </c>
      <c r="M112" s="72">
        <v>0.5</v>
      </c>
      <c r="N112" s="399">
        <f>L112/'Исп. коэффициенты'!E52*C114</f>
        <v>5.8908355225563208E-3</v>
      </c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1"/>
      <c r="AB112" s="1"/>
      <c r="AC112" s="1"/>
      <c r="AD112" s="56"/>
      <c r="AF112" s="151"/>
      <c r="AJ112" s="136"/>
      <c r="AX112" s="3"/>
      <c r="AY112" s="3"/>
      <c r="AZ112" s="3"/>
      <c r="BA112" s="3"/>
    </row>
    <row r="113" spans="1:53" x14ac:dyDescent="0.25">
      <c r="A113" s="1013"/>
      <c r="B113" s="57" t="s">
        <v>831</v>
      </c>
      <c r="C113" s="224"/>
      <c r="D113" s="861"/>
      <c r="E113" s="68"/>
      <c r="F113" s="69"/>
      <c r="G113" s="70"/>
      <c r="H113" s="69"/>
      <c r="I113" s="71"/>
      <c r="J113" s="59"/>
      <c r="K113" s="61"/>
      <c r="L113" s="61"/>
      <c r="M113" s="61"/>
      <c r="N113" s="61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1"/>
      <c r="AB113" s="1"/>
      <c r="AC113" s="1"/>
      <c r="AD113" s="56"/>
      <c r="AF113" s="151"/>
      <c r="AJ113" s="136"/>
      <c r="AX113" s="3"/>
      <c r="AY113" s="3"/>
      <c r="AZ113" s="3"/>
      <c r="BA113" s="3"/>
    </row>
    <row r="114" spans="1:53" x14ac:dyDescent="0.25">
      <c r="A114" s="1013"/>
      <c r="B114" s="74" t="s">
        <v>1178</v>
      </c>
      <c r="C114" s="225">
        <v>2.5</v>
      </c>
      <c r="D114" s="861"/>
      <c r="E114" s="68"/>
      <c r="F114" s="69"/>
      <c r="G114" s="70"/>
      <c r="H114" s="69"/>
      <c r="I114" s="71"/>
      <c r="J114" s="59"/>
      <c r="K114" s="61"/>
      <c r="L114" s="61"/>
      <c r="M114" s="61"/>
      <c r="N114" s="61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1"/>
      <c r="AB114" s="1"/>
      <c r="AC114" s="1"/>
      <c r="AD114" s="56"/>
      <c r="AF114" s="151"/>
      <c r="AJ114" s="146"/>
      <c r="AX114" s="3"/>
      <c r="AY114" s="3"/>
      <c r="AZ114" s="3"/>
      <c r="BA114" s="3"/>
    </row>
    <row r="115" spans="1:53" x14ac:dyDescent="0.25">
      <c r="A115" s="1013"/>
      <c r="B115" s="57" t="s">
        <v>1179</v>
      </c>
      <c r="C115" s="225">
        <v>0</v>
      </c>
      <c r="D115" s="861"/>
      <c r="E115" s="68"/>
      <c r="F115" s="69"/>
      <c r="G115" s="70"/>
      <c r="H115" s="69"/>
      <c r="I115" s="71"/>
      <c r="J115" s="59"/>
      <c r="K115" s="61"/>
      <c r="L115" s="61"/>
      <c r="M115" s="61"/>
      <c r="N115" s="61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1"/>
      <c r="AB115" s="1"/>
      <c r="AC115" s="1"/>
      <c r="AD115" s="56"/>
      <c r="AF115" s="151"/>
      <c r="AJ115" s="146"/>
      <c r="AX115" s="3"/>
      <c r="AY115" s="3"/>
      <c r="AZ115" s="3"/>
      <c r="BA115" s="3"/>
    </row>
    <row r="116" spans="1:53" x14ac:dyDescent="0.25">
      <c r="A116" s="1013"/>
      <c r="B116" s="79" t="s">
        <v>1181</v>
      </c>
      <c r="C116" s="222">
        <f>C111*C114+C112*C115</f>
        <v>84.169273630585465</v>
      </c>
      <c r="D116" s="861"/>
      <c r="E116" s="228"/>
      <c r="F116" s="166"/>
      <c r="G116" s="70"/>
      <c r="H116" s="69"/>
      <c r="I116" s="71"/>
      <c r="J116" s="59"/>
      <c r="K116" s="170"/>
      <c r="L116" s="76"/>
      <c r="M116" s="72"/>
      <c r="N116" s="61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1"/>
      <c r="AB116" s="1"/>
      <c r="AC116" s="1"/>
      <c r="AD116" s="56"/>
      <c r="AF116" s="151"/>
      <c r="AJ116" s="136"/>
      <c r="AX116" s="3"/>
      <c r="AY116" s="3"/>
      <c r="AZ116" s="3"/>
      <c r="BA116" s="3"/>
    </row>
    <row r="117" spans="1:53" x14ac:dyDescent="0.25">
      <c r="A117" s="1014"/>
      <c r="B117" s="123"/>
      <c r="C117" s="225"/>
      <c r="D117" s="862"/>
      <c r="E117" s="228"/>
      <c r="F117" s="166"/>
      <c r="G117" s="70"/>
      <c r="H117" s="69"/>
      <c r="I117" s="71"/>
      <c r="J117" s="59"/>
      <c r="K117" s="170"/>
      <c r="L117" s="61"/>
      <c r="M117" s="72"/>
      <c r="N117" s="61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1"/>
      <c r="AB117" s="1"/>
      <c r="AC117" s="1"/>
      <c r="AD117" s="56"/>
      <c r="AF117" s="151"/>
      <c r="AJ117" s="146"/>
      <c r="AX117" s="3"/>
      <c r="AY117" s="3"/>
      <c r="AZ117" s="3"/>
      <c r="BA117" s="3"/>
    </row>
    <row r="118" spans="1:53" ht="56.25" customHeight="1" x14ac:dyDescent="0.25">
      <c r="A118" s="1012" t="s">
        <v>2247</v>
      </c>
      <c r="B118" s="258" t="s">
        <v>2248</v>
      </c>
      <c r="C118" s="222"/>
      <c r="D118" s="860"/>
      <c r="E118" s="226" t="s">
        <v>488</v>
      </c>
      <c r="F118" s="53" t="s">
        <v>837</v>
      </c>
      <c r="G118" s="744" t="s">
        <v>489</v>
      </c>
      <c r="H118" s="52" t="s">
        <v>1170</v>
      </c>
      <c r="I118" s="53" t="s">
        <v>838</v>
      </c>
      <c r="J118" s="47" t="s">
        <v>1171</v>
      </c>
      <c r="K118" s="47" t="s">
        <v>490</v>
      </c>
      <c r="L118" s="54" t="s">
        <v>489</v>
      </c>
      <c r="M118" s="47" t="s">
        <v>1172</v>
      </c>
      <c r="N118" s="53" t="s">
        <v>838</v>
      </c>
      <c r="O118" s="47" t="s">
        <v>1171</v>
      </c>
      <c r="P118" s="47" t="s">
        <v>826</v>
      </c>
      <c r="Q118" s="47" t="s">
        <v>1173</v>
      </c>
      <c r="R118" s="47" t="s">
        <v>1174</v>
      </c>
      <c r="S118" s="47" t="s">
        <v>839</v>
      </c>
      <c r="T118" s="47" t="s">
        <v>1171</v>
      </c>
      <c r="U118" s="47" t="s">
        <v>1392</v>
      </c>
      <c r="V118" s="47" t="s">
        <v>841</v>
      </c>
      <c r="W118" s="231" t="s">
        <v>1173</v>
      </c>
      <c r="X118" s="47" t="s">
        <v>1394</v>
      </c>
      <c r="Y118" s="47" t="s">
        <v>839</v>
      </c>
      <c r="Z118" s="55"/>
      <c r="AA118" s="1"/>
      <c r="AB118" s="1"/>
      <c r="AC118" s="245"/>
      <c r="AD118" s="56"/>
      <c r="AQ118" s="139"/>
      <c r="AR118" s="139"/>
      <c r="AS118" s="139"/>
      <c r="AX118" s="3"/>
      <c r="AY118" s="3"/>
      <c r="AZ118" s="3"/>
      <c r="BA118" s="3"/>
    </row>
    <row r="119" spans="1:53" ht="12.75" customHeight="1" x14ac:dyDescent="0.25">
      <c r="A119" s="1013"/>
      <c r="B119" s="36" t="s">
        <v>1175</v>
      </c>
      <c r="C119" s="222">
        <f>C126</f>
        <v>84.169273630585465</v>
      </c>
      <c r="D119" s="860">
        <f>C119*$D$5</f>
        <v>17.002193273378264</v>
      </c>
      <c r="E119" s="227" t="s">
        <v>1176</v>
      </c>
      <c r="F119" s="165"/>
      <c r="G119" s="58"/>
      <c r="H119" s="58"/>
      <c r="I119" s="2">
        <f>SUM(I120:I127)</f>
        <v>13.059999999999999</v>
      </c>
      <c r="J119" s="59" t="s">
        <v>1176</v>
      </c>
      <c r="K119" s="169"/>
      <c r="L119" s="60"/>
      <c r="M119" s="60"/>
      <c r="N119" s="399">
        <f>SUM(N120:N127)</f>
        <v>0.20500107618495994</v>
      </c>
      <c r="O119" s="60" t="s">
        <v>1176</v>
      </c>
      <c r="P119" s="60"/>
      <c r="Q119" s="62"/>
      <c r="R119" s="63"/>
      <c r="S119" s="399">
        <f>SUM(S120:S127)</f>
        <v>8.7358314773902563</v>
      </c>
      <c r="T119" s="61"/>
      <c r="U119" s="61"/>
      <c r="V119" s="61"/>
      <c r="W119" s="61"/>
      <c r="X119" s="61"/>
      <c r="Y119" s="399">
        <f>SUM(Y120:Y127)</f>
        <v>21.744595719215596</v>
      </c>
      <c r="Z119" s="64">
        <f>(C119+D119+I119+N119+S119+Y119)*$Z$5</f>
        <v>188.41916358684753</v>
      </c>
      <c r="AA119" s="65">
        <f>C119+D119+I119+N119+S119+Y119+Z119</f>
        <v>333.33605876360207</v>
      </c>
      <c r="AB119" s="66">
        <v>0.25</v>
      </c>
      <c r="AC119" s="244">
        <f>AA119*(1+AB119)</f>
        <v>416.67007345450259</v>
      </c>
      <c r="AD119" s="67"/>
      <c r="AI119" s="139"/>
      <c r="AJ119" s="140"/>
      <c r="AK119" s="141"/>
      <c r="AM119" s="142"/>
      <c r="AN119" s="143"/>
      <c r="AO119" s="142"/>
      <c r="AP119" s="139"/>
      <c r="AQ119" s="139"/>
      <c r="AR119" s="139"/>
      <c r="AS119" s="139"/>
      <c r="AT119" s="139"/>
      <c r="AU119" s="142"/>
      <c r="AV119" s="142"/>
      <c r="AW119" s="144"/>
      <c r="AX119" s="3"/>
      <c r="AY119" s="3"/>
      <c r="AZ119" s="3"/>
      <c r="BA119" s="3"/>
    </row>
    <row r="120" spans="1:53" x14ac:dyDescent="0.25">
      <c r="A120" s="1013"/>
      <c r="B120" s="50" t="s">
        <v>830</v>
      </c>
      <c r="C120" s="222"/>
      <c r="D120" s="861"/>
      <c r="E120" s="68" t="s">
        <v>1437</v>
      </c>
      <c r="F120" s="69" t="s">
        <v>1438</v>
      </c>
      <c r="G120" s="70">
        <v>0.3</v>
      </c>
      <c r="H120" s="69">
        <v>10</v>
      </c>
      <c r="I120" s="71">
        <f>G120*H120</f>
        <v>3</v>
      </c>
      <c r="J120" s="59" t="s">
        <v>1291</v>
      </c>
      <c r="K120" s="72">
        <v>2</v>
      </c>
      <c r="L120" s="73">
        <v>750</v>
      </c>
      <c r="M120" s="72">
        <v>2</v>
      </c>
      <c r="N120" s="399">
        <f>L120/'Исп. коэффициенты'!E52*C124</f>
        <v>0.17672506567668961</v>
      </c>
      <c r="O120" s="60" t="s">
        <v>2267</v>
      </c>
      <c r="P120" s="60">
        <v>1504</v>
      </c>
      <c r="Q120" s="60">
        <v>19.670000000000002</v>
      </c>
      <c r="R120" s="60">
        <f t="shared" ref="R120:R125" si="1">P120*Q120%</f>
        <v>295.83680000000004</v>
      </c>
      <c r="S120" s="739">
        <f>R120/'Исп. коэффициенты'!E52*C124</f>
        <v>6.9709037212775604E-2</v>
      </c>
      <c r="T120" s="239" t="s">
        <v>1435</v>
      </c>
      <c r="U120" s="240">
        <v>6785401.3499999996</v>
      </c>
      <c r="V120" s="740">
        <f>'Исп. коэффициенты'!E124</f>
        <v>2978.5</v>
      </c>
      <c r="W120" s="241">
        <f>'Исп. коэффициенты'!D124</f>
        <v>1.3599999999999999E-2</v>
      </c>
      <c r="X120" s="61">
        <f>U120*W120</f>
        <v>92281.45835999999</v>
      </c>
      <c r="Y120" s="739">
        <f>X120/'Исп. коэффициенты'!E52*C124</f>
        <v>21.744595719215596</v>
      </c>
      <c r="Z120" s="60"/>
      <c r="AA120" s="1"/>
      <c r="AB120" s="1"/>
      <c r="AC120" s="1"/>
      <c r="AD120" s="56"/>
      <c r="AF120" s="151"/>
      <c r="AJ120" s="136"/>
      <c r="AX120" s="3"/>
      <c r="AY120" s="3"/>
      <c r="AZ120" s="3"/>
      <c r="BA120" s="3"/>
    </row>
    <row r="121" spans="1:53" x14ac:dyDescent="0.25">
      <c r="A121" s="1013"/>
      <c r="B121" s="74" t="s">
        <v>1178</v>
      </c>
      <c r="C121" s="223">
        <f>C101</f>
        <v>33.667709452234185</v>
      </c>
      <c r="D121" s="861"/>
      <c r="E121" s="68" t="s">
        <v>2112</v>
      </c>
      <c r="F121" s="69" t="s">
        <v>1</v>
      </c>
      <c r="G121" s="70">
        <v>0.47</v>
      </c>
      <c r="H121" s="69">
        <v>10</v>
      </c>
      <c r="I121" s="242">
        <f>G121*H121</f>
        <v>4.6999999999999993</v>
      </c>
      <c r="J121" s="59" t="s">
        <v>1445</v>
      </c>
      <c r="K121" s="61">
        <v>2</v>
      </c>
      <c r="L121" s="76">
        <v>95</v>
      </c>
      <c r="M121" s="72">
        <v>2</v>
      </c>
      <c r="N121" s="399">
        <f>L121/'Исп. коэффициенты'!E52*C124</f>
        <v>2.2385174985714018E-2</v>
      </c>
      <c r="O121" s="60" t="s">
        <v>2268</v>
      </c>
      <c r="P121" s="60">
        <v>2880</v>
      </c>
      <c r="Q121" s="60">
        <v>100</v>
      </c>
      <c r="R121" s="60">
        <f t="shared" si="1"/>
        <v>2880</v>
      </c>
      <c r="S121" s="739">
        <f>R121/'Исп. коэффициенты'!E52*C124</f>
        <v>0.6786242521984881</v>
      </c>
      <c r="T121" s="60"/>
      <c r="U121" s="60"/>
      <c r="V121" s="60"/>
      <c r="W121" s="60"/>
      <c r="X121" s="60"/>
      <c r="Y121" s="60"/>
      <c r="Z121" s="60"/>
      <c r="AA121" s="1"/>
      <c r="AB121" s="1"/>
      <c r="AC121" s="1"/>
      <c r="AD121" s="56"/>
      <c r="AF121" s="151"/>
      <c r="AJ121" s="136"/>
      <c r="AM121" s="145"/>
      <c r="AX121" s="3"/>
      <c r="AY121" s="3"/>
      <c r="AZ121" s="3"/>
      <c r="BA121" s="3"/>
    </row>
    <row r="122" spans="1:53" x14ac:dyDescent="0.25">
      <c r="A122" s="1013"/>
      <c r="B122" s="57" t="s">
        <v>1179</v>
      </c>
      <c r="C122" s="222">
        <f>C102</f>
        <v>0</v>
      </c>
      <c r="D122" s="861"/>
      <c r="E122" s="68" t="s">
        <v>1598</v>
      </c>
      <c r="F122" s="69" t="s">
        <v>1441</v>
      </c>
      <c r="G122" s="70">
        <v>5.36</v>
      </c>
      <c r="H122" s="70">
        <v>1</v>
      </c>
      <c r="I122" s="71">
        <f>G122*H122</f>
        <v>5.36</v>
      </c>
      <c r="J122" s="59" t="s">
        <v>1513</v>
      </c>
      <c r="K122" s="61">
        <v>2</v>
      </c>
      <c r="L122" s="61">
        <v>25</v>
      </c>
      <c r="M122" s="72">
        <v>0.5</v>
      </c>
      <c r="N122" s="399">
        <f>L122/'Исп. коэффициенты'!E52*C124</f>
        <v>5.8908355225563208E-3</v>
      </c>
      <c r="O122" s="60" t="s">
        <v>2269</v>
      </c>
      <c r="P122" s="60">
        <v>885.6</v>
      </c>
      <c r="Q122" s="60">
        <v>100</v>
      </c>
      <c r="R122" s="60">
        <f t="shared" si="1"/>
        <v>885.6</v>
      </c>
      <c r="S122" s="739">
        <f>R122/'Исп. коэффициенты'!E52*C124</f>
        <v>0.2086769575510351</v>
      </c>
      <c r="T122" s="60"/>
      <c r="U122" s="60"/>
      <c r="V122" s="60"/>
      <c r="W122" s="60"/>
      <c r="X122" s="60"/>
      <c r="Y122" s="60"/>
      <c r="Z122" s="60"/>
      <c r="AA122" s="1"/>
      <c r="AB122" s="1"/>
      <c r="AC122" s="1"/>
      <c r="AD122" s="56"/>
      <c r="AF122" s="151"/>
      <c r="AJ122" s="136"/>
      <c r="AX122" s="3"/>
      <c r="AY122" s="3"/>
      <c r="AZ122" s="3"/>
      <c r="BA122" s="3"/>
    </row>
    <row r="123" spans="1:53" x14ac:dyDescent="0.25">
      <c r="A123" s="1013"/>
      <c r="B123" s="57" t="s">
        <v>831</v>
      </c>
      <c r="C123" s="224"/>
      <c r="D123" s="861"/>
      <c r="E123" s="68"/>
      <c r="F123" s="69"/>
      <c r="G123" s="70"/>
      <c r="H123" s="69"/>
      <c r="I123" s="71"/>
      <c r="J123" s="59"/>
      <c r="K123" s="61"/>
      <c r="L123" s="61"/>
      <c r="M123" s="61"/>
      <c r="N123" s="61"/>
      <c r="O123" s="60" t="s">
        <v>2270</v>
      </c>
      <c r="P123" s="60">
        <v>1360</v>
      </c>
      <c r="Q123" s="60">
        <v>100</v>
      </c>
      <c r="R123" s="60">
        <f t="shared" si="1"/>
        <v>1360</v>
      </c>
      <c r="S123" s="739">
        <f>R123/'Исп. коэффициенты'!E52*C124</f>
        <v>0.32046145242706381</v>
      </c>
      <c r="T123" s="60"/>
      <c r="U123" s="60"/>
      <c r="V123" s="60"/>
      <c r="W123" s="60"/>
      <c r="X123" s="60"/>
      <c r="Y123" s="60"/>
      <c r="Z123" s="60"/>
      <c r="AA123" s="1"/>
      <c r="AB123" s="1"/>
      <c r="AC123" s="1"/>
      <c r="AD123" s="56"/>
      <c r="AF123" s="151"/>
      <c r="AJ123" s="136"/>
      <c r="AX123" s="3"/>
      <c r="AY123" s="3"/>
      <c r="AZ123" s="3"/>
      <c r="BA123" s="3"/>
    </row>
    <row r="124" spans="1:53" x14ac:dyDescent="0.25">
      <c r="A124" s="1013"/>
      <c r="B124" s="74" t="s">
        <v>1178</v>
      </c>
      <c r="C124" s="225">
        <v>2.5</v>
      </c>
      <c r="D124" s="861"/>
      <c r="E124" s="68"/>
      <c r="F124" s="69"/>
      <c r="G124" s="70"/>
      <c r="H124" s="69"/>
      <c r="I124" s="71"/>
      <c r="J124" s="59"/>
      <c r="K124" s="61"/>
      <c r="L124" s="61"/>
      <c r="M124" s="61"/>
      <c r="N124" s="61"/>
      <c r="O124" s="60" t="s">
        <v>2271</v>
      </c>
      <c r="P124" s="60">
        <v>1814</v>
      </c>
      <c r="Q124" s="60">
        <v>100</v>
      </c>
      <c r="R124" s="60">
        <f t="shared" si="1"/>
        <v>1814</v>
      </c>
      <c r="S124" s="739">
        <f>R124/'Исп. коэффициенты'!E52*C124</f>
        <v>0.42743902551668661</v>
      </c>
      <c r="T124" s="60"/>
      <c r="U124" s="60"/>
      <c r="V124" s="60"/>
      <c r="W124" s="60"/>
      <c r="X124" s="60"/>
      <c r="Y124" s="60"/>
      <c r="Z124" s="60"/>
      <c r="AA124" s="1"/>
      <c r="AB124" s="1"/>
      <c r="AC124" s="1"/>
      <c r="AD124" s="56"/>
      <c r="AF124" s="151"/>
      <c r="AJ124" s="146"/>
      <c r="AX124" s="3"/>
      <c r="AY124" s="3"/>
      <c r="AZ124" s="3"/>
      <c r="BA124" s="3"/>
    </row>
    <row r="125" spans="1:53" x14ac:dyDescent="0.25">
      <c r="A125" s="1013"/>
      <c r="B125" s="57" t="s">
        <v>1179</v>
      </c>
      <c r="C125" s="225"/>
      <c r="D125" s="861"/>
      <c r="E125" s="68"/>
      <c r="F125" s="69"/>
      <c r="G125" s="70"/>
      <c r="H125" s="69"/>
      <c r="I125" s="71"/>
      <c r="J125" s="59"/>
      <c r="K125" s="61"/>
      <c r="L125" s="61"/>
      <c r="M125" s="61"/>
      <c r="N125" s="61"/>
      <c r="O125" s="60" t="s">
        <v>2272</v>
      </c>
      <c r="P125" s="60">
        <v>980</v>
      </c>
      <c r="Q125" s="60">
        <v>100</v>
      </c>
      <c r="R125" s="60">
        <f t="shared" si="1"/>
        <v>980</v>
      </c>
      <c r="S125" s="739">
        <f>R125/'Исп. коэффициенты'!E52*C124</f>
        <v>0.23092075248420776</v>
      </c>
      <c r="T125" s="60"/>
      <c r="U125" s="60"/>
      <c r="V125" s="60"/>
      <c r="W125" s="60"/>
      <c r="X125" s="60"/>
      <c r="Y125" s="60"/>
      <c r="Z125" s="60"/>
      <c r="AA125" s="1"/>
      <c r="AB125" s="1"/>
      <c r="AC125" s="1"/>
      <c r="AD125" s="56"/>
      <c r="AF125" s="151"/>
      <c r="AJ125" s="146"/>
      <c r="AX125" s="3"/>
      <c r="AY125" s="3"/>
      <c r="AZ125" s="3"/>
      <c r="BA125" s="3"/>
    </row>
    <row r="126" spans="1:53" x14ac:dyDescent="0.25">
      <c r="A126" s="1013"/>
      <c r="B126" s="79" t="s">
        <v>1181</v>
      </c>
      <c r="C126" s="222">
        <f>C121*C124+C122*C125</f>
        <v>84.169273630585465</v>
      </c>
      <c r="D126" s="861"/>
      <c r="E126" s="228"/>
      <c r="F126" s="166"/>
      <c r="G126" s="70"/>
      <c r="H126" s="69"/>
      <c r="I126" s="71"/>
      <c r="J126" s="59"/>
      <c r="K126" s="170"/>
      <c r="L126" s="76"/>
      <c r="M126" s="72"/>
      <c r="N126" s="61"/>
      <c r="O126" s="60" t="s">
        <v>2273</v>
      </c>
      <c r="P126" s="60"/>
      <c r="Q126" s="60"/>
      <c r="R126" s="60"/>
      <c r="S126" s="60">
        <v>6.8</v>
      </c>
      <c r="T126" s="60"/>
      <c r="U126" s="60"/>
      <c r="V126" s="60"/>
      <c r="W126" s="60"/>
      <c r="X126" s="60"/>
      <c r="Y126" s="60"/>
      <c r="Z126" s="60"/>
      <c r="AA126" s="1"/>
      <c r="AB126" s="1"/>
      <c r="AC126" s="1"/>
      <c r="AD126" s="56"/>
      <c r="AF126" s="151"/>
      <c r="AJ126" s="136"/>
      <c r="AX126" s="3"/>
      <c r="AY126" s="3"/>
      <c r="AZ126" s="3"/>
      <c r="BA126" s="3"/>
    </row>
    <row r="127" spans="1:53" x14ac:dyDescent="0.25">
      <c r="A127" s="1014"/>
      <c r="B127" s="123"/>
      <c r="C127" s="225"/>
      <c r="D127" s="862"/>
      <c r="E127" s="228"/>
      <c r="F127" s="166"/>
      <c r="G127" s="70"/>
      <c r="H127" s="69"/>
      <c r="I127" s="71"/>
      <c r="J127" s="59"/>
      <c r="K127" s="170"/>
      <c r="L127" s="61"/>
      <c r="M127" s="72"/>
      <c r="N127" s="61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1"/>
      <c r="AB127" s="1"/>
      <c r="AC127" s="1"/>
      <c r="AD127" s="56"/>
      <c r="AF127" s="151"/>
      <c r="AJ127" s="146"/>
      <c r="AX127" s="3"/>
      <c r="AY127" s="3"/>
      <c r="AZ127" s="3"/>
      <c r="BA127" s="3"/>
    </row>
    <row r="128" spans="1:53" ht="56.25" customHeight="1" x14ac:dyDescent="0.25">
      <c r="A128" s="1012" t="s">
        <v>2249</v>
      </c>
      <c r="B128" s="258" t="s">
        <v>2250</v>
      </c>
      <c r="C128" s="222"/>
      <c r="D128" s="860"/>
      <c r="E128" s="226" t="s">
        <v>488</v>
      </c>
      <c r="F128" s="53" t="s">
        <v>837</v>
      </c>
      <c r="G128" s="744" t="s">
        <v>489</v>
      </c>
      <c r="H128" s="52" t="s">
        <v>1170</v>
      </c>
      <c r="I128" s="53" t="s">
        <v>838</v>
      </c>
      <c r="J128" s="47" t="s">
        <v>1171</v>
      </c>
      <c r="K128" s="47" t="s">
        <v>490</v>
      </c>
      <c r="L128" s="54" t="s">
        <v>489</v>
      </c>
      <c r="M128" s="47" t="s">
        <v>1172</v>
      </c>
      <c r="N128" s="53" t="s">
        <v>838</v>
      </c>
      <c r="O128" s="47" t="s">
        <v>1171</v>
      </c>
      <c r="P128" s="47" t="s">
        <v>826</v>
      </c>
      <c r="Q128" s="47" t="s">
        <v>1173</v>
      </c>
      <c r="R128" s="47" t="s">
        <v>1174</v>
      </c>
      <c r="S128" s="47" t="s">
        <v>839</v>
      </c>
      <c r="T128" s="47" t="s">
        <v>1171</v>
      </c>
      <c r="U128" s="47" t="s">
        <v>1392</v>
      </c>
      <c r="V128" s="47" t="s">
        <v>841</v>
      </c>
      <c r="W128" s="231" t="s">
        <v>1173</v>
      </c>
      <c r="X128" s="47" t="s">
        <v>1394</v>
      </c>
      <c r="Y128" s="47" t="s">
        <v>839</v>
      </c>
      <c r="Z128" s="55"/>
      <c r="AA128" s="1"/>
      <c r="AB128" s="1"/>
      <c r="AC128" s="245"/>
      <c r="AD128" s="56"/>
      <c r="AQ128" s="139"/>
      <c r="AR128" s="139"/>
      <c r="AS128" s="139"/>
      <c r="AX128" s="3"/>
      <c r="AY128" s="3"/>
      <c r="AZ128" s="3"/>
      <c r="BA128" s="3"/>
    </row>
    <row r="129" spans="1:53" ht="12.75" customHeight="1" x14ac:dyDescent="0.25">
      <c r="A129" s="1013"/>
      <c r="B129" s="36" t="s">
        <v>1175</v>
      </c>
      <c r="C129" s="222">
        <f>C136</f>
        <v>67.335418904468369</v>
      </c>
      <c r="D129" s="860">
        <f>C129*$D$5</f>
        <v>13.601754618702611</v>
      </c>
      <c r="E129" s="227" t="s">
        <v>1176</v>
      </c>
      <c r="F129" s="165"/>
      <c r="G129" s="58"/>
      <c r="H129" s="58"/>
      <c r="I129" s="2">
        <f>SUM(I130:I137)</f>
        <v>13.059999999999999</v>
      </c>
      <c r="J129" s="59" t="s">
        <v>1176</v>
      </c>
      <c r="K129" s="169"/>
      <c r="L129" s="60"/>
      <c r="M129" s="60"/>
      <c r="N129" s="399">
        <f>SUM(N130:N137)</f>
        <v>0.16400086094796795</v>
      </c>
      <c r="O129" s="60" t="s">
        <v>1176</v>
      </c>
      <c r="P129" s="60"/>
      <c r="Q129" s="62"/>
      <c r="R129" s="63"/>
      <c r="S129" s="399">
        <f>SUM(S130:S137)</f>
        <v>2.1980594287092217</v>
      </c>
      <c r="T129" s="61"/>
      <c r="U129" s="61"/>
      <c r="V129" s="61"/>
      <c r="W129" s="61"/>
      <c r="X129" s="61"/>
      <c r="Y129" s="399">
        <f>SUM(Y130:Y137)</f>
        <v>17.395676575372477</v>
      </c>
      <c r="Z129" s="64">
        <f>(C129+D129+I129+N129+S129+Y129)*$Z$5</f>
        <v>147.9027344817116</v>
      </c>
      <c r="AA129" s="65">
        <f>C129+D129+I129+N129+S129+Y129+Z129</f>
        <v>261.65764486991225</v>
      </c>
      <c r="AB129" s="66">
        <v>0.25</v>
      </c>
      <c r="AC129" s="244">
        <f>AA129*(1+AB129)</f>
        <v>327.07205608739031</v>
      </c>
      <c r="AD129" s="67"/>
      <c r="AI129" s="139"/>
      <c r="AJ129" s="140"/>
      <c r="AK129" s="141"/>
      <c r="AM129" s="142"/>
      <c r="AN129" s="143"/>
      <c r="AO129" s="142"/>
      <c r="AP129" s="139"/>
      <c r="AQ129" s="139"/>
      <c r="AR129" s="139"/>
      <c r="AS129" s="139"/>
      <c r="AT129" s="139"/>
      <c r="AU129" s="142"/>
      <c r="AV129" s="142"/>
      <c r="AW129" s="144"/>
      <c r="AX129" s="3"/>
      <c r="AY129" s="3"/>
      <c r="AZ129" s="3"/>
      <c r="BA129" s="3"/>
    </row>
    <row r="130" spans="1:53" x14ac:dyDescent="0.25">
      <c r="A130" s="1013"/>
      <c r="B130" s="50" t="s">
        <v>830</v>
      </c>
      <c r="C130" s="222"/>
      <c r="D130" s="861"/>
      <c r="E130" s="68" t="s">
        <v>1437</v>
      </c>
      <c r="F130" s="69" t="s">
        <v>1438</v>
      </c>
      <c r="G130" s="70">
        <v>0.3</v>
      </c>
      <c r="H130" s="69">
        <v>10</v>
      </c>
      <c r="I130" s="71">
        <f>G130*H130</f>
        <v>3</v>
      </c>
      <c r="J130" s="59" t="s">
        <v>1291</v>
      </c>
      <c r="K130" s="72">
        <v>2</v>
      </c>
      <c r="L130" s="73">
        <v>750</v>
      </c>
      <c r="M130" s="72">
        <v>2</v>
      </c>
      <c r="N130" s="399">
        <f>L130/'Исп. коэффициенты'!E52*C134</f>
        <v>0.14138005254135169</v>
      </c>
      <c r="O130" s="60" t="s">
        <v>2265</v>
      </c>
      <c r="P130" s="60">
        <v>59280</v>
      </c>
      <c r="Q130" s="60">
        <v>19.670000000000002</v>
      </c>
      <c r="R130" s="60">
        <f>P130*Q130%</f>
        <v>11660.376</v>
      </c>
      <c r="S130" s="739">
        <f>R130/'Исп. коэффициенты'!E52*+C134</f>
        <v>2.1980594287092217</v>
      </c>
      <c r="T130" s="239" t="s">
        <v>1435</v>
      </c>
      <c r="U130" s="240">
        <v>6785401.3499999996</v>
      </c>
      <c r="V130" s="740">
        <f>'Исп. коэффициенты'!E124</f>
        <v>2978.5</v>
      </c>
      <c r="W130" s="241">
        <f>'Исп. коэффициенты'!D124</f>
        <v>1.3599999999999999E-2</v>
      </c>
      <c r="X130" s="61">
        <f>U130*W130</f>
        <v>92281.45835999999</v>
      </c>
      <c r="Y130" s="739">
        <f>X130/'Исп. коэффициенты'!E52*C134</f>
        <v>17.395676575372477</v>
      </c>
      <c r="Z130" s="60"/>
      <c r="AA130" s="1"/>
      <c r="AB130" s="1"/>
      <c r="AC130" s="1"/>
      <c r="AD130" s="56"/>
      <c r="AF130" s="151"/>
      <c r="AJ130" s="136"/>
      <c r="AX130" s="3"/>
      <c r="AY130" s="3"/>
      <c r="AZ130" s="3"/>
      <c r="BA130" s="3"/>
    </row>
    <row r="131" spans="1:53" x14ac:dyDescent="0.25">
      <c r="A131" s="1013"/>
      <c r="B131" s="74" t="s">
        <v>1178</v>
      </c>
      <c r="C131" s="223">
        <f>C111</f>
        <v>33.667709452234185</v>
      </c>
      <c r="D131" s="861"/>
      <c r="E131" s="68" t="s">
        <v>2112</v>
      </c>
      <c r="F131" s="69" t="s">
        <v>1</v>
      </c>
      <c r="G131" s="70">
        <v>0.47</v>
      </c>
      <c r="H131" s="69">
        <v>10</v>
      </c>
      <c r="I131" s="242">
        <f>G131*H131</f>
        <v>4.6999999999999993</v>
      </c>
      <c r="J131" s="59" t="s">
        <v>1445</v>
      </c>
      <c r="K131" s="61">
        <v>2</v>
      </c>
      <c r="L131" s="76">
        <v>95</v>
      </c>
      <c r="M131" s="72">
        <v>2</v>
      </c>
      <c r="N131" s="399">
        <f>L131/'Исп. коэффициенты'!E52*C134</f>
        <v>1.7908139988571214E-2</v>
      </c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1"/>
      <c r="AB131" s="1"/>
      <c r="AC131" s="1"/>
      <c r="AD131" s="56"/>
      <c r="AF131" s="151"/>
      <c r="AJ131" s="136"/>
      <c r="AM131" s="145"/>
      <c r="AX131" s="3"/>
      <c r="AY131" s="3"/>
      <c r="AZ131" s="3"/>
      <c r="BA131" s="3"/>
    </row>
    <row r="132" spans="1:53" x14ac:dyDescent="0.25">
      <c r="A132" s="1013"/>
      <c r="B132" s="57" t="s">
        <v>1179</v>
      </c>
      <c r="C132" s="222">
        <f>C112</f>
        <v>0</v>
      </c>
      <c r="D132" s="861"/>
      <c r="E132" s="68" t="s">
        <v>1598</v>
      </c>
      <c r="F132" s="69" t="s">
        <v>1441</v>
      </c>
      <c r="G132" s="70">
        <v>5.36</v>
      </c>
      <c r="H132" s="70">
        <v>1</v>
      </c>
      <c r="I132" s="71">
        <f>G132*H132</f>
        <v>5.36</v>
      </c>
      <c r="J132" s="59" t="s">
        <v>1513</v>
      </c>
      <c r="K132" s="61">
        <v>2</v>
      </c>
      <c r="L132" s="61">
        <v>25</v>
      </c>
      <c r="M132" s="72">
        <v>0.5</v>
      </c>
      <c r="N132" s="399">
        <f>L132/'Исп. коэффициенты'!E52*C134</f>
        <v>4.7126684180450566E-3</v>
      </c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1"/>
      <c r="AB132" s="1"/>
      <c r="AC132" s="1"/>
      <c r="AD132" s="56"/>
      <c r="AF132" s="151"/>
      <c r="AJ132" s="136"/>
      <c r="AX132" s="3"/>
      <c r="AY132" s="3"/>
      <c r="AZ132" s="3"/>
      <c r="BA132" s="3"/>
    </row>
    <row r="133" spans="1:53" x14ac:dyDescent="0.25">
      <c r="A133" s="1013"/>
      <c r="B133" s="57" t="s">
        <v>831</v>
      </c>
      <c r="C133" s="224"/>
      <c r="D133" s="861"/>
      <c r="E133" s="68"/>
      <c r="F133" s="69"/>
      <c r="G133" s="70"/>
      <c r="H133" s="69"/>
      <c r="I133" s="71"/>
      <c r="J133" s="59"/>
      <c r="K133" s="61"/>
      <c r="L133" s="61"/>
      <c r="M133" s="61"/>
      <c r="N133" s="399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1"/>
      <c r="AB133" s="1"/>
      <c r="AC133" s="1"/>
      <c r="AD133" s="56"/>
      <c r="AF133" s="151"/>
      <c r="AJ133" s="136"/>
      <c r="AX133" s="3"/>
      <c r="AY133" s="3"/>
      <c r="AZ133" s="3"/>
      <c r="BA133" s="3"/>
    </row>
    <row r="134" spans="1:53" x14ac:dyDescent="0.25">
      <c r="A134" s="1013"/>
      <c r="B134" s="74" t="s">
        <v>1178</v>
      </c>
      <c r="C134" s="225">
        <v>2</v>
      </c>
      <c r="D134" s="861"/>
      <c r="E134" s="68"/>
      <c r="F134" s="69"/>
      <c r="G134" s="70"/>
      <c r="H134" s="69"/>
      <c r="I134" s="71"/>
      <c r="J134" s="59"/>
      <c r="K134" s="61"/>
      <c r="L134" s="61"/>
      <c r="M134" s="61"/>
      <c r="N134" s="61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1"/>
      <c r="AB134" s="1"/>
      <c r="AC134" s="1"/>
      <c r="AD134" s="56"/>
      <c r="AF134" s="151"/>
      <c r="AJ134" s="146"/>
      <c r="AX134" s="3"/>
      <c r="AY134" s="3"/>
      <c r="AZ134" s="3"/>
      <c r="BA134" s="3"/>
    </row>
    <row r="135" spans="1:53" x14ac:dyDescent="0.25">
      <c r="A135" s="1013"/>
      <c r="B135" s="57" t="s">
        <v>1179</v>
      </c>
      <c r="C135" s="225"/>
      <c r="D135" s="861"/>
      <c r="E135" s="68"/>
      <c r="F135" s="69"/>
      <c r="G135" s="70"/>
      <c r="H135" s="69"/>
      <c r="I135" s="71"/>
      <c r="J135" s="59"/>
      <c r="K135" s="61"/>
      <c r="L135" s="61"/>
      <c r="M135" s="61"/>
      <c r="N135" s="61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1"/>
      <c r="AB135" s="1"/>
      <c r="AC135" s="1"/>
      <c r="AD135" s="56"/>
      <c r="AF135" s="151"/>
      <c r="AJ135" s="146"/>
      <c r="AX135" s="3"/>
      <c r="AY135" s="3"/>
      <c r="AZ135" s="3"/>
      <c r="BA135" s="3"/>
    </row>
    <row r="136" spans="1:53" x14ac:dyDescent="0.25">
      <c r="A136" s="1013"/>
      <c r="B136" s="79" t="s">
        <v>1181</v>
      </c>
      <c r="C136" s="222">
        <f>C131*C134+C132*C135</f>
        <v>67.335418904468369</v>
      </c>
      <c r="D136" s="861"/>
      <c r="E136" s="228"/>
      <c r="F136" s="166"/>
      <c r="G136" s="70"/>
      <c r="H136" s="69"/>
      <c r="I136" s="71"/>
      <c r="J136" s="59"/>
      <c r="K136" s="170"/>
      <c r="L136" s="76"/>
      <c r="M136" s="72"/>
      <c r="N136" s="61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1"/>
      <c r="AB136" s="1"/>
      <c r="AC136" s="1"/>
      <c r="AD136" s="56"/>
      <c r="AF136" s="151"/>
      <c r="AJ136" s="136"/>
      <c r="AX136" s="3"/>
      <c r="AY136" s="3"/>
      <c r="AZ136" s="3"/>
      <c r="BA136" s="3"/>
    </row>
    <row r="137" spans="1:53" x14ac:dyDescent="0.25">
      <c r="A137" s="1014"/>
      <c r="B137" s="123"/>
      <c r="C137" s="225"/>
      <c r="D137" s="862"/>
      <c r="E137" s="228"/>
      <c r="F137" s="166"/>
      <c r="G137" s="70"/>
      <c r="H137" s="69"/>
      <c r="I137" s="71"/>
      <c r="J137" s="59"/>
      <c r="K137" s="170"/>
      <c r="L137" s="61"/>
      <c r="M137" s="72"/>
      <c r="N137" s="61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1"/>
      <c r="AB137" s="1"/>
      <c r="AC137" s="1"/>
      <c r="AD137" s="56"/>
      <c r="AF137" s="151"/>
      <c r="AJ137" s="146"/>
      <c r="AX137" s="3"/>
      <c r="AY137" s="3"/>
      <c r="AZ137" s="3"/>
      <c r="BA137" s="3"/>
    </row>
    <row r="138" spans="1:53" ht="56.25" customHeight="1" x14ac:dyDescent="0.25">
      <c r="A138" s="1012" t="s">
        <v>2251</v>
      </c>
      <c r="B138" s="258" t="s">
        <v>2252</v>
      </c>
      <c r="C138" s="222"/>
      <c r="D138" s="860"/>
      <c r="E138" s="226" t="s">
        <v>488</v>
      </c>
      <c r="F138" s="53" t="s">
        <v>837</v>
      </c>
      <c r="G138" s="744" t="s">
        <v>489</v>
      </c>
      <c r="H138" s="52" t="s">
        <v>1170</v>
      </c>
      <c r="I138" s="53" t="s">
        <v>838</v>
      </c>
      <c r="J138" s="47" t="s">
        <v>1171</v>
      </c>
      <c r="K138" s="47" t="s">
        <v>490</v>
      </c>
      <c r="L138" s="54" t="s">
        <v>489</v>
      </c>
      <c r="M138" s="47" t="s">
        <v>1172</v>
      </c>
      <c r="N138" s="53" t="s">
        <v>838</v>
      </c>
      <c r="O138" s="47" t="s">
        <v>1171</v>
      </c>
      <c r="P138" s="47" t="s">
        <v>826</v>
      </c>
      <c r="Q138" s="47" t="s">
        <v>1173</v>
      </c>
      <c r="R138" s="47" t="s">
        <v>1174</v>
      </c>
      <c r="S138" s="47" t="s">
        <v>839</v>
      </c>
      <c r="T138" s="47" t="s">
        <v>1171</v>
      </c>
      <c r="U138" s="47" t="s">
        <v>1392</v>
      </c>
      <c r="V138" s="47" t="s">
        <v>841</v>
      </c>
      <c r="W138" s="231" t="s">
        <v>1173</v>
      </c>
      <c r="X138" s="47" t="s">
        <v>1394</v>
      </c>
      <c r="Y138" s="47" t="s">
        <v>839</v>
      </c>
      <c r="Z138" s="55"/>
      <c r="AA138" s="1"/>
      <c r="AB138" s="1"/>
      <c r="AC138" s="245"/>
      <c r="AD138" s="56"/>
      <c r="AQ138" s="139"/>
      <c r="AR138" s="139"/>
      <c r="AS138" s="139"/>
      <c r="AX138" s="3"/>
      <c r="AY138" s="3"/>
      <c r="AZ138" s="3"/>
      <c r="BA138" s="3"/>
    </row>
    <row r="139" spans="1:53" ht="12.75" customHeight="1" x14ac:dyDescent="0.25">
      <c r="A139" s="1013"/>
      <c r="B139" s="36" t="s">
        <v>1175</v>
      </c>
      <c r="C139" s="222">
        <f>C146</f>
        <v>84.169273630585465</v>
      </c>
      <c r="D139" s="860">
        <f>C139*$D$5</f>
        <v>17.002193273378264</v>
      </c>
      <c r="E139" s="227" t="s">
        <v>1176</v>
      </c>
      <c r="F139" s="165"/>
      <c r="G139" s="58"/>
      <c r="H139" s="58"/>
      <c r="I139" s="2">
        <f>SUM(I140:I147)</f>
        <v>19.86</v>
      </c>
      <c r="J139" s="59" t="s">
        <v>1176</v>
      </c>
      <c r="K139" s="169"/>
      <c r="L139" s="60"/>
      <c r="M139" s="60"/>
      <c r="N139" s="399">
        <f>SUM(N140:N147)</f>
        <v>0.20500107618495994</v>
      </c>
      <c r="O139" s="60" t="s">
        <v>1176</v>
      </c>
      <c r="P139" s="60"/>
      <c r="Q139" s="62"/>
      <c r="R139" s="63"/>
      <c r="S139" s="399">
        <f>SUM(S140:S147)</f>
        <v>2.7475742858865271</v>
      </c>
      <c r="T139" s="61"/>
      <c r="U139" s="61"/>
      <c r="V139" s="61"/>
      <c r="W139" s="61"/>
      <c r="X139" s="61"/>
      <c r="Y139" s="399">
        <f>SUM(Y140:Y147)</f>
        <v>21.744595719215596</v>
      </c>
      <c r="Z139" s="64">
        <f>(C139+D139+I139+N139+S139+Y139)*$Z$5</f>
        <v>189.47458159616906</v>
      </c>
      <c r="AA139" s="65">
        <f>C139+D139+I139+N139+S139+Y139+Z139</f>
        <v>335.20321958141989</v>
      </c>
      <c r="AB139" s="66">
        <v>0.25</v>
      </c>
      <c r="AC139" s="244">
        <f>AA139*(1+AB139)</f>
        <v>419.00402447677487</v>
      </c>
      <c r="AD139" s="67"/>
      <c r="AI139" s="139"/>
      <c r="AJ139" s="140"/>
      <c r="AK139" s="141"/>
      <c r="AM139" s="142"/>
      <c r="AN139" s="143"/>
      <c r="AO139" s="142"/>
      <c r="AP139" s="139"/>
      <c r="AQ139" s="139"/>
      <c r="AR139" s="139"/>
      <c r="AS139" s="139"/>
      <c r="AT139" s="139"/>
      <c r="AU139" s="142"/>
      <c r="AV139" s="142"/>
      <c r="AW139" s="144"/>
      <c r="AX139" s="3"/>
      <c r="AY139" s="3"/>
      <c r="AZ139" s="3"/>
      <c r="BA139" s="3"/>
    </row>
    <row r="140" spans="1:53" x14ac:dyDescent="0.25">
      <c r="A140" s="1013"/>
      <c r="B140" s="50" t="s">
        <v>830</v>
      </c>
      <c r="C140" s="222"/>
      <c r="D140" s="861"/>
      <c r="E140" s="68" t="s">
        <v>1437</v>
      </c>
      <c r="F140" s="69" t="s">
        <v>1438</v>
      </c>
      <c r="G140" s="70">
        <v>0.3</v>
      </c>
      <c r="H140" s="69">
        <v>10</v>
      </c>
      <c r="I140" s="71">
        <f>G140*H140</f>
        <v>3</v>
      </c>
      <c r="J140" s="59" t="s">
        <v>1291</v>
      </c>
      <c r="K140" s="72">
        <v>2</v>
      </c>
      <c r="L140" s="73">
        <v>750</v>
      </c>
      <c r="M140" s="72">
        <v>2</v>
      </c>
      <c r="N140" s="399">
        <f>L140/'Исп. коэффициенты'!E52*C144</f>
        <v>0.17672506567668961</v>
      </c>
      <c r="O140" s="60" t="s">
        <v>2265</v>
      </c>
      <c r="P140" s="60">
        <v>59280</v>
      </c>
      <c r="Q140" s="60">
        <v>19.670000000000002</v>
      </c>
      <c r="R140" s="60">
        <f>P140*Q140%</f>
        <v>11660.376</v>
      </c>
      <c r="S140" s="739">
        <f>R140/'Исп. коэффициенты'!E52*C144</f>
        <v>2.7475742858865271</v>
      </c>
      <c r="T140" s="239" t="s">
        <v>1435</v>
      </c>
      <c r="U140" s="240">
        <v>6785401.3499999996</v>
      </c>
      <c r="V140" s="740">
        <f>'Исп. коэффициенты'!E124</f>
        <v>2978.5</v>
      </c>
      <c r="W140" s="241">
        <f>'Исп. коэффициенты'!D124</f>
        <v>1.3599999999999999E-2</v>
      </c>
      <c r="X140" s="61">
        <f>U140*W140</f>
        <v>92281.45835999999</v>
      </c>
      <c r="Y140" s="739">
        <f>X140/'Исп. коэффициенты'!E52*C144</f>
        <v>21.744595719215596</v>
      </c>
      <c r="Z140" s="60"/>
      <c r="AA140" s="1"/>
      <c r="AB140" s="1"/>
      <c r="AC140" s="1"/>
      <c r="AD140" s="56"/>
      <c r="AF140" s="151"/>
      <c r="AJ140" s="136"/>
      <c r="AX140" s="3"/>
      <c r="AY140" s="3"/>
      <c r="AZ140" s="3"/>
      <c r="BA140" s="3"/>
    </row>
    <row r="141" spans="1:53" x14ac:dyDescent="0.25">
      <c r="A141" s="1013"/>
      <c r="B141" s="74" t="s">
        <v>1178</v>
      </c>
      <c r="C141" s="223">
        <f>C121</f>
        <v>33.667709452234185</v>
      </c>
      <c r="D141" s="861"/>
      <c r="E141" s="68" t="s">
        <v>2112</v>
      </c>
      <c r="F141" s="69" t="s">
        <v>1</v>
      </c>
      <c r="G141" s="70">
        <v>0.47</v>
      </c>
      <c r="H141" s="69">
        <v>10</v>
      </c>
      <c r="I141" s="242">
        <f>G141*H141</f>
        <v>4.6999999999999993</v>
      </c>
      <c r="J141" s="59" t="s">
        <v>1445</v>
      </c>
      <c r="K141" s="61">
        <v>2</v>
      </c>
      <c r="L141" s="76">
        <v>95</v>
      </c>
      <c r="M141" s="72">
        <v>2</v>
      </c>
      <c r="N141" s="399">
        <f>L141/'Исп. коэффициенты'!E52*C144</f>
        <v>2.2385174985714018E-2</v>
      </c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1"/>
      <c r="AB141" s="1"/>
      <c r="AC141" s="1"/>
      <c r="AD141" s="56"/>
      <c r="AF141" s="151"/>
      <c r="AJ141" s="136"/>
      <c r="AM141" s="145"/>
      <c r="AX141" s="3"/>
      <c r="AY141" s="3"/>
      <c r="AZ141" s="3"/>
      <c r="BA141" s="3"/>
    </row>
    <row r="142" spans="1:53" x14ac:dyDescent="0.25">
      <c r="A142" s="1013"/>
      <c r="B142" s="57" t="s">
        <v>1179</v>
      </c>
      <c r="C142" s="222">
        <f>C122</f>
        <v>0</v>
      </c>
      <c r="D142" s="861"/>
      <c r="E142" s="68" t="s">
        <v>1598</v>
      </c>
      <c r="F142" s="69" t="s">
        <v>1441</v>
      </c>
      <c r="G142" s="70">
        <v>5.36</v>
      </c>
      <c r="H142" s="70">
        <v>1</v>
      </c>
      <c r="I142" s="71">
        <f>G142*H142</f>
        <v>5.36</v>
      </c>
      <c r="J142" s="59" t="s">
        <v>1513</v>
      </c>
      <c r="K142" s="61">
        <v>2</v>
      </c>
      <c r="L142" s="61">
        <v>25</v>
      </c>
      <c r="M142" s="72">
        <v>0.5</v>
      </c>
      <c r="N142" s="399">
        <f>L142/'Исп. коэффициенты'!E52*C144</f>
        <v>5.8908355225563208E-3</v>
      </c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1"/>
      <c r="AB142" s="1"/>
      <c r="AC142" s="1"/>
      <c r="AD142" s="56"/>
      <c r="AF142" s="151"/>
      <c r="AJ142" s="136"/>
      <c r="AX142" s="3"/>
      <c r="AY142" s="3"/>
      <c r="AZ142" s="3"/>
      <c r="BA142" s="3"/>
    </row>
    <row r="143" spans="1:53" x14ac:dyDescent="0.25">
      <c r="A143" s="1013"/>
      <c r="B143" s="57" t="s">
        <v>831</v>
      </c>
      <c r="C143" s="224"/>
      <c r="D143" s="861"/>
      <c r="E143" s="68" t="s">
        <v>2113</v>
      </c>
      <c r="F143" s="69" t="s">
        <v>1</v>
      </c>
      <c r="G143" s="70">
        <v>0.17</v>
      </c>
      <c r="H143" s="69">
        <v>40</v>
      </c>
      <c r="I143" s="71">
        <f>G143*H143</f>
        <v>6.8000000000000007</v>
      </c>
      <c r="J143" s="59"/>
      <c r="K143" s="61"/>
      <c r="L143" s="61"/>
      <c r="M143" s="61"/>
      <c r="N143" s="61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1"/>
      <c r="AB143" s="1"/>
      <c r="AC143" s="1"/>
      <c r="AD143" s="56"/>
      <c r="AF143" s="151"/>
      <c r="AJ143" s="136"/>
      <c r="AX143" s="3"/>
      <c r="AY143" s="3"/>
      <c r="AZ143" s="3"/>
      <c r="BA143" s="3"/>
    </row>
    <row r="144" spans="1:53" x14ac:dyDescent="0.25">
      <c r="A144" s="1013"/>
      <c r="B144" s="74" t="s">
        <v>1178</v>
      </c>
      <c r="C144" s="225">
        <v>2.5</v>
      </c>
      <c r="D144" s="861"/>
      <c r="E144" s="68"/>
      <c r="F144" s="69"/>
      <c r="G144" s="70"/>
      <c r="H144" s="69"/>
      <c r="I144" s="71"/>
      <c r="J144" s="59"/>
      <c r="K144" s="61"/>
      <c r="L144" s="61"/>
      <c r="M144" s="61"/>
      <c r="N144" s="61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1"/>
      <c r="AB144" s="1"/>
      <c r="AC144" s="1"/>
      <c r="AD144" s="56"/>
      <c r="AF144" s="151"/>
      <c r="AJ144" s="146"/>
      <c r="AX144" s="3"/>
      <c r="AY144" s="3"/>
      <c r="AZ144" s="3"/>
      <c r="BA144" s="3"/>
    </row>
    <row r="145" spans="1:53" x14ac:dyDescent="0.25">
      <c r="A145" s="1013"/>
      <c r="B145" s="57" t="s">
        <v>1179</v>
      </c>
      <c r="C145" s="225"/>
      <c r="D145" s="861"/>
      <c r="E145" s="68"/>
      <c r="F145" s="69"/>
      <c r="G145" s="70"/>
      <c r="H145" s="69"/>
      <c r="I145" s="71"/>
      <c r="J145" s="59"/>
      <c r="K145" s="61"/>
      <c r="L145" s="61"/>
      <c r="M145" s="61"/>
      <c r="N145" s="61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1"/>
      <c r="AB145" s="1"/>
      <c r="AC145" s="1"/>
      <c r="AD145" s="56"/>
      <c r="AF145" s="151"/>
      <c r="AJ145" s="146"/>
      <c r="AX145" s="3"/>
      <c r="AY145" s="3"/>
      <c r="AZ145" s="3"/>
      <c r="BA145" s="3"/>
    </row>
    <row r="146" spans="1:53" x14ac:dyDescent="0.25">
      <c r="A146" s="1013"/>
      <c r="B146" s="79" t="s">
        <v>1181</v>
      </c>
      <c r="C146" s="222">
        <f>C141*C144+C142*C145</f>
        <v>84.169273630585465</v>
      </c>
      <c r="D146" s="861"/>
      <c r="E146" s="228"/>
      <c r="F146" s="166"/>
      <c r="G146" s="70"/>
      <c r="H146" s="69"/>
      <c r="I146" s="71"/>
      <c r="J146" s="59"/>
      <c r="K146" s="170"/>
      <c r="L146" s="76"/>
      <c r="M146" s="72"/>
      <c r="N146" s="61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1"/>
      <c r="AB146" s="1"/>
      <c r="AC146" s="1"/>
      <c r="AD146" s="56"/>
      <c r="AF146" s="151"/>
      <c r="AJ146" s="136"/>
      <c r="AX146" s="3"/>
      <c r="AY146" s="3"/>
      <c r="AZ146" s="3"/>
      <c r="BA146" s="3"/>
    </row>
    <row r="147" spans="1:53" x14ac:dyDescent="0.25">
      <c r="A147" s="1014"/>
      <c r="B147" s="123"/>
      <c r="C147" s="225"/>
      <c r="D147" s="862"/>
      <c r="E147" s="228"/>
      <c r="F147" s="166"/>
      <c r="G147" s="70"/>
      <c r="H147" s="69"/>
      <c r="I147" s="71"/>
      <c r="J147" s="59"/>
      <c r="K147" s="170"/>
      <c r="L147" s="61"/>
      <c r="M147" s="72"/>
      <c r="N147" s="61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1"/>
      <c r="AB147" s="1"/>
      <c r="AC147" s="1"/>
      <c r="AD147" s="56"/>
      <c r="AF147" s="151"/>
      <c r="AJ147" s="146"/>
      <c r="AX147" s="3"/>
      <c r="AY147" s="3"/>
      <c r="AZ147" s="3"/>
      <c r="BA147" s="3"/>
    </row>
  </sheetData>
  <mergeCells count="25">
    <mergeCell ref="A1:M1"/>
    <mergeCell ref="B4:C4"/>
    <mergeCell ref="E4:I5"/>
    <mergeCell ref="J4:N5"/>
    <mergeCell ref="O4:S5"/>
    <mergeCell ref="A68:A77"/>
    <mergeCell ref="AA4:AA5"/>
    <mergeCell ref="AB4:AB5"/>
    <mergeCell ref="AC4:AC5"/>
    <mergeCell ref="A6:AC6"/>
    <mergeCell ref="A7:AC7"/>
    <mergeCell ref="A8:A17"/>
    <mergeCell ref="T4:Y5"/>
    <mergeCell ref="A18:A27"/>
    <mergeCell ref="A28:A37"/>
    <mergeCell ref="A38:A47"/>
    <mergeCell ref="A48:A57"/>
    <mergeCell ref="A58:A67"/>
    <mergeCell ref="A138:A147"/>
    <mergeCell ref="A78:A87"/>
    <mergeCell ref="A88:A97"/>
    <mergeCell ref="A98:A107"/>
    <mergeCell ref="A108:A117"/>
    <mergeCell ref="A118:A127"/>
    <mergeCell ref="A128:A137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34"/>
  <sheetViews>
    <sheetView tabSelected="1" topLeftCell="A10" zoomScaleNormal="100" workbookViewId="0">
      <selection activeCell="D16" sqref="D16"/>
    </sheetView>
  </sheetViews>
  <sheetFormatPr defaultColWidth="9.109375" defaultRowHeight="13.2" x14ac:dyDescent="0.25"/>
  <cols>
    <col min="1" max="1" width="21.109375" style="713" customWidth="1"/>
    <col min="2" max="2" width="66.5546875" style="712" customWidth="1"/>
    <col min="3" max="3" width="18.109375" style="712" customWidth="1"/>
    <col min="4" max="4" width="12.33203125" style="712" customWidth="1"/>
    <col min="5" max="16384" width="9.109375" style="712"/>
  </cols>
  <sheetData>
    <row r="1" spans="1:4" hidden="1" x14ac:dyDescent="0.25"/>
    <row r="2" spans="1:4" ht="12.75" hidden="1" customHeight="1" x14ac:dyDescent="0.25">
      <c r="A2" s="1152" t="s">
        <v>2073</v>
      </c>
      <c r="B2" s="1152"/>
      <c r="C2" s="1152"/>
      <c r="D2" s="1152"/>
    </row>
    <row r="3" spans="1:4" hidden="1" x14ac:dyDescent="0.25">
      <c r="A3" s="1153" t="s">
        <v>2283</v>
      </c>
      <c r="B3" s="1153"/>
      <c r="C3" s="1153"/>
      <c r="D3" s="1153"/>
    </row>
    <row r="4" spans="1:4" hidden="1" x14ac:dyDescent="0.25">
      <c r="A4" s="1153" t="s">
        <v>2285</v>
      </c>
      <c r="B4" s="1153"/>
      <c r="C4" s="1153"/>
      <c r="D4" s="1153"/>
    </row>
    <row r="5" spans="1:4" ht="13.8" hidden="1" x14ac:dyDescent="0.3">
      <c r="A5" s="713" t="s">
        <v>2284</v>
      </c>
      <c r="B5" s="714"/>
      <c r="C5" s="715"/>
      <c r="D5" s="714"/>
    </row>
    <row r="6" spans="1:4" ht="13.8" hidden="1" x14ac:dyDescent="0.3">
      <c r="A6" s="728"/>
      <c r="B6" s="714"/>
      <c r="C6" s="715"/>
      <c r="D6" s="714"/>
    </row>
    <row r="7" spans="1:4" hidden="1" x14ac:dyDescent="0.25">
      <c r="A7" s="1153" t="s">
        <v>2286</v>
      </c>
      <c r="B7" s="1153"/>
      <c r="C7" s="1153"/>
      <c r="D7" s="1153"/>
    </row>
    <row r="8" spans="1:4" hidden="1" x14ac:dyDescent="0.25">
      <c r="A8" s="713" t="s">
        <v>2221</v>
      </c>
      <c r="B8" s="716"/>
      <c r="C8" s="832"/>
      <c r="D8" s="832"/>
    </row>
    <row r="9" spans="1:4" hidden="1" x14ac:dyDescent="0.25"/>
    <row r="13" spans="1:4" ht="21.6" x14ac:dyDescent="0.4">
      <c r="A13" s="1150" t="s">
        <v>1041</v>
      </c>
      <c r="B13" s="1150"/>
      <c r="C13" s="1150"/>
    </row>
    <row r="14" spans="1:4" ht="21.6" x14ac:dyDescent="0.4">
      <c r="A14" s="831"/>
      <c r="B14" s="833" t="s">
        <v>1796</v>
      </c>
      <c r="C14" s="831"/>
    </row>
    <row r="15" spans="1:4" ht="20.399999999999999" x14ac:dyDescent="0.35">
      <c r="A15" s="1157" t="s">
        <v>2287</v>
      </c>
      <c r="B15" s="1157"/>
      <c r="C15" s="1157"/>
    </row>
    <row r="16" spans="1:4" ht="20.399999999999999" x14ac:dyDescent="0.35">
      <c r="A16" s="1159"/>
      <c r="B16" s="1159"/>
      <c r="C16" s="1159"/>
    </row>
    <row r="17" spans="1:4" x14ac:dyDescent="0.25">
      <c r="A17" s="717"/>
      <c r="B17" s="717"/>
      <c r="C17" s="717"/>
    </row>
    <row r="18" spans="1:4" x14ac:dyDescent="0.25">
      <c r="A18" s="1154" t="s">
        <v>847</v>
      </c>
      <c r="B18" s="1154"/>
      <c r="C18" s="1154"/>
    </row>
    <row r="19" spans="1:4" ht="12.75" customHeight="1" x14ac:dyDescent="0.25">
      <c r="A19" s="1160" t="s">
        <v>848</v>
      </c>
      <c r="B19" s="1155" t="s">
        <v>849</v>
      </c>
      <c r="C19" s="1155" t="s">
        <v>1042</v>
      </c>
      <c r="D19" s="1149"/>
    </row>
    <row r="20" spans="1:4" x14ac:dyDescent="0.25">
      <c r="A20" s="1160"/>
      <c r="B20" s="1156"/>
      <c r="C20" s="1156"/>
      <c r="D20" s="1149"/>
    </row>
    <row r="21" spans="1:4" ht="13.8" x14ac:dyDescent="0.3">
      <c r="A21" s="691" t="s">
        <v>2001</v>
      </c>
      <c r="B21" s="692" t="s">
        <v>1731</v>
      </c>
      <c r="C21" s="718">
        <f>'Сводный расчет стоимости'!M10</f>
        <v>260.66207699962888</v>
      </c>
    </row>
    <row r="22" spans="1:4" ht="13.8" hidden="1" x14ac:dyDescent="0.3">
      <c r="A22" s="691" t="s">
        <v>1954</v>
      </c>
      <c r="B22" s="692" t="s">
        <v>1732</v>
      </c>
      <c r="C22" s="718">
        <f>'Сводный расчет стоимости'!M11</f>
        <v>260.65569225248078</v>
      </c>
    </row>
    <row r="23" spans="1:4" ht="13.8" x14ac:dyDescent="0.3">
      <c r="A23" s="691" t="s">
        <v>1945</v>
      </c>
      <c r="B23" s="692" t="s">
        <v>896</v>
      </c>
      <c r="C23" s="718">
        <f>'Сводный расчет стоимости'!M12</f>
        <v>277.36681286401233</v>
      </c>
    </row>
    <row r="24" spans="1:4" ht="12" customHeight="1" x14ac:dyDescent="0.3">
      <c r="A24" s="691" t="s">
        <v>1951</v>
      </c>
      <c r="B24" s="692" t="s">
        <v>900</v>
      </c>
      <c r="C24" s="718">
        <f>'Сводный расчет стоимости'!M13</f>
        <v>360.92241592167028</v>
      </c>
    </row>
    <row r="25" spans="1:4" ht="13.8" x14ac:dyDescent="0.3">
      <c r="A25" s="691" t="s">
        <v>1948</v>
      </c>
      <c r="B25" s="692" t="s">
        <v>1733</v>
      </c>
      <c r="C25" s="718">
        <f>'Сводный расчет стоимости'!M14</f>
        <v>193.81120980635447</v>
      </c>
    </row>
    <row r="26" spans="1:4" ht="13.8" x14ac:dyDescent="0.3">
      <c r="A26" s="691" t="s">
        <v>2052</v>
      </c>
      <c r="B26" s="692" t="s">
        <v>1734</v>
      </c>
      <c r="C26" s="718">
        <f>'Сводный расчет стоимости'!M15</f>
        <v>117.58607768428303</v>
      </c>
    </row>
    <row r="27" spans="1:4" ht="12.75" customHeight="1" x14ac:dyDescent="0.3">
      <c r="A27" s="691" t="s">
        <v>2051</v>
      </c>
      <c r="B27" s="692" t="s">
        <v>912</v>
      </c>
      <c r="C27" s="718">
        <f>'Сводный расчет стоимости'!M16</f>
        <v>277.36681286401233</v>
      </c>
    </row>
    <row r="28" spans="1:4" ht="12.75" customHeight="1" x14ac:dyDescent="0.3">
      <c r="A28" s="691" t="s">
        <v>1957</v>
      </c>
      <c r="B28" s="692" t="s">
        <v>1736</v>
      </c>
      <c r="C28" s="718">
        <f>'Сводный расчет стоимости'!M17</f>
        <v>360.92241592167028</v>
      </c>
    </row>
    <row r="29" spans="1:4" ht="14.25" customHeight="1" x14ac:dyDescent="0.3">
      <c r="A29" s="689"/>
      <c r="B29" s="692"/>
      <c r="C29" s="718"/>
    </row>
    <row r="30" spans="1:4" ht="13.8" x14ac:dyDescent="0.3">
      <c r="A30" s="691" t="s">
        <v>2002</v>
      </c>
      <c r="B30" s="692" t="s">
        <v>1737</v>
      </c>
      <c r="C30" s="718">
        <f>'Сводный расчет стоимости'!M19</f>
        <v>210.52233041788608</v>
      </c>
    </row>
    <row r="31" spans="1:4" ht="15" hidden="1" customHeight="1" x14ac:dyDescent="0.3">
      <c r="A31" s="691" t="s">
        <v>1955</v>
      </c>
      <c r="B31" s="692" t="s">
        <v>1738</v>
      </c>
      <c r="C31" s="718">
        <f>'Сводный расчет стоимости'!M20</f>
        <v>210.52233041788608</v>
      </c>
    </row>
    <row r="32" spans="1:4" ht="13.8" x14ac:dyDescent="0.3">
      <c r="A32" s="691" t="s">
        <v>1946</v>
      </c>
      <c r="B32" s="692" t="s">
        <v>898</v>
      </c>
      <c r="C32" s="718">
        <f>'Сводный расчет стоимости'!M21</f>
        <v>197.50285189790407</v>
      </c>
    </row>
    <row r="33" spans="1:3" ht="13.5" customHeight="1" x14ac:dyDescent="0.3">
      <c r="A33" s="691" t="s">
        <v>1952</v>
      </c>
      <c r="B33" s="692" t="s">
        <v>902</v>
      </c>
      <c r="C33" s="718">
        <f>'Сводный расчет стоимости'!M22</f>
        <v>294.07793347554394</v>
      </c>
    </row>
    <row r="34" spans="1:3" ht="13.8" x14ac:dyDescent="0.3">
      <c r="A34" s="691" t="s">
        <v>1949</v>
      </c>
      <c r="B34" s="692" t="s">
        <v>905</v>
      </c>
      <c r="C34" s="718">
        <f>'Сводный расчет стоимости'!M23</f>
        <v>126.96672736022813</v>
      </c>
    </row>
    <row r="35" spans="1:3" ht="13.8" x14ac:dyDescent="0.3">
      <c r="A35" s="691" t="s">
        <v>2053</v>
      </c>
      <c r="B35" s="692" t="s">
        <v>910</v>
      </c>
      <c r="C35" s="718">
        <f>'Сводный расчет стоимости'!M24</f>
        <v>101.30236503583669</v>
      </c>
    </row>
    <row r="36" spans="1:3" ht="13.8" x14ac:dyDescent="0.3">
      <c r="A36" s="691" t="s">
        <v>2054</v>
      </c>
      <c r="B36" s="692" t="s">
        <v>914</v>
      </c>
      <c r="C36" s="718">
        <f>'Сводный расчет стоимости'!M25</f>
        <v>193.81120980635447</v>
      </c>
    </row>
    <row r="37" spans="1:3" ht="13.8" x14ac:dyDescent="0.3">
      <c r="A37" s="691" t="s">
        <v>1958</v>
      </c>
      <c r="B37" s="692" t="s">
        <v>1740</v>
      </c>
      <c r="C37" s="718">
        <f>'Сводный расчет стоимости'!M26</f>
        <v>477.90026020239145</v>
      </c>
    </row>
    <row r="38" spans="1:3" ht="14.25" customHeight="1" x14ac:dyDescent="0.3">
      <c r="A38" s="689"/>
      <c r="B38" s="692"/>
      <c r="C38" s="718"/>
    </row>
    <row r="39" spans="1:3" ht="13.8" x14ac:dyDescent="0.3">
      <c r="A39" s="691" t="s">
        <v>2003</v>
      </c>
      <c r="B39" s="692" t="s">
        <v>1741</v>
      </c>
      <c r="C39" s="718">
        <f>'Сводный расчет стоимости'!M28</f>
        <v>193.81120980635447</v>
      </c>
    </row>
    <row r="40" spans="1:3" ht="13.8" hidden="1" x14ac:dyDescent="0.3">
      <c r="A40" s="691" t="s">
        <v>1956</v>
      </c>
      <c r="B40" s="692" t="s">
        <v>1742</v>
      </c>
      <c r="C40" s="718">
        <f>'Сводный расчет стоимости'!M29</f>
        <v>193.81120980635447</v>
      </c>
    </row>
    <row r="41" spans="1:3" ht="13.8" x14ac:dyDescent="0.3">
      <c r="A41" s="691" t="s">
        <v>1947</v>
      </c>
      <c r="B41" s="692" t="s">
        <v>1743</v>
      </c>
      <c r="C41" s="718">
        <f>'Сводный расчет стоимости'!M30</f>
        <v>163.44399655630636</v>
      </c>
    </row>
    <row r="42" spans="1:3" ht="13.8" x14ac:dyDescent="0.3">
      <c r="A42" s="691" t="s">
        <v>1953</v>
      </c>
      <c r="B42" s="692" t="s">
        <v>926</v>
      </c>
      <c r="C42" s="718">
        <f>'Сводный расчет стоимости'!M31</f>
        <v>129.38514121470868</v>
      </c>
    </row>
    <row r="43" spans="1:3" ht="13.8" x14ac:dyDescent="0.3">
      <c r="A43" s="691" t="s">
        <v>1950</v>
      </c>
      <c r="B43" s="692" t="s">
        <v>922</v>
      </c>
      <c r="C43" s="718">
        <f>'Сводный расчет стоимости'!M32</f>
        <v>129.38514121470868</v>
      </c>
    </row>
    <row r="44" spans="1:3" ht="13.5" customHeight="1" x14ac:dyDescent="0.3">
      <c r="A44" s="691" t="s">
        <v>2055</v>
      </c>
      <c r="B44" s="692" t="s">
        <v>1744</v>
      </c>
      <c r="C44" s="718">
        <f>'Сводный расчет стоимости'!M33</f>
        <v>119.82581249731699</v>
      </c>
    </row>
    <row r="45" spans="1:3" ht="13.5" customHeight="1" x14ac:dyDescent="0.3">
      <c r="A45" s="950" t="s">
        <v>1959</v>
      </c>
      <c r="B45" s="692" t="s">
        <v>1746</v>
      </c>
      <c r="C45" s="718">
        <f>'Сводный расчет стоимости'!M34</f>
        <v>197.50285189790407</v>
      </c>
    </row>
    <row r="46" spans="1:3" ht="15" customHeight="1" x14ac:dyDescent="0.3">
      <c r="A46" s="689"/>
      <c r="B46" s="692"/>
      <c r="C46" s="718"/>
    </row>
    <row r="47" spans="1:3" ht="15.75" hidden="1" customHeight="1" x14ac:dyDescent="0.25">
      <c r="A47" s="693"/>
      <c r="B47" s="693"/>
      <c r="C47" s="718" t="e">
        <f xml:space="preserve"> 'Сводный расчет стоимости'!#REF!</f>
        <v>#REF!</v>
      </c>
    </row>
    <row r="48" spans="1:3" ht="15.75" customHeight="1" x14ac:dyDescent="0.3">
      <c r="A48" s="951" t="s">
        <v>1934</v>
      </c>
      <c r="B48" s="692" t="s">
        <v>1933</v>
      </c>
      <c r="C48" s="718">
        <f>'Сводный расчет стоимости'!M37</f>
        <v>95.274468837588216</v>
      </c>
    </row>
    <row r="49" spans="1:3" ht="15.75" customHeight="1" x14ac:dyDescent="0.25">
      <c r="A49" s="951" t="s">
        <v>1936</v>
      </c>
      <c r="B49" s="953" t="s">
        <v>1935</v>
      </c>
      <c r="C49" s="718">
        <f>'Сводный расчет стоимости'!M38</f>
        <v>95.274468837588216</v>
      </c>
    </row>
    <row r="50" spans="1:3" ht="12" customHeight="1" x14ac:dyDescent="0.25">
      <c r="A50" s="951" t="s">
        <v>1939</v>
      </c>
      <c r="B50" s="954" t="s">
        <v>1937</v>
      </c>
      <c r="C50" s="718">
        <f>'Сводный расчет стоимости'!M39</f>
        <v>95.274468837588216</v>
      </c>
    </row>
    <row r="51" spans="1:3" ht="13.8" x14ac:dyDescent="0.25">
      <c r="A51" s="951" t="s">
        <v>1940</v>
      </c>
      <c r="B51" s="954" t="s">
        <v>1938</v>
      </c>
      <c r="C51" s="718">
        <f>'Сводный расчет стоимости'!M40</f>
        <v>95.274468837588216</v>
      </c>
    </row>
    <row r="52" spans="1:3" ht="12.75" customHeight="1" x14ac:dyDescent="0.25">
      <c r="A52" s="1161" t="s">
        <v>961</v>
      </c>
      <c r="B52" s="1162"/>
      <c r="C52" s="1163"/>
    </row>
    <row r="53" spans="1:3" ht="41.4" x14ac:dyDescent="0.3">
      <c r="A53" s="689" t="s">
        <v>1942</v>
      </c>
      <c r="B53" s="692" t="s">
        <v>1941</v>
      </c>
      <c r="C53" s="718">
        <f>'Сводный расчет стоимости'!M42</f>
        <v>2442.1998393972272</v>
      </c>
    </row>
    <row r="54" spans="1:3" ht="41.4" x14ac:dyDescent="0.3">
      <c r="A54" s="689" t="s">
        <v>1944</v>
      </c>
      <c r="B54" s="692" t="s">
        <v>1943</v>
      </c>
      <c r="C54" s="718">
        <f>'Сводный расчет стоимости'!M43</f>
        <v>2442.1998393972272</v>
      </c>
    </row>
    <row r="55" spans="1:3" x14ac:dyDescent="0.25">
      <c r="A55" s="1158" t="s">
        <v>605</v>
      </c>
      <c r="B55" s="1158"/>
      <c r="C55" s="980"/>
    </row>
    <row r="56" spans="1:3" ht="12.75" customHeight="1" x14ac:dyDescent="0.3">
      <c r="A56" s="694" t="s">
        <v>2042</v>
      </c>
      <c r="B56" s="695" t="s">
        <v>2041</v>
      </c>
      <c r="C56" s="718">
        <f>'Сводный расчет стоимости'!M45</f>
        <v>320.38466671068335</v>
      </c>
    </row>
    <row r="57" spans="1:3" ht="12.75" customHeight="1" x14ac:dyDescent="0.3">
      <c r="A57" s="691" t="s">
        <v>2044</v>
      </c>
      <c r="B57" s="692" t="s">
        <v>2043</v>
      </c>
      <c r="C57" s="718">
        <f>'Сводный расчет стоимости'!M46</f>
        <v>424.07846632071727</v>
      </c>
    </row>
    <row r="58" spans="1:3" ht="12.75" customHeight="1" x14ac:dyDescent="0.3">
      <c r="A58" s="691" t="s">
        <v>2040</v>
      </c>
      <c r="B58" s="692" t="s">
        <v>1799</v>
      </c>
      <c r="C58" s="718">
        <f>'Сводный расчет стоимости'!M47</f>
        <v>751.96780053352154</v>
      </c>
    </row>
    <row r="59" spans="1:3" ht="26.25" customHeight="1" x14ac:dyDescent="0.3">
      <c r="A59" s="691" t="s">
        <v>2199</v>
      </c>
      <c r="B59" s="692" t="s">
        <v>2198</v>
      </c>
      <c r="C59" s="718">
        <f>'Сводный расчет стоимости'!M48</f>
        <v>1333.5232077415799</v>
      </c>
    </row>
    <row r="60" spans="1:3" ht="12.75" customHeight="1" x14ac:dyDescent="0.3">
      <c r="A60" s="1164" t="s">
        <v>2183</v>
      </c>
      <c r="B60" s="1164"/>
      <c r="C60" s="981"/>
    </row>
    <row r="61" spans="1:3" ht="12.75" customHeight="1" x14ac:dyDescent="0.3">
      <c r="A61" s="691" t="str">
        <f>'Сводный расчет стоимости'!B91</f>
        <v xml:space="preserve">B04.014.004.000                 </v>
      </c>
      <c r="B61" s="692" t="str">
        <f>'Сводный расчет стоимости'!C52</f>
        <v>Комплексное ультразвуковой исследование внутренних органов</v>
      </c>
      <c r="C61" s="982">
        <f>'Сводный расчет стоимости'!M52</f>
        <v>576.04173108860675</v>
      </c>
    </row>
    <row r="62" spans="1:3" ht="12.75" customHeight="1" x14ac:dyDescent="0.3">
      <c r="A62" s="691" t="str">
        <f>'Сводный расчет стоимости'!B53</f>
        <v>A04.30.006.000</v>
      </c>
      <c r="B62" s="692" t="str">
        <f>'Сводный расчет стоимости'!C53</f>
        <v>Ультразвуковое исследование брюшины</v>
      </c>
      <c r="C62" s="982">
        <f>'Сводный расчет стоимости'!M53</f>
        <v>400.22697364679408</v>
      </c>
    </row>
    <row r="63" spans="1:3" ht="12.75" customHeight="1" x14ac:dyDescent="0.3">
      <c r="A63" s="691" t="str">
        <f>'Сводный расчет стоимости'!B54</f>
        <v>А04.20.002.000</v>
      </c>
      <c r="B63" s="692" t="str">
        <f>'Сводный расчет стоимости'!C54</f>
        <v>Ультразвуковое исследование в первом триместре беременности</v>
      </c>
      <c r="C63" s="982">
        <f>'Сводный расчет стоимости'!M54</f>
        <v>576.04173108860675</v>
      </c>
    </row>
    <row r="64" spans="1:3" ht="12.75" customHeight="1" x14ac:dyDescent="0.3">
      <c r="A64" s="691" t="str">
        <f>'Сводный расчет стоимости'!B55</f>
        <v>А04.20.001.007</v>
      </c>
      <c r="B64" s="692" t="str">
        <f>'Сводный расчет стоимости'!C55</f>
        <v>Ультразвуковое исследование внутренних женских половых органов двумя датчиками</v>
      </c>
      <c r="C64" s="982">
        <f>'Сводный расчет стоимости'!M55</f>
        <v>592.61101866117883</v>
      </c>
    </row>
    <row r="65" spans="1:3" ht="12.75" customHeight="1" x14ac:dyDescent="0.3">
      <c r="A65" s="691" t="str">
        <f>'Сводный расчет стоимости'!B56</f>
        <v>А04.20.001.008</v>
      </c>
      <c r="B65" s="692" t="str">
        <f>'Сводный расчет стоимости'!C56</f>
        <v>Ультразвуковое исследование матки и придатков (после медицинского аборта)</v>
      </c>
      <c r="C65" s="982">
        <f>'Сводный расчет стоимости'!M56</f>
        <v>487.53173050365632</v>
      </c>
    </row>
    <row r="66" spans="1:3" ht="12.75" customHeight="1" x14ac:dyDescent="0.3">
      <c r="A66" s="691" t="str">
        <f>'Сводный расчет стоимости'!B57</f>
        <v>А04.20.001.000</v>
      </c>
      <c r="B66" s="692" t="str">
        <f>'Сводный расчет стоимости'!C57</f>
        <v>Ультразвуковое исследование матки и придатков трансабдоминальное</v>
      </c>
      <c r="C66" s="982">
        <f>'Сводный расчет стоимости'!M57</f>
        <v>487.53173050365632</v>
      </c>
    </row>
    <row r="67" spans="1:3" ht="12.75" customHeight="1" x14ac:dyDescent="0.3">
      <c r="A67" s="691" t="str">
        <f>'Сводный расчет стоимости'!B58</f>
        <v>А04.20.001.001</v>
      </c>
      <c r="B67" s="692" t="str">
        <f>'Сводный расчет стоимости'!C58</f>
        <v>Ультразвуковое исследование матки и придатков трансвагинальное</v>
      </c>
      <c r="C67" s="982">
        <f>'Сводный расчет стоимости'!M58</f>
        <v>505.10101807622846</v>
      </c>
    </row>
    <row r="68" spans="1:3" ht="12.75" customHeight="1" x14ac:dyDescent="0.3">
      <c r="A68" s="691" t="str">
        <f>'Сводный расчет стоимости'!B59</f>
        <v>А04.20.003.000</v>
      </c>
      <c r="B68" s="692" t="str">
        <f>'Сводный расчет стоимости'!C59</f>
        <v>Ультразвуковое исследование молочных желез</v>
      </c>
      <c r="C68" s="982">
        <f>'Сводный расчет стоимости'!M59</f>
        <v>400.01172991870584</v>
      </c>
    </row>
    <row r="69" spans="1:3" ht="12.75" customHeight="1" x14ac:dyDescent="0.3">
      <c r="A69" s="691" t="str">
        <f>'Сводный расчет стоимости'!B60</f>
        <v>А04.30.001.000</v>
      </c>
      <c r="B69" s="692" t="str">
        <f>'Сводный расчет стоимости'!C60</f>
        <v>Ультразвуковое исследование плода</v>
      </c>
      <c r="C69" s="982">
        <f>'Сводный расчет стоимости'!M60</f>
        <v>400.01172991870584</v>
      </c>
    </row>
    <row r="70" spans="1:3" ht="12.75" customHeight="1" x14ac:dyDescent="0.3">
      <c r="A70" s="691" t="str">
        <f>'Сводный расчет стоимости'!B61</f>
        <v>А04.30.001.006</v>
      </c>
      <c r="B70" s="692" t="str">
        <f>'Сводный расчет стоимости'!C61</f>
        <v>Ультразвуковое исследование плода (II и  III триместре)</v>
      </c>
      <c r="C70" s="982">
        <f>'Сводный расчет стоимости'!M61</f>
        <v>400.01172991870584</v>
      </c>
    </row>
    <row r="71" spans="1:3" ht="12.75" customHeight="1" x14ac:dyDescent="0.3">
      <c r="A71" s="691" t="str">
        <f>'Сводный расчет стоимости'!B62</f>
        <v>А04.30.001.005</v>
      </c>
      <c r="B71" s="692" t="str">
        <f>'Сводный расчет стоимости'!C62</f>
        <v>Ультразвуковое исследование плода (в I триместре)</v>
      </c>
      <c r="C71" s="982">
        <f>'Сводный расчет стоимости'!M62</f>
        <v>400.01172991870584</v>
      </c>
    </row>
    <row r="72" spans="1:3" ht="12.75" customHeight="1" x14ac:dyDescent="0.3">
      <c r="A72" s="691" t="str">
        <f>'Сводный расчет стоимости'!B63</f>
        <v>А04.30.001.009</v>
      </c>
      <c r="B72" s="692" t="str">
        <f>'Сводный расчет стоимости'!C63</f>
        <v>Ультразвуковое исследование плода при беременности малого срока</v>
      </c>
      <c r="C72" s="982">
        <f>'Сводный расчет стоимости'!M63</f>
        <v>400.01172991870584</v>
      </c>
    </row>
    <row r="73" spans="1:3" ht="12.75" customHeight="1" x14ac:dyDescent="0.3">
      <c r="A73" s="691" t="str">
        <f>'Сводный расчет стоимости'!B64</f>
        <v>А04.20.001.006</v>
      </c>
      <c r="B73" s="692" t="str">
        <f>'Сводный расчет стоимости'!C64</f>
        <v>Ультразвуковое исследование  при беременности 1 триместра</v>
      </c>
      <c r="C73" s="982">
        <f>'Сводный расчет стоимости'!M64</f>
        <v>400.01172991870584</v>
      </c>
    </row>
    <row r="74" spans="1:3" ht="12.75" customHeight="1" x14ac:dyDescent="0.3">
      <c r="A74" s="691" t="str">
        <f>'Сводный расчет стоимости'!B65</f>
        <v>А04.23.001.001</v>
      </c>
      <c r="B74" s="692" t="str">
        <f>'Сводный расчет стоимости'!C65</f>
        <v>Ультразвуковое исследование  головного мозга</v>
      </c>
      <c r="C74" s="982">
        <f>'Сводный расчет стоимости'!M65</f>
        <v>576.04173108860675</v>
      </c>
    </row>
    <row r="75" spans="1:3" ht="12.75" customHeight="1" x14ac:dyDescent="0.3">
      <c r="A75" s="691" t="str">
        <f>'Сводный расчет стоимости'!B66</f>
        <v>А04.30.007.014</v>
      </c>
      <c r="B75" s="692" t="str">
        <f>'Сводный расчет стоимости'!C66</f>
        <v>Ультразвуковое исследование  двенадцатиперстной кишки</v>
      </c>
      <c r="C75" s="982">
        <f>'Сводный расчет стоимости'!M66</f>
        <v>400.01172991870584</v>
      </c>
    </row>
    <row r="76" spans="1:3" ht="12.75" customHeight="1" x14ac:dyDescent="0.3">
      <c r="A76" s="691" t="str">
        <f>'Сводный расчет стоимости'!B67</f>
        <v>А04.16.007.000</v>
      </c>
      <c r="B76" s="692" t="str">
        <f>'Сводный расчет стоимости'!C67</f>
        <v>Ультразвуковое исследование  желудка</v>
      </c>
      <c r="C76" s="982">
        <f>'Сводный расчет стоимости'!M67</f>
        <v>400.01172991870584</v>
      </c>
    </row>
    <row r="77" spans="1:3" ht="12.75" customHeight="1" x14ac:dyDescent="0.3">
      <c r="A77" s="691" t="str">
        <f>'Сводный расчет стоимости'!B68</f>
        <v>А04.09.002.000</v>
      </c>
      <c r="B77" s="692" t="str">
        <f>'Сводный расчет стоимости'!C68</f>
        <v>Ультразвуковое исследование  легких</v>
      </c>
      <c r="C77" s="982">
        <f>'Сводный расчет стоимости'!M68</f>
        <v>576.04173108860675</v>
      </c>
    </row>
    <row r="78" spans="1:3" ht="12.75" customHeight="1" x14ac:dyDescent="0.3">
      <c r="A78" s="691" t="str">
        <f>'Сводный расчет стоимости'!B69</f>
        <v>А04.06.002.000</v>
      </c>
      <c r="B78" s="692" t="str">
        <f>'Сводный расчет стоимости'!C69</f>
        <v>Ультразвуковое исследование  лимфотических узлов (одна анатомическая зона)</v>
      </c>
      <c r="C78" s="982">
        <f>'Сводный расчет стоимости'!M69</f>
        <v>400.01172991870584</v>
      </c>
    </row>
    <row r="79" spans="1:3" ht="12.75" customHeight="1" x14ac:dyDescent="0.3">
      <c r="A79" s="691" t="str">
        <f>'Сводный расчет стоимости'!B70</f>
        <v>А04.28.002.003</v>
      </c>
      <c r="B79" s="692" t="str">
        <f>'Сводный расчет стоимости'!C70</f>
        <v>Ультразвуковое исследование  мочевого пузыря</v>
      </c>
      <c r="C79" s="982">
        <f>'Сводный расчет стоимости'!M70</f>
        <v>311.50172933375546</v>
      </c>
    </row>
    <row r="80" spans="1:3" ht="12.75" customHeight="1" x14ac:dyDescent="0.3">
      <c r="A80" s="691" t="str">
        <f>'Сводный расчет стоимости'!B71</f>
        <v>А04.28.002.005</v>
      </c>
      <c r="B80" s="692" t="str">
        <f>'Сводный расчет стоимости'!C71</f>
        <v>Ультразвуковое исследование  мочевого пузыря с определением остаточной мочи</v>
      </c>
      <c r="C80" s="982">
        <f>'Сводный расчет стоимости'!M71</f>
        <v>400.01172991870584</v>
      </c>
    </row>
    <row r="81" spans="1:3" ht="12.75" customHeight="1" x14ac:dyDescent="0.3">
      <c r="A81" s="691" t="str">
        <f>'Сводный расчет стоимости'!B72</f>
        <v>А04.28.002.000</v>
      </c>
      <c r="B81" s="692" t="str">
        <f>'Сводный расчет стоимости'!C72</f>
        <v>Ультразвуковое исследование  мочевыводящих путей</v>
      </c>
      <c r="C81" s="982">
        <f>'Сводный расчет стоимости'!M72</f>
        <v>487.53173050365632</v>
      </c>
    </row>
    <row r="82" spans="1:3" ht="12.75" customHeight="1" x14ac:dyDescent="0.3">
      <c r="A82" s="691" t="str">
        <f>'Сводный расчет стоимости'!B73</f>
        <v>А04.28.002.000</v>
      </c>
      <c r="B82" s="692" t="str">
        <f>'Сводный расчет стоимости'!C73</f>
        <v>Ультразвуковое исследование  мочеточников</v>
      </c>
      <c r="C82" s="982">
        <f>'Сводный расчет стоимости'!M73</f>
        <v>400.01172991870584</v>
      </c>
    </row>
    <row r="83" spans="1:3" ht="12.75" customHeight="1" x14ac:dyDescent="0.3">
      <c r="A83" s="691" t="str">
        <f>'Сводный расчет стоимости'!B74</f>
        <v>А04.22.002.000</v>
      </c>
      <c r="B83" s="692" t="str">
        <f>'Сводный расчет стоимости'!C74</f>
        <v>Ультразвуковое исследование надпочечников</v>
      </c>
      <c r="C83" s="982">
        <f>'Сводный расчет стоимости'!M74</f>
        <v>400.01172991870584</v>
      </c>
    </row>
    <row r="84" spans="1:3" ht="12.75" customHeight="1" x14ac:dyDescent="0.3">
      <c r="A84" s="691" t="str">
        <f>'Сводный расчет стоимости'!B75</f>
        <v>А04.16.001.000</v>
      </c>
      <c r="B84" s="692" t="str">
        <f>'Сводный расчет стоимости'!C75</f>
        <v>Ультразвуковое исследование органов брющной полости (комплексное)</v>
      </c>
      <c r="C84" s="982">
        <f>'Сводный расчет стоимости'!M75</f>
        <v>576.04173108860675</v>
      </c>
    </row>
    <row r="85" spans="1:3" ht="12.75" customHeight="1" x14ac:dyDescent="0.3">
      <c r="A85" s="691" t="str">
        <f>'Сводный расчет стоимости'!B76</f>
        <v>А04.30.007.015</v>
      </c>
      <c r="B85" s="692" t="str">
        <f>'Сводный расчет стоимости'!C76</f>
        <v>Ультразвуковое исследование печени и желчного пузыря</v>
      </c>
      <c r="C85" s="982">
        <f>'Сводный расчет стоимости'!M76</f>
        <v>487.53173050365632</v>
      </c>
    </row>
    <row r="86" spans="1:3" ht="12.75" customHeight="1" x14ac:dyDescent="0.3">
      <c r="A86" s="691" t="str">
        <f>'Сводный расчет стоимости'!B77</f>
        <v>А04.15.001.000</v>
      </c>
      <c r="B86" s="692" t="str">
        <f>'Сводный расчет стоимости'!C77</f>
        <v>Ультразвуковое исследование поджелудочной железы</v>
      </c>
      <c r="C86" s="982">
        <f>'Сводный расчет стоимости'!M77</f>
        <v>400.01172991870584</v>
      </c>
    </row>
    <row r="87" spans="1:3" ht="12.75" customHeight="1" x14ac:dyDescent="0.3">
      <c r="A87" s="691" t="str">
        <f>'Сводный расчет стоимости'!B78</f>
        <v>А04.28.002.001</v>
      </c>
      <c r="B87" s="692" t="str">
        <f>'Сводный расчет стоимости'!C78</f>
        <v>Ультразвуковое исследование почек</v>
      </c>
      <c r="C87" s="982">
        <f>'Сводный расчет стоимости'!M78</f>
        <v>400.01172991870584</v>
      </c>
    </row>
    <row r="88" spans="1:3" ht="12.75" customHeight="1" x14ac:dyDescent="0.3">
      <c r="A88" s="691" t="str">
        <f>'Сводный расчет стоимости'!B79</f>
        <v>А04.30.007.018</v>
      </c>
      <c r="B88" s="692" t="str">
        <f>'Сводный расчет стоимости'!C79</f>
        <v>Ультразвуковое исследование почек и мочевого пузыря</v>
      </c>
      <c r="C88" s="982">
        <f>'Сводный расчет стоимости'!M79</f>
        <v>487.53173050365632</v>
      </c>
    </row>
    <row r="89" spans="1:3" ht="12.75" customHeight="1" x14ac:dyDescent="0.3">
      <c r="A89" s="691" t="str">
        <f>'Сводный расчет стоимости'!B80</f>
        <v>А04.28.001.000</v>
      </c>
      <c r="B89" s="692" t="str">
        <f>'Сводный расчет стоимости'!C80</f>
        <v>Ультразвуковое исследование почек и надпочечников</v>
      </c>
      <c r="C89" s="982">
        <f>'Сводный расчет стоимости'!M80</f>
        <v>487.53173050365632</v>
      </c>
    </row>
    <row r="90" spans="1:3" ht="12.75" customHeight="1" x14ac:dyDescent="0.3">
      <c r="A90" s="691" t="str">
        <f>'Сводный расчет стоимости'!B81</f>
        <v>А04.21.001.000</v>
      </c>
      <c r="B90" s="692" t="str">
        <f>'Сводный расчет стоимости'!C81</f>
        <v>Ультразвуковое исследование предстательной железы</v>
      </c>
      <c r="C90" s="982">
        <f>'Сводный расчет стоимости'!M81</f>
        <v>400.01172991870584</v>
      </c>
    </row>
    <row r="91" spans="1:3" ht="12.75" customHeight="1" x14ac:dyDescent="0.3">
      <c r="A91" s="691" t="str">
        <f>'Сводный расчет стоимости'!B82</f>
        <v>А04.28.003.000</v>
      </c>
      <c r="B91" s="692" t="str">
        <f>'Сводный расчет стоимости'!C82</f>
        <v>Ультразвуковое исследование мошонки</v>
      </c>
      <c r="C91" s="982">
        <f>'Сводный расчет стоимости'!M82</f>
        <v>400.01172991870584</v>
      </c>
    </row>
    <row r="92" spans="1:3" ht="12.75" customHeight="1" x14ac:dyDescent="0.3">
      <c r="A92" s="691" t="str">
        <f>'Сводный расчет стоимости'!B83</f>
        <v>А04.16.005.002</v>
      </c>
      <c r="B92" s="692" t="str">
        <f>'Сводный расчет стоимости'!C83</f>
        <v>Ультразвуковое исследование органов пищеварения</v>
      </c>
      <c r="C92" s="982">
        <f>'Сводный расчет стоимости'!M83</f>
        <v>575.78173108860676</v>
      </c>
    </row>
    <row r="93" spans="1:3" ht="12.75" customHeight="1" x14ac:dyDescent="0.3">
      <c r="A93" s="691" t="str">
        <f>'Сводный расчет стоимости'!B84</f>
        <v>А04.06.001.000</v>
      </c>
      <c r="B93" s="692" t="str">
        <f>'Сводный расчет стоимости'!C84</f>
        <v>Ультразвуковое исследование селезенки</v>
      </c>
      <c r="C93" s="982">
        <f>'Сводный расчет стоимости'!M84</f>
        <v>400.01172991870584</v>
      </c>
    </row>
    <row r="94" spans="1:3" ht="12.75" customHeight="1" x14ac:dyDescent="0.3">
      <c r="A94" s="691" t="str">
        <f>'Сводный расчет стоимости'!B85</f>
        <v>А04.22.004.000</v>
      </c>
      <c r="B94" s="692" t="str">
        <f>'Сводный расчет стоимости'!C85</f>
        <v>Ультразвуковое исследование щитовидной железы</v>
      </c>
      <c r="C94" s="982">
        <f>'Сводный расчет стоимости'!M85</f>
        <v>311.50172933375546</v>
      </c>
    </row>
    <row r="95" spans="1:3" ht="12.75" customHeight="1" x14ac:dyDescent="0.3">
      <c r="A95" s="691" t="str">
        <f>'Сводный расчет стоимости'!B86</f>
        <v>А04.22.001.000</v>
      </c>
      <c r="B95" s="692" t="str">
        <f>'Сводный расчет стоимости'!C86</f>
        <v>Ультразвуковое исследование щитовидной железы и паращитовидных желез</v>
      </c>
      <c r="C95" s="982">
        <f>'Сводный расчет стоимости'!M86</f>
        <v>399.63393408230911</v>
      </c>
    </row>
    <row r="96" spans="1:3" ht="12.75" customHeight="1" x14ac:dyDescent="0.3">
      <c r="A96" s="691" t="s">
        <v>2276</v>
      </c>
      <c r="B96" s="692" t="s">
        <v>2277</v>
      </c>
      <c r="C96" s="982">
        <f>'Сводный расчет стоимости'!M87</f>
        <v>782.53085246982357</v>
      </c>
    </row>
    <row r="97" spans="1:3" ht="25.5" customHeight="1" x14ac:dyDescent="0.3">
      <c r="A97" s="691" t="s">
        <v>2281</v>
      </c>
      <c r="B97" s="692" t="s">
        <v>2282</v>
      </c>
      <c r="C97" s="982">
        <f>'Сводный расчет стоимости'!M88</f>
        <v>674.55331825723476</v>
      </c>
    </row>
    <row r="98" spans="1:3" ht="12.75" customHeight="1" x14ac:dyDescent="0.3">
      <c r="A98" s="691" t="s">
        <v>2280</v>
      </c>
      <c r="B98" s="692" t="s">
        <v>2279</v>
      </c>
      <c r="C98" s="982">
        <f>'Сводный расчет стоимости'!M89</f>
        <v>1099.7959769516801</v>
      </c>
    </row>
    <row r="99" spans="1:3" ht="12.75" customHeight="1" x14ac:dyDescent="0.25">
      <c r="A99" s="1165" t="s">
        <v>1025</v>
      </c>
      <c r="B99" s="1165"/>
      <c r="C99" s="705"/>
    </row>
    <row r="100" spans="1:3" ht="12.75" customHeight="1" x14ac:dyDescent="0.25">
      <c r="A100" s="962" t="s">
        <v>2007</v>
      </c>
      <c r="B100" s="963" t="s">
        <v>1748</v>
      </c>
      <c r="C100" s="952">
        <f>'Сводный расчет стоимости'!M91</f>
        <v>173.7358964887961</v>
      </c>
    </row>
    <row r="101" spans="1:3" ht="24" customHeight="1" x14ac:dyDescent="0.25">
      <c r="A101" s="962" t="s">
        <v>1889</v>
      </c>
      <c r="B101" s="963" t="s">
        <v>2004</v>
      </c>
      <c r="C101" s="952">
        <f>'Сводный расчет стоимости'!M92</f>
        <v>692.03960947510632</v>
      </c>
    </row>
    <row r="102" spans="1:3" ht="27.75" hidden="1" customHeight="1" x14ac:dyDescent="0.25">
      <c r="A102" s="962" t="s">
        <v>1890</v>
      </c>
      <c r="B102" s="963" t="s">
        <v>2005</v>
      </c>
      <c r="C102" s="952">
        <f>'Сводный расчет стоимости'!M93</f>
        <v>965.14820495947765</v>
      </c>
    </row>
    <row r="103" spans="1:3" ht="27.75" customHeight="1" x14ac:dyDescent="0.25">
      <c r="A103" s="962" t="s">
        <v>1890</v>
      </c>
      <c r="B103" s="963" t="s">
        <v>2006</v>
      </c>
      <c r="C103" s="952">
        <f>'Сводный расчет стоимости'!M94</f>
        <v>1126.395502562239</v>
      </c>
    </row>
    <row r="104" spans="1:3" ht="26.25" customHeight="1" x14ac:dyDescent="0.25">
      <c r="A104" s="962" t="s">
        <v>1997</v>
      </c>
      <c r="B104" s="963" t="s">
        <v>1996</v>
      </c>
      <c r="C104" s="718">
        <f>'Сводный расчет стоимости'!M95</f>
        <v>154.77495343017384</v>
      </c>
    </row>
    <row r="105" spans="1:3" ht="12.75" customHeight="1" x14ac:dyDescent="0.25">
      <c r="A105" s="962" t="s">
        <v>1994</v>
      </c>
      <c r="B105" s="963" t="s">
        <v>1749</v>
      </c>
      <c r="C105" s="718">
        <f>'Сводный расчет стоимости'!M96</f>
        <v>146.71976720580622</v>
      </c>
    </row>
    <row r="106" spans="1:3" ht="13.5" customHeight="1" x14ac:dyDescent="0.25">
      <c r="A106" s="962" t="s">
        <v>1995</v>
      </c>
      <c r="B106" s="963" t="s">
        <v>99</v>
      </c>
      <c r="C106" s="718">
        <f>'Сводный расчет стоимости'!M97</f>
        <v>72.393103364286532</v>
      </c>
    </row>
    <row r="107" spans="1:3" ht="12.75" customHeight="1" x14ac:dyDescent="0.25">
      <c r="A107" s="1154" t="s">
        <v>240</v>
      </c>
      <c r="B107" s="1154"/>
    </row>
    <row r="108" spans="1:3" ht="14.25" customHeight="1" x14ac:dyDescent="0.3">
      <c r="A108" s="689" t="s">
        <v>1921</v>
      </c>
      <c r="B108" s="692" t="s">
        <v>938</v>
      </c>
      <c r="C108" s="718">
        <f>'Сводный расчет стоимости'!M99</f>
        <v>230.96954590246028</v>
      </c>
    </row>
    <row r="109" spans="1:3" ht="12.75" customHeight="1" x14ac:dyDescent="0.3">
      <c r="A109" s="689" t="s">
        <v>1922</v>
      </c>
      <c r="B109" s="692" t="s">
        <v>1718</v>
      </c>
      <c r="C109" s="718">
        <f>'Сводный расчет стоимости'!M100</f>
        <v>210.95632943049492</v>
      </c>
    </row>
    <row r="110" spans="1:3" ht="12.75" customHeight="1" x14ac:dyDescent="0.3">
      <c r="A110" s="689" t="s">
        <v>1923</v>
      </c>
      <c r="B110" s="692" t="s">
        <v>918</v>
      </c>
      <c r="C110" s="718">
        <f>'Сводный расчет стоимости'!M101</f>
        <v>190.96786221289727</v>
      </c>
    </row>
    <row r="111" spans="1:3" ht="12.75" customHeight="1" x14ac:dyDescent="0.3">
      <c r="A111" s="689" t="s">
        <v>1924</v>
      </c>
      <c r="B111" s="692" t="s">
        <v>1241</v>
      </c>
      <c r="C111" s="718">
        <f>'Сводный расчет стоимости'!M102</f>
        <v>94.755121709479582</v>
      </c>
    </row>
    <row r="112" spans="1:3" ht="12.75" customHeight="1" x14ac:dyDescent="0.3">
      <c r="A112" s="689" t="s">
        <v>1925</v>
      </c>
      <c r="B112" s="692" t="s">
        <v>1719</v>
      </c>
      <c r="C112" s="718">
        <f>'Сводный расчет стоимости'!M103</f>
        <v>630.71414100004642</v>
      </c>
    </row>
    <row r="113" spans="1:3" ht="12.75" customHeight="1" x14ac:dyDescent="0.3">
      <c r="A113" s="689" t="s">
        <v>1926</v>
      </c>
      <c r="B113" s="692" t="s">
        <v>945</v>
      </c>
      <c r="C113" s="718">
        <f>'Сводный расчет стоимости'!M104</f>
        <v>125.17841707788622</v>
      </c>
    </row>
    <row r="114" spans="1:3" ht="12.75" customHeight="1" x14ac:dyDescent="0.3">
      <c r="A114" s="689" t="s">
        <v>1928</v>
      </c>
      <c r="B114" s="692" t="s">
        <v>1927</v>
      </c>
      <c r="C114" s="718">
        <f>'Сводный расчет стоимости'!M105</f>
        <v>131.0024605601042</v>
      </c>
    </row>
    <row r="115" spans="1:3" ht="12.75" customHeight="1" x14ac:dyDescent="0.3">
      <c r="A115" s="689" t="s">
        <v>2000</v>
      </c>
      <c r="B115" s="692" t="s">
        <v>948</v>
      </c>
      <c r="C115" s="718">
        <f>'Сводный расчет стоимости'!M106</f>
        <v>115.89130996383986</v>
      </c>
    </row>
    <row r="116" spans="1:3" ht="12.75" customHeight="1" x14ac:dyDescent="0.3">
      <c r="A116" s="689" t="s">
        <v>1929</v>
      </c>
      <c r="B116" s="692" t="s">
        <v>768</v>
      </c>
      <c r="C116" s="718">
        <f>'Сводный расчет стоимости'!M107</f>
        <v>131.01483518728801</v>
      </c>
    </row>
    <row r="117" spans="1:3" ht="12.75" customHeight="1" x14ac:dyDescent="0.3">
      <c r="A117" s="689" t="s">
        <v>1930</v>
      </c>
      <c r="B117" s="692" t="s">
        <v>1729</v>
      </c>
      <c r="C117" s="718">
        <f>'Сводный расчет стоимости'!M108</f>
        <v>430.8789673328049</v>
      </c>
    </row>
    <row r="118" spans="1:3" ht="12.75" customHeight="1" x14ac:dyDescent="0.3">
      <c r="A118" s="689" t="s">
        <v>1931</v>
      </c>
      <c r="B118" s="692" t="s">
        <v>1730</v>
      </c>
      <c r="C118" s="718">
        <f>'Сводный расчет стоимости'!M109</f>
        <v>131.01483518728801</v>
      </c>
    </row>
    <row r="119" spans="1:3" ht="12.75" customHeight="1" x14ac:dyDescent="0.3">
      <c r="A119" s="689" t="s">
        <v>1932</v>
      </c>
      <c r="B119" s="692" t="s">
        <v>1751</v>
      </c>
      <c r="C119" s="718">
        <f>'Сводный расчет стоимости'!M110</f>
        <v>462.77640827370612</v>
      </c>
    </row>
    <row r="120" spans="1:3" ht="12.75" customHeight="1" x14ac:dyDescent="0.25">
      <c r="A120" s="1154" t="s">
        <v>692</v>
      </c>
      <c r="B120" s="1154"/>
      <c r="C120" s="983"/>
    </row>
    <row r="121" spans="1:3" ht="12.75" customHeight="1" x14ac:dyDescent="0.3">
      <c r="A121" s="691" t="s">
        <v>2045</v>
      </c>
      <c r="B121" s="692" t="s">
        <v>1752</v>
      </c>
      <c r="C121" s="718">
        <f>'Сводный расчет стоимости'!M112</f>
        <v>109.64768485733667</v>
      </c>
    </row>
    <row r="122" spans="1:3" ht="12.75" customHeight="1" x14ac:dyDescent="0.3">
      <c r="A122" s="691" t="s">
        <v>2046</v>
      </c>
      <c r="B122" s="692" t="s">
        <v>1753</v>
      </c>
      <c r="C122" s="718">
        <f>'Сводный расчет стоимости'!M113</f>
        <v>92.77741071617146</v>
      </c>
    </row>
    <row r="123" spans="1:3" ht="12.75" customHeight="1" x14ac:dyDescent="0.3">
      <c r="A123" s="691" t="s">
        <v>2047</v>
      </c>
      <c r="B123" s="692" t="s">
        <v>1754</v>
      </c>
      <c r="C123" s="718">
        <f>'Сводный расчет стоимости'!M114</f>
        <v>92.77741071617146</v>
      </c>
    </row>
    <row r="124" spans="1:3" ht="12.75" customHeight="1" x14ac:dyDescent="0.3">
      <c r="A124" s="691" t="s">
        <v>2048</v>
      </c>
      <c r="B124" s="692" t="s">
        <v>1539</v>
      </c>
      <c r="C124" s="718">
        <f>'Сводный расчет стоимости'!M115</f>
        <v>659.27881089433276</v>
      </c>
    </row>
    <row r="125" spans="1:3" ht="12.75" customHeight="1" x14ac:dyDescent="0.3">
      <c r="A125" s="691" t="s">
        <v>2049</v>
      </c>
      <c r="B125" s="692" t="s">
        <v>1541</v>
      </c>
      <c r="C125" s="718">
        <f>'Сводный расчет стоимости'!M116</f>
        <v>711.77950209306061</v>
      </c>
    </row>
    <row r="126" spans="1:3" ht="12.75" customHeight="1" x14ac:dyDescent="0.3">
      <c r="A126" s="691" t="s">
        <v>1998</v>
      </c>
      <c r="B126" s="692" t="s">
        <v>88</v>
      </c>
      <c r="C126" s="718">
        <f>'Сводный расчет стоимости'!M117</f>
        <v>492.13764440845995</v>
      </c>
    </row>
    <row r="127" spans="1:3" ht="12.75" customHeight="1" x14ac:dyDescent="0.3">
      <c r="A127" s="691" t="s">
        <v>1999</v>
      </c>
      <c r="B127" s="692" t="s">
        <v>86</v>
      </c>
      <c r="C127" s="718">
        <f>'Сводный расчет стоимости'!M118</f>
        <v>492.13764440845995</v>
      </c>
    </row>
    <row r="128" spans="1:3" ht="12.75" hidden="1" customHeight="1" x14ac:dyDescent="0.3">
      <c r="A128" s="691" t="s">
        <v>989</v>
      </c>
      <c r="B128" s="692" t="s">
        <v>988</v>
      </c>
      <c r="C128" s="718">
        <f>'Сводный расчет стоимости'!M119</f>
        <v>164.28539390752164</v>
      </c>
    </row>
    <row r="129" spans="1:3" ht="12.75" customHeight="1" x14ac:dyDescent="0.3">
      <c r="A129" s="691" t="s">
        <v>2050</v>
      </c>
      <c r="B129" s="692" t="s">
        <v>769</v>
      </c>
      <c r="C129" s="718">
        <f>'Сводный расчет стоимости'!M120</f>
        <v>492.13764440845995</v>
      </c>
    </row>
    <row r="130" spans="1:3" ht="12.75" customHeight="1" x14ac:dyDescent="0.25">
      <c r="A130" s="1158" t="s">
        <v>2225</v>
      </c>
      <c r="B130" s="1158"/>
      <c r="C130" s="1158"/>
    </row>
    <row r="131" spans="1:3" ht="12.75" customHeight="1" x14ac:dyDescent="0.3">
      <c r="A131" s="691" t="str">
        <f>'Сводный расчет стоимости'!B122</f>
        <v>В01.041.001.000</v>
      </c>
      <c r="B131" s="990" t="str">
        <f>'Сводный расчет стоимости'!C122</f>
        <v>Прием (осмотр, консультация) врача-рефлексотерапевта первичный</v>
      </c>
      <c r="C131" s="718">
        <f>'Сводный расчет стоимости'!M122</f>
        <v>249.38595342350524</v>
      </c>
    </row>
    <row r="132" spans="1:3" ht="12.75" customHeight="1" x14ac:dyDescent="0.3">
      <c r="A132" s="691" t="str">
        <f>'Сводный расчет стоимости'!B123</f>
        <v>В01.041.002.000</v>
      </c>
      <c r="B132" s="990" t="str">
        <f>'Сводный расчет стоимости'!C123</f>
        <v>Прием (осмотр, консультация) врача-рефлексотерапевта повторный</v>
      </c>
      <c r="C132" s="718">
        <f>'Сводный расчет стоимости'!M123</f>
        <v>139.98379838730381</v>
      </c>
    </row>
    <row r="133" spans="1:3" ht="12.75" hidden="1" customHeight="1" x14ac:dyDescent="0.3">
      <c r="A133" s="691" t="str">
        <f>'Сводный расчет стоимости'!B124</f>
        <v>А21.08.001.000</v>
      </c>
      <c r="B133" s="990" t="str">
        <f>'Сводный расчет стоимости'!C124</f>
        <v>Рефлексотерапия (1 сеанс)</v>
      </c>
      <c r="C133" s="718">
        <f>'Сводный расчет стоимости'!M124</f>
        <v>334.28786005324832</v>
      </c>
    </row>
    <row r="134" spans="1:3" ht="12.75" customHeight="1" x14ac:dyDescent="0.3">
      <c r="A134" s="691" t="str">
        <f>'Сводный расчет стоимости'!B125</f>
        <v>А17.01.002.003</v>
      </c>
      <c r="B134" s="990" t="str">
        <f>'Сводный расчет стоимости'!C125</f>
        <v>Лазеропунктура (1 сеанс)</v>
      </c>
      <c r="C134" s="718">
        <f>'Сводный расчет стоимости'!M125</f>
        <v>252.0061258178402</v>
      </c>
    </row>
    <row r="135" spans="1:3" ht="12.75" hidden="1" customHeight="1" x14ac:dyDescent="0.3">
      <c r="A135" s="691" t="str">
        <f>'Сводный расчет стоимости'!B126</f>
        <v>А17.01.002.006</v>
      </c>
      <c r="B135" s="990" t="str">
        <f>'Сводный расчет стоимости'!C126</f>
        <v>Магнитоаппликация (1 сеанс)</v>
      </c>
      <c r="C135" s="718">
        <f>'Сводный расчет стоимости'!M126</f>
        <v>200.29420188168214</v>
      </c>
    </row>
    <row r="136" spans="1:3" ht="12.75" hidden="1" customHeight="1" x14ac:dyDescent="0.3">
      <c r="A136" s="691" t="str">
        <f>'Сводный расчет стоимости'!B127</f>
        <v>А21.30.011.000</v>
      </c>
      <c r="B136" s="990" t="str">
        <f>'Сводный расчет стоимости'!C127</f>
        <v>Микроиглотерапия (1 сеанс)</v>
      </c>
      <c r="C136" s="718">
        <f>'Сводный расчет стоимости'!M127</f>
        <v>200.29420188168214</v>
      </c>
    </row>
    <row r="137" spans="1:3" ht="12.75" hidden="1" customHeight="1" x14ac:dyDescent="0.3">
      <c r="A137" s="691" t="str">
        <f>'Сводный расчет стоимости'!B128</f>
        <v>А21.30.014.000</v>
      </c>
      <c r="B137" s="990" t="str">
        <f>'Сводный расчет стоимости'!C128</f>
        <v>Поверхностная иглотерапия (1 сеанс)</v>
      </c>
      <c r="C137" s="718">
        <f>'Сводный расчет стоимости'!M128</f>
        <v>200.29420188168214</v>
      </c>
    </row>
    <row r="138" spans="1:3" ht="12.75" hidden="1" customHeight="1" x14ac:dyDescent="0.3">
      <c r="A138" s="691" t="str">
        <f>'Сводный расчет стоимости'!B129</f>
        <v>А21.30.012.000</v>
      </c>
      <c r="B138" s="990" t="str">
        <f>'Сводный расчет стоимости'!C129</f>
        <v>Аурикулодиагностика (1 сеанс)</v>
      </c>
      <c r="C138" s="718">
        <f>'Сводный расчет стоимости'!M129</f>
        <v>309.29935628192663</v>
      </c>
    </row>
    <row r="139" spans="1:3" ht="12.75" customHeight="1" x14ac:dyDescent="0.3">
      <c r="A139" s="691" t="str">
        <f>'Сводный расчет стоимости'!B130</f>
        <v>А21.30.013.000</v>
      </c>
      <c r="B139" s="990" t="str">
        <f>'Сводный расчет стоимости'!C130</f>
        <v>Аурикулотерапия (1 сеанс)</v>
      </c>
      <c r="C139" s="718">
        <f>'Сводный расчет стоимости'!M130</f>
        <v>260.68707012824206</v>
      </c>
    </row>
    <row r="140" spans="1:3" ht="12.75" customHeight="1" x14ac:dyDescent="0.3">
      <c r="A140" s="691" t="str">
        <f>'Сводный расчет стоимости'!B131</f>
        <v>А21.30.019.003</v>
      </c>
      <c r="B140" s="990" t="str">
        <f>'Сводный расчет стоимости'!C131</f>
        <v>Вакуум массаж (1 сеанс)</v>
      </c>
      <c r="C140" s="718">
        <f>'Сводный расчет стоимости'!M131</f>
        <v>251.38942356142394</v>
      </c>
    </row>
    <row r="141" spans="1:3" ht="12.75" customHeight="1" x14ac:dyDescent="0.3">
      <c r="A141" s="691" t="str">
        <f>'Сводный расчет стоимости'!B132</f>
        <v>А21.30.009.000</v>
      </c>
      <c r="B141" s="990" t="str">
        <f>'Сводный расчет стоимости'!C132</f>
        <v>Диагностика по методу Фоля с подбором медикаментов (1 сеанс)</v>
      </c>
      <c r="C141" s="718">
        <f>'Сводный расчет стоимости'!M132</f>
        <v>302.59732896240661</v>
      </c>
    </row>
    <row r="142" spans="1:3" ht="12.75" customHeight="1" x14ac:dyDescent="0.3">
      <c r="A142" s="691" t="str">
        <f>'Сводный расчет стоимости'!B133</f>
        <v>В01.054.007.001</v>
      </c>
      <c r="B142" s="990" t="str">
        <f>'Сводный расчет стоимости'!C133</f>
        <v>Классическая корпоральная иглотерапия (1 сеанс)</v>
      </c>
      <c r="C142" s="718">
        <f>'Сводный расчет стоимости'!M133</f>
        <v>330.17146304438648</v>
      </c>
    </row>
    <row r="143" spans="1:3" ht="12.75" hidden="1" customHeight="1" x14ac:dyDescent="0.3">
      <c r="A143" s="691" t="str">
        <f>'Сводный расчет стоимости'!B134</f>
        <v>А17.01.001.000</v>
      </c>
      <c r="B143" s="990" t="str">
        <f>'Сводный расчет стоимости'!C134</f>
        <v>Электропунтура и электропунктура в рефлексотерапии (1 сеанс)</v>
      </c>
      <c r="C143" s="718">
        <f>'Сводный расчет стоимости'!M134</f>
        <v>256.47506670926674</v>
      </c>
    </row>
    <row r="144" spans="1:3" ht="12.75" customHeight="1" x14ac:dyDescent="0.3">
      <c r="A144" s="691" t="str">
        <f>'Сводный расчет стоимости'!B135</f>
        <v>А17.01.001.001</v>
      </c>
      <c r="B144" s="990" t="str">
        <f>'Сводный расчет стоимости'!C135</f>
        <v>Элетрорефлексотерапия (1 сеанс)</v>
      </c>
      <c r="C144" s="718">
        <f>'Сводный расчет стоимости'!M135</f>
        <v>324.12862386220428</v>
      </c>
    </row>
    <row r="145" spans="1:3" ht="12.75" customHeight="1" x14ac:dyDescent="0.25">
      <c r="A145" s="1158" t="s">
        <v>623</v>
      </c>
      <c r="B145" s="1158"/>
      <c r="C145" s="718"/>
    </row>
    <row r="146" spans="1:3" ht="12.75" customHeight="1" x14ac:dyDescent="0.25">
      <c r="A146" s="1158" t="s">
        <v>1561</v>
      </c>
      <c r="B146" s="1158"/>
      <c r="C146" s="718"/>
    </row>
    <row r="147" spans="1:3" ht="15" customHeight="1" x14ac:dyDescent="0.3">
      <c r="A147" s="689" t="s">
        <v>1802</v>
      </c>
      <c r="B147" s="692" t="s">
        <v>1804</v>
      </c>
      <c r="C147" s="718">
        <f>'Сводный расчет стоимости'!M143</f>
        <v>301.34985217344246</v>
      </c>
    </row>
    <row r="148" spans="1:3" ht="13.5" customHeight="1" x14ac:dyDescent="0.3">
      <c r="A148" s="689" t="s">
        <v>1803</v>
      </c>
      <c r="B148" s="692" t="s">
        <v>1805</v>
      </c>
      <c r="C148" s="718">
        <f>'Сводный расчет стоимости'!M144</f>
        <v>209.114904557664</v>
      </c>
    </row>
    <row r="149" spans="1:3" ht="12.75" customHeight="1" x14ac:dyDescent="0.3">
      <c r="A149" s="689" t="s">
        <v>1813</v>
      </c>
      <c r="B149" s="692" t="s">
        <v>1812</v>
      </c>
      <c r="C149" s="718">
        <f>'Сводный расчет стоимости'!M145</f>
        <v>361.66081925219129</v>
      </c>
    </row>
    <row r="150" spans="1:3" ht="12.75" customHeight="1" x14ac:dyDescent="0.3">
      <c r="A150" s="689" t="s">
        <v>1807</v>
      </c>
      <c r="B150" s="692" t="s">
        <v>1565</v>
      </c>
      <c r="C150" s="718">
        <f>'Сводный расчет стоимости'!M146</f>
        <v>165.44505621129764</v>
      </c>
    </row>
    <row r="151" spans="1:3" ht="12.75" hidden="1" customHeight="1" x14ac:dyDescent="0.3">
      <c r="A151" s="689"/>
      <c r="B151" s="692"/>
      <c r="C151" s="718">
        <f>'Сводный расчет стоимости'!M147</f>
        <v>163.02676397997053</v>
      </c>
    </row>
    <row r="152" spans="1:3" ht="12.75" customHeight="1" x14ac:dyDescent="0.3">
      <c r="A152" s="689" t="s">
        <v>1814</v>
      </c>
      <c r="B152" s="692" t="s">
        <v>1815</v>
      </c>
      <c r="C152" s="718">
        <f>'Сводный расчет стоимости'!M148</f>
        <v>423.52101190512604</v>
      </c>
    </row>
    <row r="153" spans="1:3" ht="12.75" customHeight="1" x14ac:dyDescent="0.3">
      <c r="A153" s="689" t="s">
        <v>1808</v>
      </c>
      <c r="B153" s="692" t="s">
        <v>1809</v>
      </c>
      <c r="C153" s="718">
        <f>'Сводный расчет стоимости'!M149</f>
        <v>179.49145167123132</v>
      </c>
    </row>
    <row r="154" spans="1:3" ht="25.5" customHeight="1" x14ac:dyDescent="0.3">
      <c r="A154" s="689" t="s">
        <v>2067</v>
      </c>
      <c r="B154" s="692" t="s">
        <v>2068</v>
      </c>
      <c r="C154" s="718">
        <f>'Сводный расчет стоимости'!M150</f>
        <v>164.11713208984327</v>
      </c>
    </row>
    <row r="155" spans="1:3" ht="12.75" hidden="1" customHeight="1" x14ac:dyDescent="0.3">
      <c r="A155" s="689"/>
      <c r="B155" s="692"/>
      <c r="C155" s="718">
        <f>'Сводный расчет стоимости'!M151</f>
        <v>226.07457034260824</v>
      </c>
    </row>
    <row r="156" spans="1:3" ht="12.75" customHeight="1" x14ac:dyDescent="0.3">
      <c r="A156" s="689" t="s">
        <v>1843</v>
      </c>
      <c r="B156" s="698" t="s">
        <v>1842</v>
      </c>
      <c r="C156" s="718">
        <f>'Сводный расчет стоимости'!M152</f>
        <v>168.16166993367753</v>
      </c>
    </row>
    <row r="157" spans="1:3" ht="25.5" customHeight="1" x14ac:dyDescent="0.3">
      <c r="A157" s="689" t="s">
        <v>1811</v>
      </c>
      <c r="B157" s="692" t="s">
        <v>1008</v>
      </c>
      <c r="C157" s="718">
        <f>'Сводный расчет стоимости'!M153</f>
        <v>178.91838234810612</v>
      </c>
    </row>
    <row r="158" spans="1:3" ht="12.75" customHeight="1" x14ac:dyDescent="0.3">
      <c r="A158" s="689" t="s">
        <v>2069</v>
      </c>
      <c r="B158" s="692" t="s">
        <v>2070</v>
      </c>
      <c r="C158" s="718">
        <f>'Сводный расчет стоимости'!M154</f>
        <v>228.56069405580783</v>
      </c>
    </row>
    <row r="159" spans="1:3" ht="24" hidden="1" customHeight="1" x14ac:dyDescent="0.3">
      <c r="A159" s="689"/>
      <c r="B159" s="692"/>
      <c r="C159" s="718">
        <f>'Сводный расчет стоимости'!M155</f>
        <v>508.83011179516626</v>
      </c>
    </row>
    <row r="160" spans="1:3" ht="24" hidden="1" customHeight="1" x14ac:dyDescent="0.3">
      <c r="A160" s="689"/>
      <c r="B160" s="692"/>
      <c r="C160" s="718">
        <f>'Сводный расчет стоимости'!M156</f>
        <v>220.99040182448067</v>
      </c>
    </row>
    <row r="161" spans="1:20" ht="13.8" hidden="1" x14ac:dyDescent="0.3">
      <c r="A161" s="689"/>
      <c r="B161" s="692"/>
      <c r="C161" s="718">
        <f>'Сводный расчет стоимости'!M157</f>
        <v>206.11389661060261</v>
      </c>
    </row>
    <row r="162" spans="1:20" ht="13.8" hidden="1" x14ac:dyDescent="0.3">
      <c r="A162" s="689"/>
      <c r="B162" s="692"/>
      <c r="C162" s="718">
        <f>'Сводный расчет стоимости'!M158</f>
        <v>196.98503472528898</v>
      </c>
    </row>
    <row r="163" spans="1:20" ht="13.8" x14ac:dyDescent="0.3">
      <c r="A163" s="689" t="s">
        <v>2071</v>
      </c>
      <c r="B163" s="692" t="s">
        <v>2072</v>
      </c>
      <c r="C163" s="718">
        <f>'Сводный расчет стоимости'!M159</f>
        <v>167.19084172913895</v>
      </c>
    </row>
    <row r="164" spans="1:20" ht="13.8" hidden="1" x14ac:dyDescent="0.3">
      <c r="A164" s="689"/>
      <c r="B164" s="692"/>
      <c r="C164" s="718">
        <f>'Сводный расчет стоимости'!M160</f>
        <v>167.4037654978118</v>
      </c>
    </row>
    <row r="165" spans="1:20" ht="13.8" x14ac:dyDescent="0.3">
      <c r="A165" s="689" t="s">
        <v>1856</v>
      </c>
      <c r="B165" s="698" t="s">
        <v>1855</v>
      </c>
      <c r="C165" s="718">
        <f>'Сводный расчет стоимости'!M161</f>
        <v>230.96118317055465</v>
      </c>
    </row>
    <row r="166" spans="1:20" ht="13.8" x14ac:dyDescent="0.3">
      <c r="A166" s="689" t="s">
        <v>2057</v>
      </c>
      <c r="B166" s="692" t="s">
        <v>1519</v>
      </c>
      <c r="C166" s="718">
        <f>'Сводный расчет стоимости'!M162</f>
        <v>230.57990405859698</v>
      </c>
    </row>
    <row r="167" spans="1:20" ht="13.8" x14ac:dyDescent="0.3">
      <c r="A167" s="689" t="s">
        <v>2065</v>
      </c>
      <c r="B167" s="692" t="s">
        <v>2066</v>
      </c>
      <c r="C167" s="718">
        <f>'Сводный расчет стоимости'!M163</f>
        <v>163.9858129387145</v>
      </c>
    </row>
    <row r="168" spans="1:20" ht="13.8" x14ac:dyDescent="0.3">
      <c r="A168" s="689" t="s">
        <v>1818</v>
      </c>
      <c r="B168" s="692" t="s">
        <v>1574</v>
      </c>
      <c r="C168" s="718">
        <f>'Сводный расчет стоимости'!M164</f>
        <v>206.20650374054424</v>
      </c>
      <c r="D168" s="719"/>
      <c r="E168" s="719"/>
      <c r="F168" s="719"/>
      <c r="G168" s="719"/>
      <c r="H168" s="719"/>
      <c r="I168" s="719"/>
      <c r="J168" s="719"/>
      <c r="K168" s="719"/>
      <c r="L168" s="719"/>
      <c r="M168" s="719"/>
      <c r="N168" s="719"/>
      <c r="O168" s="719"/>
      <c r="P168" s="719"/>
      <c r="Q168" s="719"/>
      <c r="R168" s="719"/>
      <c r="S168" s="719"/>
      <c r="T168" s="719"/>
    </row>
    <row r="169" spans="1:20" x14ac:dyDescent="0.25">
      <c r="A169" s="720"/>
      <c r="B169" s="721" t="s">
        <v>1576</v>
      </c>
      <c r="C169" s="722"/>
      <c r="D169" s="721"/>
      <c r="E169" s="721"/>
      <c r="F169" s="721"/>
      <c r="G169" s="721"/>
      <c r="H169" s="721"/>
      <c r="I169" s="721"/>
      <c r="J169" s="721"/>
      <c r="K169" s="721"/>
      <c r="L169" s="721"/>
      <c r="M169" s="721"/>
      <c r="N169" s="719"/>
      <c r="O169" s="719"/>
      <c r="P169" s="719"/>
      <c r="Q169" s="719"/>
      <c r="R169" s="719"/>
      <c r="S169" s="719"/>
      <c r="T169" s="719"/>
    </row>
    <row r="170" spans="1:20" ht="13.8" x14ac:dyDescent="0.3">
      <c r="A170" s="689" t="s">
        <v>1863</v>
      </c>
      <c r="B170" s="688" t="s">
        <v>1864</v>
      </c>
      <c r="C170" s="718">
        <f>'Сводный расчет стоимости'!M166</f>
        <v>651.56583662090941</v>
      </c>
    </row>
    <row r="171" spans="1:20" ht="13.8" x14ac:dyDescent="0.3">
      <c r="A171" s="689" t="s">
        <v>1862</v>
      </c>
      <c r="B171" s="688" t="s">
        <v>1551</v>
      </c>
      <c r="C171" s="718">
        <f>'Сводный расчет стоимости'!M167</f>
        <v>441.45459230079462</v>
      </c>
    </row>
    <row r="172" spans="1:20" ht="13.8" x14ac:dyDescent="0.3">
      <c r="A172" s="689" t="s">
        <v>1858</v>
      </c>
      <c r="B172" s="692" t="s">
        <v>1857</v>
      </c>
      <c r="C172" s="718">
        <f>'Сводный расчет стоимости'!M168</f>
        <v>159.13715803312135</v>
      </c>
    </row>
    <row r="173" spans="1:20" ht="13.8" x14ac:dyDescent="0.3">
      <c r="A173" s="689" t="s">
        <v>1865</v>
      </c>
      <c r="B173" s="692" t="s">
        <v>1705</v>
      </c>
      <c r="C173" s="718">
        <f>'Сводный расчет стоимости'!M169</f>
        <v>440.55382039879464</v>
      </c>
    </row>
    <row r="174" spans="1:20" ht="13.5" customHeight="1" x14ac:dyDescent="0.3">
      <c r="A174" s="689" t="s">
        <v>1860</v>
      </c>
      <c r="B174" s="692" t="s">
        <v>1859</v>
      </c>
      <c r="C174" s="718">
        <f>'Сводный расчет стоимости'!M170</f>
        <v>540.95818675033547</v>
      </c>
    </row>
    <row r="175" spans="1:20" ht="15.75" hidden="1" customHeight="1" x14ac:dyDescent="0.3">
      <c r="A175" s="689" t="s">
        <v>1098</v>
      </c>
      <c r="B175" s="692" t="s">
        <v>131</v>
      </c>
      <c r="C175" s="718">
        <f>'Сводный расчет стоимости'!M171</f>
        <v>255.37531268510094</v>
      </c>
    </row>
    <row r="176" spans="1:20" ht="24" customHeight="1" x14ac:dyDescent="0.3">
      <c r="A176" s="689" t="s">
        <v>1819</v>
      </c>
      <c r="B176" s="692" t="s">
        <v>140</v>
      </c>
      <c r="C176" s="718">
        <f>'Сводный расчет стоимости'!M172</f>
        <v>912.49336176230224</v>
      </c>
    </row>
    <row r="177" spans="1:3" ht="13.8" x14ac:dyDescent="0.3">
      <c r="A177" s="689" t="s">
        <v>2059</v>
      </c>
      <c r="B177" s="692" t="s">
        <v>2060</v>
      </c>
      <c r="C177" s="718">
        <f>'Сводный расчет стоимости'!M173</f>
        <v>394.19818898433419</v>
      </c>
    </row>
    <row r="178" spans="1:3" ht="13.8" x14ac:dyDescent="0.3">
      <c r="A178" s="689" t="s">
        <v>1888</v>
      </c>
      <c r="B178" s="692" t="s">
        <v>1887</v>
      </c>
      <c r="C178" s="718">
        <f>'Сводный расчет стоимости'!M174</f>
        <v>290.30823026294854</v>
      </c>
    </row>
    <row r="179" spans="1:3" ht="27.6" hidden="1" x14ac:dyDescent="0.3">
      <c r="A179" s="689" t="s">
        <v>1102</v>
      </c>
      <c r="B179" s="692" t="s">
        <v>881</v>
      </c>
      <c r="C179" s="718">
        <f>'Сводный расчет стоимости'!M175</f>
        <v>2007.5048465820037</v>
      </c>
    </row>
    <row r="180" spans="1:3" ht="27.6" hidden="1" x14ac:dyDescent="0.3">
      <c r="A180" s="689" t="s">
        <v>1103</v>
      </c>
      <c r="B180" s="692" t="s">
        <v>884</v>
      </c>
      <c r="C180" s="718">
        <f>'Сводный расчет стоимости'!M176</f>
        <v>2316.2895840716183</v>
      </c>
    </row>
    <row r="181" spans="1:3" ht="27.6" hidden="1" x14ac:dyDescent="0.3">
      <c r="A181" s="689" t="s">
        <v>1104</v>
      </c>
      <c r="B181" s="692" t="s">
        <v>882</v>
      </c>
      <c r="C181" s="718">
        <f>'Сводный расчет стоимости'!M177</f>
        <v>2774.2481143179507</v>
      </c>
    </row>
    <row r="182" spans="1:3" ht="27.6" hidden="1" x14ac:dyDescent="0.3">
      <c r="A182" s="689" t="s">
        <v>1105</v>
      </c>
      <c r="B182" s="692" t="s">
        <v>885</v>
      </c>
      <c r="C182" s="718">
        <f>'Сводный расчет стоимости'!M178</f>
        <v>3109.4130464057798</v>
      </c>
    </row>
    <row r="183" spans="1:3" ht="27.6" hidden="1" x14ac:dyDescent="0.3">
      <c r="A183" s="689" t="s">
        <v>1106</v>
      </c>
      <c r="B183" s="692" t="s">
        <v>883</v>
      </c>
      <c r="C183" s="718">
        <f>'Сводный расчет стоимости'!M179</f>
        <v>3521.6414687346487</v>
      </c>
    </row>
    <row r="184" spans="1:3" ht="27.6" hidden="1" x14ac:dyDescent="0.3">
      <c r="A184" s="689" t="s">
        <v>1107</v>
      </c>
      <c r="B184" s="692" t="s">
        <v>886</v>
      </c>
      <c r="C184" s="718">
        <f>'Сводный расчет стоимости'!M180</f>
        <v>3902.4429888395757</v>
      </c>
    </row>
    <row r="185" spans="1:3" ht="12" customHeight="1" x14ac:dyDescent="0.3">
      <c r="A185" s="689" t="s">
        <v>1820</v>
      </c>
      <c r="B185" s="692" t="s">
        <v>1591</v>
      </c>
      <c r="C185" s="718">
        <f>'Сводный расчет стоимости'!M181</f>
        <v>153.88803771065594</v>
      </c>
    </row>
    <row r="186" spans="1:3" ht="12" customHeight="1" x14ac:dyDescent="0.3">
      <c r="A186" s="689" t="s">
        <v>2061</v>
      </c>
      <c r="B186" s="688" t="s">
        <v>2062</v>
      </c>
      <c r="C186" s="718">
        <f>'Сводный расчет стоимости'!M182</f>
        <v>252.18751453171407</v>
      </c>
    </row>
    <row r="187" spans="1:3" ht="29.25" hidden="1" customHeight="1" x14ac:dyDescent="0.3">
      <c r="A187" s="689" t="s">
        <v>1110</v>
      </c>
      <c r="B187" s="692" t="s">
        <v>1135</v>
      </c>
      <c r="C187" s="718">
        <f>'Сводный расчет стоимости'!M183</f>
        <v>1377.2365308913063</v>
      </c>
    </row>
    <row r="188" spans="1:3" ht="38.25" hidden="1" customHeight="1" x14ac:dyDescent="0.3">
      <c r="A188" s="689" t="s">
        <v>1111</v>
      </c>
      <c r="B188" s="692" t="s">
        <v>1136</v>
      </c>
      <c r="C188" s="718">
        <f>'Сводный расчет стоимости'!M184</f>
        <v>1187.969453122226</v>
      </c>
    </row>
    <row r="189" spans="1:3" ht="29.25" hidden="1" customHeight="1" x14ac:dyDescent="0.3">
      <c r="A189" s="689" t="s">
        <v>1112</v>
      </c>
      <c r="B189" s="692" t="s">
        <v>1137</v>
      </c>
      <c r="C189" s="718">
        <f>'Сводный расчет стоимости'!M185</f>
        <v>1282.6029920067663</v>
      </c>
    </row>
    <row r="190" spans="1:3" ht="26.25" hidden="1" customHeight="1" x14ac:dyDescent="0.3">
      <c r="A190" s="689" t="s">
        <v>1113</v>
      </c>
      <c r="B190" s="692" t="s">
        <v>1138</v>
      </c>
      <c r="C190" s="718">
        <f>'Сводный расчет стоимости'!M186</f>
        <v>859.70828364935164</v>
      </c>
    </row>
    <row r="191" spans="1:3" ht="13.8" x14ac:dyDescent="0.3">
      <c r="A191" s="689" t="s">
        <v>2058</v>
      </c>
      <c r="B191" s="692" t="s">
        <v>550</v>
      </c>
      <c r="C191" s="718">
        <f>'Сводный расчет стоимости'!M187</f>
        <v>157.18717431373756</v>
      </c>
    </row>
    <row r="192" spans="1:3" ht="27.6" hidden="1" x14ac:dyDescent="0.3">
      <c r="A192" s="689" t="s">
        <v>1115</v>
      </c>
      <c r="B192" s="692" t="s">
        <v>101</v>
      </c>
      <c r="C192" s="718">
        <f>'Сводный расчет стоимости'!M188</f>
        <v>1614.6127183523095</v>
      </c>
    </row>
    <row r="193" spans="1:3" ht="27.6" hidden="1" x14ac:dyDescent="0.3">
      <c r="A193" s="689" t="s">
        <v>1116</v>
      </c>
      <c r="B193" s="692" t="s">
        <v>1139</v>
      </c>
      <c r="C193" s="718">
        <f>'Сводный расчет стоимости'!M189</f>
        <v>1876.3006374285512</v>
      </c>
    </row>
    <row r="194" spans="1:3" ht="27.6" hidden="1" x14ac:dyDescent="0.3">
      <c r="A194" s="689" t="s">
        <v>1117</v>
      </c>
      <c r="B194" s="692" t="s">
        <v>102</v>
      </c>
      <c r="C194" s="718">
        <f>'Сводный расчет стоимости'!M190</f>
        <v>2376.3640454605402</v>
      </c>
    </row>
    <row r="195" spans="1:3" ht="27.6" hidden="1" x14ac:dyDescent="0.3">
      <c r="A195" s="689" t="s">
        <v>1118</v>
      </c>
      <c r="B195" s="692" t="s">
        <v>1140</v>
      </c>
      <c r="C195" s="718">
        <f>'Сводный расчет стоимости'!M191</f>
        <v>2675.4304364268464</v>
      </c>
    </row>
    <row r="196" spans="1:3" ht="27.6" hidden="1" x14ac:dyDescent="0.3">
      <c r="A196" s="689" t="s">
        <v>1119</v>
      </c>
      <c r="B196" s="692" t="s">
        <v>103</v>
      </c>
      <c r="C196" s="718">
        <f>'Сводный расчет стоимости'!M192</f>
        <v>3143.1073131964872</v>
      </c>
    </row>
    <row r="197" spans="1:3" ht="27.6" hidden="1" x14ac:dyDescent="0.3">
      <c r="A197" s="689" t="s">
        <v>151</v>
      </c>
      <c r="B197" s="692" t="s">
        <v>1141</v>
      </c>
      <c r="C197" s="718">
        <f>'Сводный расчет стоимости'!M193</f>
        <v>3453.5294914641554</v>
      </c>
    </row>
    <row r="198" spans="1:3" ht="30.75" customHeight="1" x14ac:dyDescent="0.3">
      <c r="A198" s="689" t="s">
        <v>2063</v>
      </c>
      <c r="B198" s="692" t="s">
        <v>2064</v>
      </c>
      <c r="C198" s="718">
        <f>'Сводный расчет стоимости'!M194</f>
        <v>152.52126727770218</v>
      </c>
    </row>
    <row r="199" spans="1:3" ht="12" hidden="1" customHeight="1" x14ac:dyDescent="0.3">
      <c r="A199" s="689"/>
      <c r="B199" s="692"/>
      <c r="C199" s="718">
        <f>'Сводный расчет стоимости'!M195</f>
        <v>144.07296727770219</v>
      </c>
    </row>
    <row r="200" spans="1:3" ht="12" hidden="1" customHeight="1" x14ac:dyDescent="0.3">
      <c r="A200" s="689"/>
      <c r="B200" s="692"/>
      <c r="C200" s="718">
        <f>'Сводный расчет стоимости'!M196</f>
        <v>144.07296727770219</v>
      </c>
    </row>
    <row r="201" spans="1:3" ht="12" hidden="1" customHeight="1" x14ac:dyDescent="0.3">
      <c r="A201" s="689"/>
      <c r="B201" s="692"/>
      <c r="C201" s="718">
        <f>'Сводный расчет стоимости'!M197</f>
        <v>144.07296727770219</v>
      </c>
    </row>
    <row r="202" spans="1:3" ht="13.8" x14ac:dyDescent="0.3">
      <c r="A202" s="689" t="s">
        <v>1867</v>
      </c>
      <c r="B202" s="692" t="s">
        <v>1866</v>
      </c>
      <c r="C202" s="718">
        <f>'Сводный расчет стоимости'!M198</f>
        <v>128.69151093583258</v>
      </c>
    </row>
    <row r="203" spans="1:3" ht="24" customHeight="1" x14ac:dyDescent="0.3">
      <c r="A203" s="689" t="s">
        <v>1824</v>
      </c>
      <c r="B203" s="692" t="s">
        <v>1834</v>
      </c>
      <c r="C203" s="718">
        <f>'Сводный расчет стоимости'!M199</f>
        <v>472.03647903589109</v>
      </c>
    </row>
    <row r="204" spans="1:3" ht="27.75" customHeight="1" x14ac:dyDescent="0.3">
      <c r="A204" s="689" t="s">
        <v>1825</v>
      </c>
      <c r="B204" s="692" t="s">
        <v>1833</v>
      </c>
      <c r="C204" s="718">
        <f>'Сводный расчет стоимости'!M200</f>
        <v>571.40169486465845</v>
      </c>
    </row>
    <row r="205" spans="1:3" ht="29.25" customHeight="1" x14ac:dyDescent="0.3">
      <c r="A205" s="689" t="s">
        <v>1826</v>
      </c>
      <c r="B205" s="692" t="s">
        <v>1835</v>
      </c>
      <c r="C205" s="718">
        <f>'Сводный расчет стоимости'!M201</f>
        <v>748.05096744913351</v>
      </c>
    </row>
    <row r="206" spans="1:3" ht="13.8" x14ac:dyDescent="0.3">
      <c r="A206" s="689" t="s">
        <v>1827</v>
      </c>
      <c r="B206" s="692" t="s">
        <v>1830</v>
      </c>
      <c r="C206" s="718">
        <f>'Сводный расчет стоимости'!M202</f>
        <v>265.70419366163452</v>
      </c>
    </row>
    <row r="207" spans="1:3" ht="13.8" x14ac:dyDescent="0.3">
      <c r="A207" s="689" t="s">
        <v>1828</v>
      </c>
      <c r="B207" s="692" t="s">
        <v>1831</v>
      </c>
      <c r="C207" s="718">
        <f>'Сводный расчет стоимости'!M203</f>
        <v>375.65142100282912</v>
      </c>
    </row>
    <row r="208" spans="1:3" ht="13.8" x14ac:dyDescent="0.3">
      <c r="A208" s="689" t="s">
        <v>1829</v>
      </c>
      <c r="B208" s="692" t="s">
        <v>1832</v>
      </c>
      <c r="C208" s="718">
        <f>'Сводный расчет стоимости'!M204</f>
        <v>478.6632112588934</v>
      </c>
    </row>
    <row r="209" spans="1:3" ht="27.6" x14ac:dyDescent="0.3">
      <c r="A209" s="689" t="s">
        <v>1837</v>
      </c>
      <c r="B209" s="692" t="s">
        <v>1836</v>
      </c>
      <c r="C209" s="718">
        <f>'Сводный расчет стоимости'!M205</f>
        <v>586.52856945390431</v>
      </c>
    </row>
    <row r="210" spans="1:3" ht="27.6" x14ac:dyDescent="0.3">
      <c r="A210" s="689" t="s">
        <v>1839</v>
      </c>
      <c r="B210" s="692" t="s">
        <v>1838</v>
      </c>
      <c r="C210" s="718">
        <f>'Сводный расчет стоимости'!M206</f>
        <v>687.73388187209309</v>
      </c>
    </row>
    <row r="211" spans="1:3" ht="27.6" x14ac:dyDescent="0.3">
      <c r="A211" s="689" t="s">
        <v>1840</v>
      </c>
      <c r="B211" s="692" t="s">
        <v>1841</v>
      </c>
      <c r="C211" s="718">
        <f>'Сводный расчет стоимости'!M207</f>
        <v>890.144506708471</v>
      </c>
    </row>
    <row r="212" spans="1:3" ht="13.8" x14ac:dyDescent="0.3">
      <c r="A212" s="689" t="s">
        <v>1861</v>
      </c>
      <c r="B212" s="692" t="s">
        <v>1556</v>
      </c>
      <c r="C212" s="718">
        <f>'Сводный расчет стоимости'!M208</f>
        <v>158.17041324182151</v>
      </c>
    </row>
    <row r="213" spans="1:3" ht="13.8" x14ac:dyDescent="0.3">
      <c r="A213" s="689" t="s">
        <v>1823</v>
      </c>
      <c r="B213" s="692" t="s">
        <v>1822</v>
      </c>
      <c r="C213" s="718">
        <f>'Сводный расчет стоимости'!M209</f>
        <v>166.96716978111129</v>
      </c>
    </row>
    <row r="214" spans="1:3" ht="13.8" x14ac:dyDescent="0.3">
      <c r="A214" s="689" t="s">
        <v>1871</v>
      </c>
      <c r="B214" s="688" t="s">
        <v>1870</v>
      </c>
      <c r="C214" s="718">
        <f>'Сводный расчет стоимости'!M210</f>
        <v>248.47016461889226</v>
      </c>
    </row>
    <row r="215" spans="1:3" ht="13.8" x14ac:dyDescent="0.3">
      <c r="A215" s="689" t="s">
        <v>1872</v>
      </c>
      <c r="B215" s="688" t="s">
        <v>1548</v>
      </c>
      <c r="C215" s="718">
        <f>'Сводный расчет стоимости'!M211</f>
        <v>290.95229249571616</v>
      </c>
    </row>
    <row r="216" spans="1:3" ht="27.6" x14ac:dyDescent="0.3">
      <c r="A216" s="689" t="s">
        <v>1847</v>
      </c>
      <c r="B216" s="692" t="s">
        <v>1845</v>
      </c>
      <c r="C216" s="718">
        <f>'Сводный расчет стоимости'!M212</f>
        <v>164.5121219518991</v>
      </c>
    </row>
    <row r="217" spans="1:3" ht="27.6" x14ac:dyDescent="0.3">
      <c r="A217" s="689" t="s">
        <v>1844</v>
      </c>
      <c r="B217" s="692" t="s">
        <v>1846</v>
      </c>
      <c r="C217" s="718">
        <f>'Сводный расчет стоимости'!M213</f>
        <v>466.21054064570353</v>
      </c>
    </row>
    <row r="218" spans="1:3" ht="13.8" x14ac:dyDescent="0.3">
      <c r="A218" s="689" t="s">
        <v>1875</v>
      </c>
      <c r="B218" s="692" t="s">
        <v>1874</v>
      </c>
      <c r="C218" s="718">
        <f>'Сводный расчет стоимости'!M214</f>
        <v>351.22080653701033</v>
      </c>
    </row>
    <row r="219" spans="1:3" ht="13.8" hidden="1" x14ac:dyDescent="0.3">
      <c r="A219" s="689"/>
      <c r="B219" s="692"/>
      <c r="C219" s="718">
        <f>'Сводный расчет стоимости'!M215</f>
        <v>267.0855047144031</v>
      </c>
    </row>
    <row r="220" spans="1:3" ht="27.6" x14ac:dyDescent="0.3">
      <c r="A220" s="689" t="s">
        <v>1849</v>
      </c>
      <c r="B220" s="692" t="s">
        <v>1848</v>
      </c>
      <c r="C220" s="718">
        <f>'Сводный расчет стоимости'!M216</f>
        <v>431.53000125169802</v>
      </c>
    </row>
    <row r="221" spans="1:3" ht="13.8" x14ac:dyDescent="0.3">
      <c r="A221" s="689" t="s">
        <v>1873</v>
      </c>
      <c r="B221" s="692" t="s">
        <v>1588</v>
      </c>
      <c r="C221" s="718">
        <f>'Сводный расчет стоимости'!M217</f>
        <v>154.71668142109019</v>
      </c>
    </row>
    <row r="222" spans="1:3" ht="27.6" x14ac:dyDescent="0.3">
      <c r="A222" s="689" t="s">
        <v>1851</v>
      </c>
      <c r="B222" s="692" t="s">
        <v>1850</v>
      </c>
      <c r="C222" s="718">
        <f>'Сводный расчет стоимости'!M218</f>
        <v>159.39656705141005</v>
      </c>
    </row>
    <row r="223" spans="1:3" ht="12" customHeight="1" x14ac:dyDescent="0.3">
      <c r="A223" s="689" t="s">
        <v>1877</v>
      </c>
      <c r="B223" s="688" t="s">
        <v>1876</v>
      </c>
      <c r="C223" s="718">
        <f>'Сводный расчет стоимости'!M219</f>
        <v>621.24422994690235</v>
      </c>
    </row>
    <row r="224" spans="1:3" ht="12" hidden="1" customHeight="1" x14ac:dyDescent="0.3">
      <c r="A224" s="689"/>
      <c r="B224" s="688"/>
      <c r="C224" s="718">
        <f>'Сводный расчет стоимости'!M220</f>
        <v>517.17889228126808</v>
      </c>
    </row>
    <row r="225" spans="1:15" ht="26.25" customHeight="1" x14ac:dyDescent="0.3">
      <c r="A225" s="689" t="s">
        <v>1879</v>
      </c>
      <c r="B225" s="688" t="s">
        <v>1878</v>
      </c>
      <c r="C225" s="718">
        <f>'Сводный расчет стоимости'!M221</f>
        <v>817.43559744148638</v>
      </c>
    </row>
    <row r="226" spans="1:15" ht="12" customHeight="1" x14ac:dyDescent="0.3">
      <c r="A226" s="689" t="s">
        <v>1883</v>
      </c>
      <c r="B226" s="688" t="s">
        <v>1882</v>
      </c>
      <c r="C226" s="718">
        <f>'Сводный расчет стоимости'!M222</f>
        <v>384.98388542823199</v>
      </c>
    </row>
    <row r="227" spans="1:15" ht="12" customHeight="1" x14ac:dyDescent="0.3">
      <c r="A227" s="689" t="s">
        <v>1886</v>
      </c>
      <c r="B227" s="692" t="s">
        <v>1557</v>
      </c>
      <c r="C227" s="718">
        <f>'Сводный расчет стоимости'!M223</f>
        <v>172.08672042628248</v>
      </c>
    </row>
    <row r="228" spans="1:15" ht="12" customHeight="1" x14ac:dyDescent="0.3">
      <c r="A228" s="689" t="s">
        <v>1852</v>
      </c>
      <c r="B228" s="692" t="s">
        <v>144</v>
      </c>
      <c r="C228" s="718">
        <f>'Сводный расчет стоимости'!M224</f>
        <v>107.23375087708239</v>
      </c>
    </row>
    <row r="229" spans="1:15" ht="12" customHeight="1" x14ac:dyDescent="0.3">
      <c r="A229" s="689" t="s">
        <v>1880</v>
      </c>
      <c r="B229" s="688" t="s">
        <v>620</v>
      </c>
      <c r="C229" s="718">
        <f>'Сводный расчет стоимости'!M225</f>
        <v>166.68779661364692</v>
      </c>
    </row>
    <row r="230" spans="1:15" ht="26.25" customHeight="1" x14ac:dyDescent="0.3">
      <c r="A230" s="689" t="s">
        <v>1854</v>
      </c>
      <c r="B230" s="688" t="s">
        <v>1853</v>
      </c>
      <c r="C230" s="718">
        <f>'Сводный расчет стоимости'!M226</f>
        <v>201.51792757399593</v>
      </c>
    </row>
    <row r="231" spans="1:15" ht="12" customHeight="1" x14ac:dyDescent="0.3">
      <c r="A231" s="689" t="s">
        <v>1881</v>
      </c>
      <c r="B231" s="688" t="s">
        <v>1885</v>
      </c>
      <c r="C231" s="718">
        <f>'Сводный расчет стоимости'!M227</f>
        <v>287.39850251034824</v>
      </c>
    </row>
    <row r="232" spans="1:15" ht="12" customHeight="1" x14ac:dyDescent="0.3">
      <c r="A232" s="689" t="s">
        <v>1869</v>
      </c>
      <c r="B232" s="688" t="s">
        <v>1868</v>
      </c>
      <c r="C232" s="718">
        <f>'Сводный расчет стоимости'!M228</f>
        <v>1044.7605601537234</v>
      </c>
    </row>
    <row r="233" spans="1:15" x14ac:dyDescent="0.25">
      <c r="A233" s="1154" t="s">
        <v>242</v>
      </c>
      <c r="B233" s="1154"/>
      <c r="C233" s="721"/>
    </row>
    <row r="234" spans="1:15" ht="13.8" x14ac:dyDescent="0.25">
      <c r="A234" s="950" t="s">
        <v>1962</v>
      </c>
      <c r="B234" s="954" t="s">
        <v>1960</v>
      </c>
      <c r="C234" s="984">
        <f>'Сводный расчет стоимости'!M230</f>
        <v>241.73731863498975</v>
      </c>
    </row>
    <row r="235" spans="1:15" ht="13.8" x14ac:dyDescent="0.3">
      <c r="A235" s="950" t="s">
        <v>1963</v>
      </c>
      <c r="B235" s="954" t="s">
        <v>1961</v>
      </c>
      <c r="C235" s="718">
        <f>'Сводный расчет стоимости'!M231</f>
        <v>172.65592055641622</v>
      </c>
      <c r="E235" s="719"/>
      <c r="F235" s="1151"/>
      <c r="G235" s="1151"/>
      <c r="H235" s="1151"/>
      <c r="I235" s="1151"/>
      <c r="J235" s="1151"/>
      <c r="K235" s="1151"/>
      <c r="L235" s="1151"/>
      <c r="M235" s="1151"/>
      <c r="N235" s="1151"/>
      <c r="O235" s="1151"/>
    </row>
    <row r="236" spans="1:15" ht="13.8" x14ac:dyDescent="0.3">
      <c r="A236" s="703" t="s">
        <v>1965</v>
      </c>
      <c r="B236" s="695" t="s">
        <v>1964</v>
      </c>
      <c r="C236" s="718">
        <f>'Сводный расчет стоимости'!M232</f>
        <v>600.099131582533</v>
      </c>
      <c r="E236" s="719"/>
      <c r="F236" s="723"/>
      <c r="G236" s="723"/>
      <c r="H236" s="723"/>
      <c r="I236" s="723"/>
      <c r="J236" s="723"/>
      <c r="K236" s="723"/>
      <c r="L236" s="723"/>
      <c r="M236" s="719"/>
      <c r="N236" s="719"/>
      <c r="O236" s="719"/>
    </row>
    <row r="237" spans="1:15" ht="13.8" x14ac:dyDescent="0.3">
      <c r="A237" s="703" t="s">
        <v>1966</v>
      </c>
      <c r="B237" s="695" t="s">
        <v>356</v>
      </c>
      <c r="C237" s="718">
        <f>'Сводный расчет стоимости'!M233</f>
        <v>413.16907105204729</v>
      </c>
      <c r="E237" s="719"/>
      <c r="F237" s="723"/>
      <c r="G237" s="723"/>
      <c r="H237" s="723"/>
      <c r="I237" s="723"/>
      <c r="J237" s="723"/>
      <c r="K237" s="723"/>
      <c r="L237" s="723"/>
      <c r="M237" s="719"/>
      <c r="N237" s="719"/>
      <c r="O237" s="719"/>
    </row>
    <row r="238" spans="1:15" ht="13.8" hidden="1" x14ac:dyDescent="0.3">
      <c r="A238" s="703" t="s">
        <v>391</v>
      </c>
      <c r="B238" s="695" t="s">
        <v>633</v>
      </c>
      <c r="C238" s="718">
        <f>'Сводный расчет стоимости'!M234</f>
        <v>463.01414737640204</v>
      </c>
      <c r="E238" s="719"/>
      <c r="F238" s="723"/>
      <c r="G238" s="723"/>
      <c r="H238" s="723"/>
      <c r="I238" s="723"/>
      <c r="J238" s="723"/>
      <c r="K238" s="723"/>
      <c r="L238" s="723"/>
      <c r="M238" s="719"/>
      <c r="N238" s="719"/>
      <c r="O238" s="719"/>
    </row>
    <row r="239" spans="1:15" ht="13.8" x14ac:dyDescent="0.3">
      <c r="A239" s="703" t="s">
        <v>1967</v>
      </c>
      <c r="B239" s="695" t="s">
        <v>634</v>
      </c>
      <c r="C239" s="718">
        <f>'Сводный расчет стоимости'!M235</f>
        <v>444.60027266990733</v>
      </c>
      <c r="E239" s="719"/>
      <c r="F239" s="723"/>
      <c r="G239" s="723"/>
      <c r="H239" s="723"/>
      <c r="I239" s="723"/>
      <c r="J239" s="723"/>
      <c r="K239" s="723"/>
      <c r="L239" s="723"/>
      <c r="M239" s="719"/>
      <c r="N239" s="719"/>
      <c r="O239" s="719"/>
    </row>
    <row r="240" spans="1:15" ht="13.8" x14ac:dyDescent="0.3">
      <c r="A240" s="703" t="s">
        <v>394</v>
      </c>
      <c r="B240" s="695" t="s">
        <v>1034</v>
      </c>
      <c r="C240" s="718">
        <f>'Сводный расчет стоимости'!M236</f>
        <v>444.60027266990733</v>
      </c>
      <c r="E240" s="719"/>
      <c r="F240" s="723"/>
      <c r="G240" s="723"/>
      <c r="H240" s="723"/>
      <c r="I240" s="723"/>
      <c r="J240" s="723"/>
      <c r="K240" s="723"/>
      <c r="L240" s="723"/>
      <c r="M240" s="719"/>
      <c r="N240" s="719"/>
      <c r="O240" s="719"/>
    </row>
    <row r="241" spans="1:15" ht="13.8" x14ac:dyDescent="0.3">
      <c r="A241" s="703" t="s">
        <v>1968</v>
      </c>
      <c r="B241" s="695" t="s">
        <v>277</v>
      </c>
      <c r="C241" s="718">
        <f>'Сводный расчет стоимости'!M237</f>
        <v>600.099131582533</v>
      </c>
      <c r="E241" s="719"/>
      <c r="F241" s="723"/>
      <c r="G241" s="723"/>
      <c r="H241" s="723"/>
      <c r="I241" s="723"/>
      <c r="J241" s="723"/>
      <c r="K241" s="723"/>
      <c r="L241" s="723"/>
      <c r="M241" s="719"/>
      <c r="N241" s="719"/>
      <c r="O241" s="719"/>
    </row>
    <row r="242" spans="1:15" ht="13.8" x14ac:dyDescent="0.3">
      <c r="A242" s="703" t="s">
        <v>1969</v>
      </c>
      <c r="B242" s="695" t="s">
        <v>637</v>
      </c>
      <c r="C242" s="718">
        <f>'Сводный расчет стоимости'!M238</f>
        <v>413.16907105204729</v>
      </c>
      <c r="E242" s="719"/>
      <c r="F242" s="723"/>
      <c r="G242" s="723"/>
      <c r="H242" s="723"/>
      <c r="I242" s="723"/>
      <c r="J242" s="723"/>
      <c r="K242" s="723"/>
      <c r="L242" s="723"/>
      <c r="M242" s="719"/>
      <c r="N242" s="719"/>
      <c r="O242" s="719"/>
    </row>
    <row r="243" spans="1:15" ht="13.8" x14ac:dyDescent="0.3">
      <c r="A243" s="703" t="s">
        <v>1970</v>
      </c>
      <c r="B243" s="695" t="s">
        <v>638</v>
      </c>
      <c r="C243" s="718">
        <f>'Сводный расчет стоимости'!M239</f>
        <v>413.16907105204729</v>
      </c>
      <c r="E243" s="719"/>
      <c r="F243" s="723"/>
      <c r="G243" s="723"/>
      <c r="H243" s="723"/>
      <c r="I243" s="723"/>
      <c r="J243" s="723"/>
      <c r="K243" s="723"/>
      <c r="L243" s="723"/>
      <c r="M243" s="719"/>
      <c r="N243" s="719"/>
      <c r="O243" s="719"/>
    </row>
    <row r="244" spans="1:15" ht="13.8" x14ac:dyDescent="0.3">
      <c r="A244" s="703" t="s">
        <v>1971</v>
      </c>
      <c r="B244" s="695" t="s">
        <v>1610</v>
      </c>
      <c r="C244" s="718">
        <f>'Сводный расчет стоимости'!M240</f>
        <v>472.99407854431666</v>
      </c>
      <c r="E244" s="719"/>
      <c r="F244" s="723"/>
      <c r="G244" s="723"/>
      <c r="H244" s="723"/>
      <c r="I244" s="723"/>
      <c r="J244" s="723"/>
      <c r="K244" s="723"/>
      <c r="L244" s="723"/>
      <c r="M244" s="719"/>
      <c r="N244" s="719"/>
      <c r="O244" s="719"/>
    </row>
    <row r="245" spans="1:15" ht="13.8" x14ac:dyDescent="0.3">
      <c r="A245" s="703" t="s">
        <v>1972</v>
      </c>
      <c r="B245" s="695" t="s">
        <v>1142</v>
      </c>
      <c r="C245" s="718">
        <f>'Сводный расчет стоимости'!M241</f>
        <v>413.16907105204729</v>
      </c>
      <c r="E245" s="719"/>
      <c r="F245" s="723"/>
      <c r="G245" s="723"/>
      <c r="H245" s="723"/>
      <c r="I245" s="723"/>
      <c r="J245" s="723"/>
      <c r="K245" s="723"/>
      <c r="L245" s="723"/>
      <c r="M245" s="719"/>
      <c r="N245" s="719"/>
      <c r="O245" s="719"/>
    </row>
    <row r="246" spans="1:15" ht="13.8" x14ac:dyDescent="0.3">
      <c r="A246" s="703" t="s">
        <v>1973</v>
      </c>
      <c r="B246" s="695" t="s">
        <v>1620</v>
      </c>
      <c r="C246" s="718">
        <f>'Сводный расчет стоимости'!M242</f>
        <v>849.0630207604014</v>
      </c>
      <c r="E246" s="719"/>
      <c r="F246" s="723"/>
      <c r="G246" s="723"/>
      <c r="H246" s="723"/>
      <c r="I246" s="723"/>
      <c r="J246" s="723"/>
      <c r="K246" s="723"/>
      <c r="L246" s="723"/>
      <c r="M246" s="719"/>
      <c r="N246" s="719"/>
      <c r="O246" s="719"/>
    </row>
    <row r="247" spans="1:15" ht="13.8" x14ac:dyDescent="0.3">
      <c r="A247" s="703" t="s">
        <v>1974</v>
      </c>
      <c r="B247" s="695" t="s">
        <v>1143</v>
      </c>
      <c r="C247" s="718">
        <f>'Сводный расчет стоимости'!M243</f>
        <v>410.24029758258746</v>
      </c>
      <c r="E247" s="719"/>
      <c r="F247" s="723"/>
      <c r="G247" s="723"/>
      <c r="H247" s="723"/>
      <c r="I247" s="723"/>
      <c r="J247" s="723"/>
      <c r="K247" s="723"/>
      <c r="L247" s="723"/>
      <c r="M247" s="719"/>
      <c r="N247" s="719"/>
      <c r="O247" s="719"/>
    </row>
    <row r="248" spans="1:15" ht="13.8" x14ac:dyDescent="0.3">
      <c r="A248" s="703" t="s">
        <v>1976</v>
      </c>
      <c r="B248" s="695" t="s">
        <v>1975</v>
      </c>
      <c r="C248" s="718">
        <f>'Сводный расчет стоимости'!M244</f>
        <v>413.16907105204729</v>
      </c>
      <c r="E248" s="719"/>
      <c r="F248" s="723"/>
      <c r="G248" s="723"/>
      <c r="H248" s="723"/>
      <c r="I248" s="723"/>
      <c r="J248" s="723"/>
      <c r="K248" s="723"/>
      <c r="L248" s="723"/>
      <c r="M248" s="719"/>
      <c r="N248" s="719"/>
      <c r="O248" s="719"/>
    </row>
    <row r="249" spans="1:15" ht="13.8" x14ac:dyDescent="0.3">
      <c r="A249" s="703" t="s">
        <v>1977</v>
      </c>
      <c r="B249" s="695" t="s">
        <v>1626</v>
      </c>
      <c r="C249" s="718">
        <f>'Сводный расчет стоимости'!M245</f>
        <v>413.16907105204729</v>
      </c>
      <c r="E249" s="719"/>
      <c r="F249" s="723"/>
      <c r="G249" s="723"/>
      <c r="H249" s="723"/>
      <c r="I249" s="723"/>
      <c r="J249" s="723"/>
      <c r="K249" s="723"/>
      <c r="L249" s="723"/>
      <c r="M249" s="719"/>
      <c r="N249" s="719"/>
      <c r="O249" s="719"/>
    </row>
    <row r="250" spans="1:15" ht="13.8" x14ac:dyDescent="0.3">
      <c r="A250" s="703" t="s">
        <v>1978</v>
      </c>
      <c r="B250" s="695" t="s">
        <v>274</v>
      </c>
      <c r="C250" s="718">
        <f>'Сводный расчет стоимости'!M246</f>
        <v>600.099131582533</v>
      </c>
      <c r="E250" s="719"/>
      <c r="F250" s="723"/>
      <c r="G250" s="723"/>
      <c r="H250" s="723"/>
      <c r="I250" s="723"/>
      <c r="J250" s="723"/>
      <c r="K250" s="723"/>
      <c r="L250" s="723"/>
      <c r="M250" s="719"/>
      <c r="N250" s="719"/>
      <c r="O250" s="719"/>
    </row>
    <row r="251" spans="1:15" ht="13.8" x14ac:dyDescent="0.3">
      <c r="A251" s="703" t="s">
        <v>1979</v>
      </c>
      <c r="B251" s="695" t="s">
        <v>1630</v>
      </c>
      <c r="C251" s="718">
        <f>'Сводный расчет стоимости'!M247</f>
        <v>538.06530293515004</v>
      </c>
      <c r="E251" s="719"/>
      <c r="F251" s="723"/>
      <c r="G251" s="723"/>
      <c r="H251" s="723"/>
      <c r="I251" s="723"/>
      <c r="J251" s="723"/>
      <c r="K251" s="723"/>
      <c r="L251" s="723"/>
      <c r="M251" s="719"/>
      <c r="N251" s="719"/>
      <c r="O251" s="719"/>
    </row>
    <row r="252" spans="1:15" ht="13.8" x14ac:dyDescent="0.3">
      <c r="A252" s="703" t="s">
        <v>1980</v>
      </c>
      <c r="B252" s="695" t="s">
        <v>1632</v>
      </c>
      <c r="C252" s="718">
        <f>'Сводный расчет стоимости'!M248</f>
        <v>600.099131582533</v>
      </c>
      <c r="E252" s="719"/>
      <c r="F252" s="723"/>
      <c r="G252" s="723"/>
      <c r="H252" s="723"/>
      <c r="I252" s="723"/>
      <c r="J252" s="723"/>
      <c r="K252" s="723"/>
      <c r="L252" s="723"/>
      <c r="M252" s="719"/>
      <c r="N252" s="719"/>
      <c r="O252" s="719"/>
    </row>
    <row r="253" spans="1:15" ht="13.8" x14ac:dyDescent="0.3">
      <c r="A253" s="703" t="s">
        <v>1981</v>
      </c>
      <c r="B253" s="695" t="s">
        <v>1634</v>
      </c>
      <c r="C253" s="718">
        <f>'Сводный расчет стоимости'!M249</f>
        <v>413.16907105204729</v>
      </c>
      <c r="E253" s="719"/>
      <c r="F253" s="723"/>
      <c r="G253" s="723"/>
      <c r="H253" s="723"/>
      <c r="I253" s="723"/>
      <c r="J253" s="723"/>
      <c r="K253" s="723"/>
      <c r="L253" s="723"/>
      <c r="M253" s="719"/>
      <c r="N253" s="719"/>
      <c r="O253" s="719"/>
    </row>
    <row r="254" spans="1:15" ht="13.8" x14ac:dyDescent="0.3">
      <c r="A254" s="703" t="s">
        <v>1982</v>
      </c>
      <c r="B254" s="695" t="s">
        <v>1635</v>
      </c>
      <c r="C254" s="718">
        <f>'Сводный расчет стоимости'!M250</f>
        <v>600.099131582533</v>
      </c>
      <c r="E254" s="719"/>
      <c r="F254" s="723"/>
      <c r="G254" s="723"/>
      <c r="H254" s="723"/>
      <c r="I254" s="723"/>
      <c r="J254" s="723"/>
      <c r="K254" s="723"/>
      <c r="L254" s="723"/>
      <c r="M254" s="719"/>
      <c r="N254" s="719"/>
      <c r="O254" s="719"/>
    </row>
    <row r="255" spans="1:15" ht="13.8" x14ac:dyDescent="0.3">
      <c r="A255" s="703" t="s">
        <v>1983</v>
      </c>
      <c r="B255" s="695" t="s">
        <v>1644</v>
      </c>
      <c r="C255" s="718">
        <f>'Сводный расчет стоимости'!M251</f>
        <v>600.099131582533</v>
      </c>
      <c r="E255" s="719"/>
      <c r="F255" s="723"/>
      <c r="G255" s="723"/>
      <c r="H255" s="723"/>
      <c r="I255" s="723"/>
      <c r="J255" s="723"/>
      <c r="K255" s="723"/>
      <c r="L255" s="723"/>
      <c r="M255" s="719"/>
      <c r="N255" s="719"/>
      <c r="O255" s="719"/>
    </row>
    <row r="256" spans="1:15" ht="13.8" x14ac:dyDescent="0.3">
      <c r="A256" s="703" t="s">
        <v>1984</v>
      </c>
      <c r="B256" s="695" t="s">
        <v>1674</v>
      </c>
      <c r="C256" s="718">
        <f>'Сводный расчет стоимости'!M252</f>
        <v>413.16907105204729</v>
      </c>
      <c r="E256" s="719"/>
      <c r="F256" s="723"/>
      <c r="G256" s="723"/>
      <c r="H256" s="723"/>
      <c r="I256" s="723"/>
      <c r="J256" s="723"/>
      <c r="K256" s="723"/>
      <c r="L256" s="723"/>
      <c r="M256" s="719"/>
      <c r="N256" s="719"/>
      <c r="O256" s="719"/>
    </row>
    <row r="257" spans="1:15" ht="13.8" x14ac:dyDescent="0.3">
      <c r="A257" s="703" t="s">
        <v>1986</v>
      </c>
      <c r="B257" s="695" t="s">
        <v>1985</v>
      </c>
      <c r="C257" s="718">
        <f>'Сводный расчет стоимости'!M253</f>
        <v>413.16907105204729</v>
      </c>
      <c r="E257" s="719"/>
      <c r="F257" s="723"/>
      <c r="G257" s="723"/>
      <c r="H257" s="723"/>
      <c r="I257" s="723"/>
      <c r="J257" s="723"/>
      <c r="K257" s="723"/>
      <c r="L257" s="723"/>
      <c r="M257" s="719"/>
      <c r="N257" s="719"/>
      <c r="O257" s="719"/>
    </row>
    <row r="258" spans="1:15" ht="13.8" x14ac:dyDescent="0.3">
      <c r="A258" s="703" t="s">
        <v>1987</v>
      </c>
      <c r="B258" s="695" t="s">
        <v>1675</v>
      </c>
      <c r="C258" s="718">
        <f>'Сводный расчет стоимости'!M254</f>
        <v>413.16907105204729</v>
      </c>
      <c r="E258" s="719"/>
      <c r="F258" s="723"/>
      <c r="G258" s="723"/>
      <c r="H258" s="723"/>
      <c r="I258" s="723"/>
      <c r="J258" s="723"/>
      <c r="K258" s="723"/>
      <c r="L258" s="723"/>
      <c r="M258" s="719"/>
      <c r="N258" s="719"/>
      <c r="O258" s="719"/>
    </row>
    <row r="259" spans="1:15" ht="13.8" x14ac:dyDescent="0.3">
      <c r="A259" s="703" t="s">
        <v>1988</v>
      </c>
      <c r="B259" s="695" t="s">
        <v>1717</v>
      </c>
      <c r="C259" s="718">
        <f>'Сводный расчет стоимости'!M255</f>
        <v>568.66792996467291</v>
      </c>
      <c r="E259" s="719"/>
      <c r="F259" s="723"/>
      <c r="G259" s="723"/>
      <c r="H259" s="723"/>
      <c r="I259" s="723"/>
      <c r="J259" s="723"/>
      <c r="K259" s="723"/>
      <c r="L259" s="723"/>
      <c r="M259" s="719"/>
      <c r="N259" s="719"/>
      <c r="O259" s="719"/>
    </row>
    <row r="260" spans="1:15" ht="13.8" x14ac:dyDescent="0.3">
      <c r="A260" s="703" t="s">
        <v>1989</v>
      </c>
      <c r="B260" s="695" t="s">
        <v>1680</v>
      </c>
      <c r="C260" s="718">
        <f>'Сводный расчет стоимости'!M256</f>
        <v>413.16907105204729</v>
      </c>
      <c r="E260" s="719"/>
      <c r="F260" s="723"/>
      <c r="G260" s="723"/>
      <c r="H260" s="723"/>
      <c r="I260" s="723"/>
      <c r="J260" s="723"/>
      <c r="K260" s="723"/>
      <c r="L260" s="723"/>
      <c r="M260" s="719"/>
      <c r="N260" s="719"/>
      <c r="O260" s="719"/>
    </row>
    <row r="261" spans="1:15" ht="13.8" x14ac:dyDescent="0.3">
      <c r="A261" s="703" t="s">
        <v>1990</v>
      </c>
      <c r="B261" s="695" t="s">
        <v>1991</v>
      </c>
      <c r="C261" s="718">
        <f>'Сводный расчет стоимости'!M257</f>
        <v>413.16907105204729</v>
      </c>
      <c r="E261" s="719"/>
      <c r="F261" s="723"/>
      <c r="G261" s="723"/>
      <c r="H261" s="723"/>
      <c r="I261" s="723"/>
      <c r="J261" s="723"/>
      <c r="K261" s="723"/>
      <c r="L261" s="723"/>
      <c r="M261" s="719"/>
      <c r="N261" s="719"/>
      <c r="O261" s="719"/>
    </row>
    <row r="262" spans="1:15" ht="13.8" x14ac:dyDescent="0.3">
      <c r="A262" s="703" t="s">
        <v>1993</v>
      </c>
      <c r="B262" s="695" t="s">
        <v>1992</v>
      </c>
      <c r="C262" s="718">
        <f>'Сводный расчет стоимости'!M258</f>
        <v>381.32022042054206</v>
      </c>
      <c r="E262" s="719"/>
      <c r="F262" s="723"/>
      <c r="G262" s="723"/>
      <c r="H262" s="723"/>
      <c r="I262" s="723"/>
      <c r="J262" s="723"/>
      <c r="K262" s="723"/>
      <c r="L262" s="723"/>
      <c r="M262" s="719"/>
      <c r="N262" s="719"/>
      <c r="O262" s="719"/>
    </row>
    <row r="263" spans="1:15" x14ac:dyDescent="0.25">
      <c r="A263" s="1154" t="s">
        <v>280</v>
      </c>
      <c r="B263" s="1154"/>
      <c r="E263" s="719"/>
      <c r="F263" s="719"/>
      <c r="G263" s="719"/>
      <c r="H263" s="719"/>
      <c r="I263" s="719"/>
      <c r="J263" s="719"/>
      <c r="K263" s="719"/>
      <c r="L263" s="719"/>
      <c r="M263" s="719"/>
      <c r="N263" s="719"/>
      <c r="O263" s="719"/>
    </row>
    <row r="264" spans="1:15" ht="13.8" x14ac:dyDescent="0.3">
      <c r="A264" s="694" t="s">
        <v>2014</v>
      </c>
      <c r="B264" s="695" t="s">
        <v>2013</v>
      </c>
      <c r="C264" s="718">
        <f>'Сводный расчет стоимости'!M260</f>
        <v>120.09192011942234</v>
      </c>
      <c r="E264" s="719"/>
      <c r="F264" s="719"/>
      <c r="G264" s="719"/>
      <c r="H264" s="719"/>
      <c r="I264" s="719"/>
      <c r="J264" s="719"/>
      <c r="K264" s="719"/>
      <c r="L264" s="719"/>
      <c r="M264" s="719"/>
      <c r="N264" s="719"/>
      <c r="O264" s="719"/>
    </row>
    <row r="265" spans="1:15" ht="13.8" x14ac:dyDescent="0.3">
      <c r="A265" s="694" t="s">
        <v>2016</v>
      </c>
      <c r="B265" s="695" t="s">
        <v>2015</v>
      </c>
      <c r="C265" s="718">
        <f>'Сводный расчет стоимости'!M261</f>
        <v>172.24731342888671</v>
      </c>
      <c r="E265" s="719"/>
      <c r="F265" s="719"/>
      <c r="G265" s="719"/>
      <c r="H265" s="719"/>
      <c r="I265" s="719"/>
      <c r="J265" s="719"/>
      <c r="K265" s="719"/>
      <c r="L265" s="719"/>
      <c r="M265" s="719"/>
      <c r="N265" s="719"/>
      <c r="O265" s="719"/>
    </row>
    <row r="266" spans="1:15" ht="13.8" x14ac:dyDescent="0.3">
      <c r="A266" s="694" t="s">
        <v>2008</v>
      </c>
      <c r="B266" s="695" t="s">
        <v>1755</v>
      </c>
      <c r="C266" s="718">
        <f>'Сводный расчет стоимости'!M262</f>
        <v>99.100750854675709</v>
      </c>
    </row>
    <row r="267" spans="1:15" ht="27.6" x14ac:dyDescent="0.3">
      <c r="A267" s="694" t="s">
        <v>2020</v>
      </c>
      <c r="B267" s="695" t="s">
        <v>1756</v>
      </c>
      <c r="C267" s="718">
        <f>'Сводный расчет стоимости'!M263</f>
        <v>177.62545223686419</v>
      </c>
    </row>
    <row r="268" spans="1:15" ht="27.6" x14ac:dyDescent="0.3">
      <c r="A268" s="694" t="s">
        <v>2021</v>
      </c>
      <c r="B268" s="695" t="s">
        <v>1757</v>
      </c>
      <c r="C268" s="718">
        <f>'Сводный расчет стоимости'!M264</f>
        <v>177.62545223686419</v>
      </c>
    </row>
    <row r="269" spans="1:15" ht="27.6" x14ac:dyDescent="0.3">
      <c r="A269" s="694" t="s">
        <v>2022</v>
      </c>
      <c r="B269" s="695" t="s">
        <v>1758</v>
      </c>
      <c r="C269" s="718">
        <f>'Сводный расчет стоимости'!M265</f>
        <v>177.62545223686419</v>
      </c>
    </row>
    <row r="270" spans="1:15" ht="13.8" x14ac:dyDescent="0.3">
      <c r="A270" s="694" t="s">
        <v>2023</v>
      </c>
      <c r="B270" s="695" t="s">
        <v>1759</v>
      </c>
      <c r="C270" s="718">
        <f>'Сводный расчет стоимости'!M266</f>
        <v>177.62545223686419</v>
      </c>
    </row>
    <row r="271" spans="1:15" ht="13.8" x14ac:dyDescent="0.3">
      <c r="A271" s="694" t="s">
        <v>2024</v>
      </c>
      <c r="B271" s="695" t="s">
        <v>1760</v>
      </c>
      <c r="C271" s="718">
        <f>'Сводный расчет стоимости'!M267</f>
        <v>177.62545223686419</v>
      </c>
    </row>
    <row r="272" spans="1:15" ht="13.8" x14ac:dyDescent="0.3">
      <c r="A272" s="694" t="s">
        <v>2009</v>
      </c>
      <c r="B272" s="695" t="s">
        <v>1761</v>
      </c>
      <c r="C272" s="718">
        <f>'Сводный расчет стоимости'!M268</f>
        <v>152.09870734874943</v>
      </c>
    </row>
    <row r="273" spans="1:3" ht="13.8" x14ac:dyDescent="0.3">
      <c r="A273" s="694" t="s">
        <v>2205</v>
      </c>
      <c r="B273" s="695" t="s">
        <v>2204</v>
      </c>
      <c r="C273" s="718">
        <f>'Сводный расчет стоимости'!M269</f>
        <v>155.0843804270994</v>
      </c>
    </row>
    <row r="274" spans="1:3" ht="13.8" x14ac:dyDescent="0.3">
      <c r="A274" s="694" t="s">
        <v>2017</v>
      </c>
      <c r="B274" s="695" t="s">
        <v>1344</v>
      </c>
      <c r="C274" s="718">
        <f>'Сводный расчет стоимости'!M270</f>
        <v>234.73236582800271</v>
      </c>
    </row>
    <row r="275" spans="1:3" ht="13.8" x14ac:dyDescent="0.3">
      <c r="A275" s="950" t="s">
        <v>2010</v>
      </c>
      <c r="B275" s="695" t="s">
        <v>1762</v>
      </c>
      <c r="C275" s="718">
        <f>'Сводный расчет стоимости'!M271</f>
        <v>227.95896928819789</v>
      </c>
    </row>
    <row r="276" spans="1:3" ht="13.8" x14ac:dyDescent="0.3">
      <c r="A276" s="694" t="s">
        <v>2011</v>
      </c>
      <c r="B276" s="695" t="s">
        <v>1763</v>
      </c>
      <c r="C276" s="718">
        <f>'Сводный расчет стоимости'!M272</f>
        <v>137.16012325026963</v>
      </c>
    </row>
    <row r="277" spans="1:3" ht="12.75" customHeight="1" x14ac:dyDescent="0.3">
      <c r="A277" s="694" t="s">
        <v>2012</v>
      </c>
      <c r="B277" s="695" t="s">
        <v>1764</v>
      </c>
      <c r="C277" s="718">
        <f>'Сводный расчет стоимости'!M273</f>
        <v>184.41598055556793</v>
      </c>
    </row>
    <row r="278" spans="1:3" ht="13.8" x14ac:dyDescent="0.3">
      <c r="A278" s="694" t="s">
        <v>2018</v>
      </c>
      <c r="B278" s="695" t="s">
        <v>1362</v>
      </c>
      <c r="C278" s="718">
        <f>'Сводный расчет стоимости'!M274</f>
        <v>116.86333885214991</v>
      </c>
    </row>
    <row r="279" spans="1:3" ht="13.8" x14ac:dyDescent="0.3">
      <c r="A279" s="694" t="s">
        <v>2019</v>
      </c>
      <c r="B279" s="695" t="s">
        <v>1471</v>
      </c>
      <c r="C279" s="718">
        <f>'Сводный расчет стоимости'!M275</f>
        <v>182.42593850593207</v>
      </c>
    </row>
    <row r="280" spans="1:3" ht="13.8" x14ac:dyDescent="0.3">
      <c r="A280" s="689" t="s">
        <v>2077</v>
      </c>
      <c r="B280" s="692" t="s">
        <v>2191</v>
      </c>
      <c r="C280" s="718"/>
    </row>
    <row r="281" spans="1:3" ht="13.8" x14ac:dyDescent="0.3">
      <c r="A281" s="689" t="s">
        <v>2077</v>
      </c>
      <c r="B281" s="692" t="s">
        <v>2082</v>
      </c>
      <c r="C281" s="718">
        <f>'Сводный расчет стоимости'!M277</f>
        <v>209.77101157140055</v>
      </c>
    </row>
    <row r="282" spans="1:3" ht="13.8" x14ac:dyDescent="0.3">
      <c r="A282" s="689" t="s">
        <v>2077</v>
      </c>
      <c r="B282" s="692" t="s">
        <v>2083</v>
      </c>
      <c r="C282" s="718">
        <f>'Сводный расчет стоимости'!M278</f>
        <v>213.92489298865601</v>
      </c>
    </row>
    <row r="283" spans="1:3" ht="13.8" x14ac:dyDescent="0.3">
      <c r="A283" s="689" t="s">
        <v>2077</v>
      </c>
      <c r="B283" s="692" t="s">
        <v>2084</v>
      </c>
      <c r="C283" s="718">
        <f>'Сводный расчет стоимости'!M279</f>
        <v>233.96881457234335</v>
      </c>
    </row>
    <row r="284" spans="1:3" ht="13.8" x14ac:dyDescent="0.3">
      <c r="A284" s="689" t="s">
        <v>2077</v>
      </c>
      <c r="B284" s="692" t="s">
        <v>2085</v>
      </c>
      <c r="C284" s="718">
        <f>'Сводный расчет стоимости'!M280</f>
        <v>127.06789945934446</v>
      </c>
    </row>
    <row r="285" spans="1:3" ht="13.8" x14ac:dyDescent="0.3">
      <c r="A285" s="689" t="s">
        <v>2077</v>
      </c>
      <c r="B285" s="692" t="s">
        <v>2081</v>
      </c>
      <c r="C285" s="718">
        <f>'Сводный расчет стоимости'!M281</f>
        <v>307.46319371253009</v>
      </c>
    </row>
    <row r="286" spans="1:3" ht="13.8" x14ac:dyDescent="0.3">
      <c r="A286" s="691" t="s">
        <v>2216</v>
      </c>
      <c r="B286" s="692" t="s">
        <v>2215</v>
      </c>
      <c r="C286" s="718">
        <f>'Сводный расчет стоимости'!M282</f>
        <v>253.1269064106371</v>
      </c>
    </row>
    <row r="287" spans="1:3" x14ac:dyDescent="0.25">
      <c r="A287" s="1166" t="s">
        <v>1123</v>
      </c>
      <c r="B287" s="1166"/>
    </row>
    <row r="288" spans="1:3" ht="13.8" x14ac:dyDescent="0.3">
      <c r="A288" s="694" t="s">
        <v>2026</v>
      </c>
      <c r="B288" s="695" t="s">
        <v>2025</v>
      </c>
      <c r="C288" s="718">
        <f>'Сводный расчет стоимости'!M284</f>
        <v>289.03608828593781</v>
      </c>
    </row>
    <row r="289" spans="1:3" ht="13.8" x14ac:dyDescent="0.3">
      <c r="A289" s="694" t="s">
        <v>2027</v>
      </c>
      <c r="B289" s="695" t="s">
        <v>1765</v>
      </c>
      <c r="C289" s="718">
        <f>'Сводный расчет стоимости'!M285</f>
        <v>199.50931490539799</v>
      </c>
    </row>
    <row r="290" spans="1:3" ht="13.8" x14ac:dyDescent="0.3">
      <c r="A290" s="694" t="s">
        <v>2028</v>
      </c>
      <c r="B290" s="695" t="s">
        <v>1766</v>
      </c>
      <c r="C290" s="718">
        <f>'Сводный расчет стоимости'!M286</f>
        <v>199.51812851234757</v>
      </c>
    </row>
    <row r="291" spans="1:3" ht="13.8" hidden="1" x14ac:dyDescent="0.3">
      <c r="A291" s="694" t="s">
        <v>1418</v>
      </c>
      <c r="B291" s="695" t="s">
        <v>686</v>
      </c>
      <c r="C291" s="718">
        <f>'Сводный расчет стоимости'!M287</f>
        <v>209.81794283657862</v>
      </c>
    </row>
    <row r="292" spans="1:3" ht="13.8" x14ac:dyDescent="0.3">
      <c r="A292" s="694" t="s">
        <v>2029</v>
      </c>
      <c r="B292" s="695" t="s">
        <v>1767</v>
      </c>
      <c r="C292" s="718">
        <f>'Сводный расчет стоимости'!M288</f>
        <v>199.51812851234757</v>
      </c>
    </row>
    <row r="293" spans="1:3" ht="13.8" x14ac:dyDescent="0.3">
      <c r="A293" s="694" t="s">
        <v>2030</v>
      </c>
      <c r="B293" s="695" t="s">
        <v>1768</v>
      </c>
      <c r="C293" s="718">
        <f>'Сводный расчет стоимости'!M289</f>
        <v>246.40055445071158</v>
      </c>
    </row>
    <row r="294" spans="1:3" ht="14.25" customHeight="1" x14ac:dyDescent="0.3">
      <c r="A294" s="694" t="s">
        <v>2031</v>
      </c>
      <c r="B294" s="695" t="s">
        <v>685</v>
      </c>
      <c r="C294" s="718">
        <f>'Сводный расчет стоимости'!M290</f>
        <v>199.51812851234757</v>
      </c>
    </row>
    <row r="295" spans="1:3" ht="13.8" x14ac:dyDescent="0.3">
      <c r="A295" s="694" t="s">
        <v>2032</v>
      </c>
      <c r="B295" s="695" t="s">
        <v>696</v>
      </c>
      <c r="C295" s="718">
        <f>'Сводный расчет стоимости'!M291</f>
        <v>199.51812851234757</v>
      </c>
    </row>
    <row r="296" spans="1:3" ht="13.8" x14ac:dyDescent="0.3">
      <c r="A296" s="694" t="s">
        <v>2033</v>
      </c>
      <c r="B296" s="695" t="s">
        <v>1769</v>
      </c>
      <c r="C296" s="718">
        <f>'Сводный расчет стоимости'!M292</f>
        <v>199.51812851234757</v>
      </c>
    </row>
    <row r="297" spans="1:3" ht="13.8" x14ac:dyDescent="0.3">
      <c r="A297" s="694" t="s">
        <v>2034</v>
      </c>
      <c r="B297" s="695" t="s">
        <v>694</v>
      </c>
      <c r="C297" s="718">
        <f>'Сводный расчет стоимости'!M293</f>
        <v>199.51812851234757</v>
      </c>
    </row>
    <row r="298" spans="1:3" ht="13.8" x14ac:dyDescent="0.3">
      <c r="A298" s="694" t="s">
        <v>2035</v>
      </c>
      <c r="B298" s="695" t="s">
        <v>695</v>
      </c>
      <c r="C298" s="718">
        <f>'Сводный расчет стоимости'!M294</f>
        <v>199.51812851234757</v>
      </c>
    </row>
    <row r="299" spans="1:3" ht="13.8" x14ac:dyDescent="0.3">
      <c r="A299" s="694" t="s">
        <v>2036</v>
      </c>
      <c r="B299" s="695" t="s">
        <v>693</v>
      </c>
      <c r="C299" s="718">
        <f>'Сводный расчет стоимости'!M295</f>
        <v>199.51812851234757</v>
      </c>
    </row>
    <row r="300" spans="1:3" ht="13.8" x14ac:dyDescent="0.3">
      <c r="A300" s="694" t="s">
        <v>2037</v>
      </c>
      <c r="B300" s="695" t="s">
        <v>1427</v>
      </c>
      <c r="C300" s="718">
        <f>'Сводный расчет стоимости'!M296</f>
        <v>199.51812851234757</v>
      </c>
    </row>
    <row r="301" spans="1:3" ht="13.8" hidden="1" x14ac:dyDescent="0.3">
      <c r="A301" s="694" t="s">
        <v>1429</v>
      </c>
      <c r="B301" s="695" t="s">
        <v>1770</v>
      </c>
      <c r="C301" s="718">
        <f>'Сводный расчет стоимости'!M297</f>
        <v>199.51812851234757</v>
      </c>
    </row>
    <row r="302" spans="1:3" ht="13.8" x14ac:dyDescent="0.3">
      <c r="A302" s="694" t="s">
        <v>2038</v>
      </c>
      <c r="B302" s="695" t="s">
        <v>1771</v>
      </c>
      <c r="C302" s="718">
        <f>'Сводный расчет стоимости'!M298</f>
        <v>199.51812851234757</v>
      </c>
    </row>
    <row r="303" spans="1:3" ht="13.8" x14ac:dyDescent="0.3">
      <c r="A303" s="694" t="s">
        <v>2039</v>
      </c>
      <c r="B303" s="695" t="s">
        <v>1772</v>
      </c>
      <c r="C303" s="718">
        <f>'Сводный расчет стоимости'!M299</f>
        <v>291.87492542599603</v>
      </c>
    </row>
    <row r="304" spans="1:3" x14ac:dyDescent="0.25">
      <c r="A304" s="1154" t="s">
        <v>315</v>
      </c>
      <c r="B304" s="1154"/>
    </row>
    <row r="305" spans="1:3" ht="12.75" customHeight="1" x14ac:dyDescent="0.3">
      <c r="A305" s="1167" t="s">
        <v>1785</v>
      </c>
      <c r="B305" s="1164"/>
      <c r="C305" s="724"/>
    </row>
    <row r="306" spans="1:3" ht="13.8" x14ac:dyDescent="0.3">
      <c r="A306" s="691" t="s">
        <v>1895</v>
      </c>
      <c r="B306" s="695" t="s">
        <v>1773</v>
      </c>
      <c r="C306" s="718">
        <f>'Сводный расчет стоимости'!M302</f>
        <v>59.260135861153252</v>
      </c>
    </row>
    <row r="307" spans="1:3" ht="13.8" x14ac:dyDescent="0.3">
      <c r="A307" s="694" t="s">
        <v>1920</v>
      </c>
      <c r="B307" s="695" t="s">
        <v>1919</v>
      </c>
      <c r="C307" s="718">
        <f>'Сводный расчет стоимости'!M303</f>
        <v>154.62076208323012</v>
      </c>
    </row>
    <row r="308" spans="1:3" ht="27.6" x14ac:dyDescent="0.3">
      <c r="A308" s="694" t="s">
        <v>1894</v>
      </c>
      <c r="B308" s="695" t="s">
        <v>1893</v>
      </c>
      <c r="C308" s="718">
        <f>'Сводный расчет стоимости'!M304</f>
        <v>116.56883662274606</v>
      </c>
    </row>
    <row r="309" spans="1:3" ht="13.8" x14ac:dyDescent="0.3">
      <c r="A309" s="694" t="s">
        <v>1902</v>
      </c>
      <c r="B309" s="695" t="s">
        <v>446</v>
      </c>
      <c r="C309" s="718">
        <f>'Сводный расчет стоимости'!M305</f>
        <v>84.858898739009362</v>
      </c>
    </row>
    <row r="310" spans="1:3" ht="13.8" x14ac:dyDescent="0.3">
      <c r="A310" s="694" t="s">
        <v>1898</v>
      </c>
      <c r="B310" s="695" t="s">
        <v>1432</v>
      </c>
      <c r="C310" s="718">
        <f>'Сводный расчет стоимости'!M306</f>
        <v>136.99031967738068</v>
      </c>
    </row>
    <row r="311" spans="1:3" ht="13.8" x14ac:dyDescent="0.3">
      <c r="A311" s="694" t="s">
        <v>1904</v>
      </c>
      <c r="B311" s="695" t="s">
        <v>797</v>
      </c>
      <c r="C311" s="718">
        <f>'Сводный расчет стоимости'!M307</f>
        <v>92.350520124615528</v>
      </c>
    </row>
    <row r="312" spans="1:3" ht="13.8" x14ac:dyDescent="0.3">
      <c r="A312" s="694" t="s">
        <v>1918</v>
      </c>
      <c r="B312" s="695" t="s">
        <v>1774</v>
      </c>
      <c r="C312" s="718">
        <f>'Сводный расчет стоимости'!M308</f>
        <v>129.25281177624075</v>
      </c>
    </row>
    <row r="313" spans="1:3" ht="13.8" x14ac:dyDescent="0.3">
      <c r="A313" s="694" t="s">
        <v>1903</v>
      </c>
      <c r="B313" s="695" t="s">
        <v>801</v>
      </c>
      <c r="C313" s="718">
        <f>'Сводный расчет стоимости'!M309</f>
        <v>97.542873892504034</v>
      </c>
    </row>
    <row r="314" spans="1:3" ht="13.8" x14ac:dyDescent="0.3">
      <c r="A314" s="694" t="s">
        <v>1917</v>
      </c>
      <c r="B314" s="695" t="s">
        <v>803</v>
      </c>
      <c r="C314" s="718">
        <f>'Сводный расчет стоимости'!M310</f>
        <v>254.17638806530385</v>
      </c>
    </row>
    <row r="315" spans="1:3" ht="13.8" x14ac:dyDescent="0.3">
      <c r="A315" s="694" t="s">
        <v>1911</v>
      </c>
      <c r="B315" s="695" t="s">
        <v>805</v>
      </c>
      <c r="C315" s="718">
        <f>'Сводный расчет стоимости'!M311</f>
        <v>260.5222265122361</v>
      </c>
    </row>
    <row r="316" spans="1:3" ht="13.8" x14ac:dyDescent="0.3">
      <c r="A316" s="694" t="s">
        <v>1910</v>
      </c>
      <c r="B316" s="695" t="s">
        <v>1775</v>
      </c>
      <c r="C316" s="718">
        <f>'Сводный расчет стоимости'!M312</f>
        <v>305.16105975372773</v>
      </c>
    </row>
    <row r="317" spans="1:3" ht="13.8" x14ac:dyDescent="0.3">
      <c r="A317" s="694" t="s">
        <v>1909</v>
      </c>
      <c r="B317" s="695" t="s">
        <v>448</v>
      </c>
      <c r="C317" s="718">
        <f>'Сводный расчет стоимости'!M313</f>
        <v>124.15834505158313</v>
      </c>
    </row>
    <row r="318" spans="1:3" ht="13.8" x14ac:dyDescent="0.3">
      <c r="A318" s="694" t="s">
        <v>1905</v>
      </c>
      <c r="B318" s="695" t="s">
        <v>811</v>
      </c>
      <c r="C318" s="718">
        <f>'Сводный расчет стоимости'!M314</f>
        <v>156.73637377058054</v>
      </c>
    </row>
    <row r="319" spans="1:3" ht="13.8" x14ac:dyDescent="0.3">
      <c r="A319" s="691" t="s">
        <v>1914</v>
      </c>
      <c r="B319" s="692" t="s">
        <v>1776</v>
      </c>
      <c r="C319" s="718">
        <f>'Сводный расчет стоимости'!M315</f>
        <v>149.53648120161137</v>
      </c>
    </row>
    <row r="320" spans="1:3" ht="13.8" x14ac:dyDescent="0.3">
      <c r="A320" s="691" t="s">
        <v>1915</v>
      </c>
      <c r="B320" s="692" t="s">
        <v>1777</v>
      </c>
      <c r="C320" s="718">
        <f>'Сводный расчет стоимости'!M316</f>
        <v>260.53377912279075</v>
      </c>
    </row>
    <row r="321" spans="1:3" ht="13.8" x14ac:dyDescent="0.3">
      <c r="A321" s="1167" t="s">
        <v>1786</v>
      </c>
      <c r="B321" s="1168"/>
      <c r="C321" s="718"/>
    </row>
    <row r="322" spans="1:3" ht="13.8" x14ac:dyDescent="0.3">
      <c r="A322" s="691" t="s">
        <v>1899</v>
      </c>
      <c r="B322" s="692" t="s">
        <v>589</v>
      </c>
      <c r="C322" s="718">
        <f>'Сводный расчет стоимости'!M318</f>
        <v>146.36452469569147</v>
      </c>
    </row>
    <row r="323" spans="1:3" ht="13.8" x14ac:dyDescent="0.3">
      <c r="A323" s="691" t="s">
        <v>1900</v>
      </c>
      <c r="B323" s="692" t="s">
        <v>1297</v>
      </c>
      <c r="C323" s="718">
        <f>'Сводный расчет стоимости'!M319</f>
        <v>108.30874836502251</v>
      </c>
    </row>
    <row r="324" spans="1:3" ht="13.8" x14ac:dyDescent="0.3">
      <c r="A324" s="691" t="s">
        <v>1901</v>
      </c>
      <c r="B324" s="692" t="s">
        <v>1779</v>
      </c>
      <c r="C324" s="718">
        <f>'Сводный расчет стоимости'!M320</f>
        <v>44.883096292271745</v>
      </c>
    </row>
    <row r="325" spans="1:3" ht="26.25" customHeight="1" x14ac:dyDescent="0.3">
      <c r="A325" s="691" t="s">
        <v>1908</v>
      </c>
      <c r="B325" s="692" t="s">
        <v>1781</v>
      </c>
      <c r="C325" s="718">
        <f>'Сводный расчет стоимости'!M321</f>
        <v>60.400608346092852</v>
      </c>
    </row>
    <row r="326" spans="1:3" ht="13.5" customHeight="1" x14ac:dyDescent="0.3">
      <c r="A326" s="1167" t="s">
        <v>1787</v>
      </c>
      <c r="B326" s="1168"/>
      <c r="C326" s="718"/>
    </row>
    <row r="327" spans="1:3" ht="13.8" x14ac:dyDescent="0.3">
      <c r="A327" s="691" t="s">
        <v>1913</v>
      </c>
      <c r="B327" s="692" t="s">
        <v>1912</v>
      </c>
      <c r="C327" s="718">
        <f>'Сводный расчет стоимости'!M323</f>
        <v>131.32275322539022</v>
      </c>
    </row>
    <row r="328" spans="1:3" ht="13.8" hidden="1" x14ac:dyDescent="0.3">
      <c r="A328" s="691" t="s">
        <v>1782</v>
      </c>
      <c r="B328" s="692" t="s">
        <v>1783</v>
      </c>
      <c r="C328" s="718">
        <f>'Сводный расчет стоимости'!M324</f>
        <v>119.39555702382887</v>
      </c>
    </row>
    <row r="329" spans="1:3" ht="13.8" x14ac:dyDescent="0.3">
      <c r="A329" s="691" t="s">
        <v>1916</v>
      </c>
      <c r="B329" s="692" t="s">
        <v>526</v>
      </c>
      <c r="C329" s="718">
        <f>'Сводный расчет стоимости'!M325</f>
        <v>95.893269209058047</v>
      </c>
    </row>
    <row r="330" spans="1:3" ht="13.8" x14ac:dyDescent="0.3">
      <c r="A330" s="691" t="s">
        <v>1906</v>
      </c>
      <c r="B330" s="692" t="s">
        <v>450</v>
      </c>
      <c r="C330" s="718">
        <f>'Сводный расчет стоимости'!M326</f>
        <v>62.964304662324622</v>
      </c>
    </row>
    <row r="331" spans="1:3" ht="13.8" x14ac:dyDescent="0.3">
      <c r="A331" s="1167" t="s">
        <v>1788</v>
      </c>
      <c r="B331" s="1168"/>
      <c r="C331" s="718"/>
    </row>
    <row r="332" spans="1:3" ht="27.6" x14ac:dyDescent="0.3">
      <c r="A332" s="691" t="s">
        <v>1907</v>
      </c>
      <c r="B332" s="692" t="s">
        <v>1784</v>
      </c>
      <c r="C332" s="718">
        <f>'Сводный расчет стоимости'!M328</f>
        <v>152.69688509697656</v>
      </c>
    </row>
    <row r="333" spans="1:3" x14ac:dyDescent="0.25">
      <c r="A333" s="1154" t="s">
        <v>337</v>
      </c>
      <c r="B333" s="1154"/>
    </row>
    <row r="334" spans="1:3" ht="29.25" customHeight="1" x14ac:dyDescent="0.3">
      <c r="A334" s="691" t="s">
        <v>2056</v>
      </c>
      <c r="B334" s="692" t="s">
        <v>2274</v>
      </c>
      <c r="C334" s="718">
        <f>'Сводный расчет стоимости'!M330</f>
        <v>979.01902244754012</v>
      </c>
    </row>
    <row r="335" spans="1:3" ht="12.75" customHeight="1" x14ac:dyDescent="0.25"/>
    <row r="336" spans="1:3" ht="12.75" customHeight="1" x14ac:dyDescent="0.25"/>
    <row r="337" spans="1:3" ht="12.75" customHeight="1" x14ac:dyDescent="0.3">
      <c r="A337" s="713" t="s">
        <v>1797</v>
      </c>
      <c r="B337" s="725"/>
      <c r="C337" s="726" t="s">
        <v>1798</v>
      </c>
    </row>
    <row r="338" spans="1:3" ht="12.75" customHeight="1" x14ac:dyDescent="0.25"/>
    <row r="339" spans="1:3" ht="12.75" customHeight="1" x14ac:dyDescent="0.3">
      <c r="B339" s="727"/>
    </row>
    <row r="340" spans="1:3" ht="12.75" customHeight="1" x14ac:dyDescent="0.25"/>
    <row r="341" spans="1:3" ht="12.75" customHeight="1" x14ac:dyDescent="0.25"/>
    <row r="342" spans="1:3" ht="12.75" customHeight="1" x14ac:dyDescent="0.25"/>
    <row r="343" spans="1:3" ht="12.75" customHeight="1" x14ac:dyDescent="0.25"/>
    <row r="344" spans="1:3" ht="12.75" customHeight="1" x14ac:dyDescent="0.25"/>
    <row r="345" spans="1:3" ht="12.75" customHeight="1" x14ac:dyDescent="0.25"/>
    <row r="346" spans="1:3" ht="12.75" customHeight="1" x14ac:dyDescent="0.25"/>
    <row r="347" spans="1:3" ht="12.75" customHeight="1" x14ac:dyDescent="0.25"/>
    <row r="348" spans="1:3" ht="12.75" customHeight="1" x14ac:dyDescent="0.25"/>
    <row r="349" spans="1:3" ht="12.75" customHeight="1" x14ac:dyDescent="0.25"/>
    <row r="350" spans="1:3" ht="12.75" customHeight="1" x14ac:dyDescent="0.25"/>
    <row r="351" spans="1:3" ht="12.75" customHeight="1" x14ac:dyDescent="0.25"/>
    <row r="352" spans="1:3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90" ht="12.75" customHeight="1" x14ac:dyDescent="0.25"/>
    <row r="391" ht="12.75" customHeight="1" x14ac:dyDescent="0.25"/>
    <row r="392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5.75" customHeight="1" x14ac:dyDescent="0.25"/>
    <row r="520" ht="12.75" customHeight="1" x14ac:dyDescent="0.25"/>
    <row r="521" ht="25.5" customHeight="1" x14ac:dyDescent="0.25"/>
    <row r="522" ht="24" customHeight="1" x14ac:dyDescent="0.25"/>
    <row r="523" ht="24.75" customHeight="1" x14ac:dyDescent="0.25"/>
    <row r="524" ht="26.2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8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8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29.2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4.2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6" ht="12.75" customHeight="1" x14ac:dyDescent="0.25"/>
    <row r="777" ht="12.75" customHeight="1" x14ac:dyDescent="0.25"/>
    <row r="778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29.25" customHeight="1" x14ac:dyDescent="0.25"/>
    <row r="815" ht="12.75" customHeight="1" x14ac:dyDescent="0.25"/>
    <row r="817" ht="30" customHeight="1" x14ac:dyDescent="0.25"/>
    <row r="823" ht="19.5" customHeight="1" x14ac:dyDescent="0.25"/>
    <row r="825" ht="12.75" customHeight="1" x14ac:dyDescent="0.25"/>
    <row r="827" ht="12.75" customHeight="1" x14ac:dyDescent="0.25"/>
    <row r="828" ht="12.75" customHeight="1" x14ac:dyDescent="0.25"/>
    <row r="829" ht="24" customHeight="1" x14ac:dyDescent="0.25"/>
    <row r="830" ht="27.75" customHeight="1" x14ac:dyDescent="0.25"/>
    <row r="831" ht="12.75" customHeight="1" x14ac:dyDescent="0.25"/>
    <row r="832" ht="12.75" customHeight="1" x14ac:dyDescent="0.25"/>
    <row r="834" ht="24.75" customHeight="1" x14ac:dyDescent="0.25"/>
  </sheetData>
  <mergeCells count="31">
    <mergeCell ref="A60:B60"/>
    <mergeCell ref="A333:B333"/>
    <mergeCell ref="A304:B304"/>
    <mergeCell ref="A99:B99"/>
    <mergeCell ref="A263:B263"/>
    <mergeCell ref="A287:B287"/>
    <mergeCell ref="A233:B233"/>
    <mergeCell ref="A145:B145"/>
    <mergeCell ref="A146:B146"/>
    <mergeCell ref="A120:B120"/>
    <mergeCell ref="A305:B305"/>
    <mergeCell ref="A321:B321"/>
    <mergeCell ref="A326:B326"/>
    <mergeCell ref="A331:B331"/>
    <mergeCell ref="A130:C130"/>
    <mergeCell ref="D19:D20"/>
    <mergeCell ref="A13:C13"/>
    <mergeCell ref="F235:O235"/>
    <mergeCell ref="A2:D2"/>
    <mergeCell ref="A3:D3"/>
    <mergeCell ref="A4:D4"/>
    <mergeCell ref="A7:D7"/>
    <mergeCell ref="A107:B107"/>
    <mergeCell ref="B19:B20"/>
    <mergeCell ref="A15:C15"/>
    <mergeCell ref="A18:C18"/>
    <mergeCell ref="A55:B55"/>
    <mergeCell ref="A16:C16"/>
    <mergeCell ref="A19:A20"/>
    <mergeCell ref="C19:C20"/>
    <mergeCell ref="A52:C52"/>
  </mergeCells>
  <phoneticPr fontId="2" type="noConversion"/>
  <pageMargins left="0.75" right="0.75" top="1" bottom="1" header="0.5" footer="0.5"/>
  <pageSetup paperSize="9" scale="80" orientation="portrait" r:id="rId1"/>
  <headerFooter alignWithMargins="0"/>
  <rowBreaks count="3" manualBreakCount="3">
    <brk id="59" max="16383" man="1"/>
    <brk id="129" max="16383" man="1"/>
    <brk id="144" max="16383" man="1"/>
  </rowBreaks>
  <colBreaks count="1" manualBreakCount="1">
    <brk id="3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3"/>
  <sheetViews>
    <sheetView view="pageBreakPreview" topLeftCell="B1" zoomScaleNormal="100" zoomScaleSheetLayoutView="100" workbookViewId="0">
      <pane xSplit="1" ySplit="9" topLeftCell="C10" activePane="bottomRight" state="frozen"/>
      <selection activeCell="B1" sqref="B1"/>
      <selection pane="topRight" activeCell="C1" sqref="C1"/>
      <selection pane="bottomLeft" activeCell="B10" sqref="B10"/>
      <selection pane="bottomRight" activeCell="B1" sqref="A1:XFD1048576"/>
    </sheetView>
  </sheetViews>
  <sheetFormatPr defaultColWidth="9.109375" defaultRowHeight="15" x14ac:dyDescent="0.25"/>
  <cols>
    <col min="1" max="2" width="13" style="700" customWidth="1"/>
    <col min="3" max="3" width="89" style="700" customWidth="1"/>
    <col min="4" max="4" width="11.5546875" style="700" customWidth="1"/>
    <col min="5" max="9" width="9.109375" style="700" customWidth="1"/>
    <col min="10" max="10" width="9.33203125" style="700" customWidth="1"/>
    <col min="11" max="11" width="13.44140625" style="700" customWidth="1"/>
    <col min="12" max="12" width="9.5546875" style="700" customWidth="1"/>
    <col min="13" max="13" width="9.44140625" style="700" customWidth="1"/>
    <col min="14" max="14" width="9.109375" style="700" customWidth="1"/>
    <col min="15" max="15" width="7.44140625" style="700" customWidth="1"/>
    <col min="16" max="16" width="9.88671875" style="940" customWidth="1"/>
    <col min="17" max="17" width="9.33203125" style="867" customWidth="1"/>
    <col min="18" max="18" width="9.33203125" style="700" bestFit="1" customWidth="1"/>
    <col min="19" max="16384" width="9.109375" style="700"/>
  </cols>
  <sheetData>
    <row r="1" spans="1:18" ht="26.25" customHeight="1" x14ac:dyDescent="0.3">
      <c r="A1" s="1180" t="s">
        <v>594</v>
      </c>
      <c r="B1" s="1180"/>
      <c r="C1" s="1180"/>
      <c r="D1" s="1180"/>
      <c r="E1" s="1180"/>
      <c r="F1" s="1180"/>
      <c r="G1" s="1180"/>
      <c r="H1" s="1180"/>
      <c r="I1" s="1180"/>
      <c r="J1" s="1180"/>
      <c r="K1" s="1180"/>
      <c r="L1" s="939"/>
      <c r="M1" s="939"/>
    </row>
    <row r="2" spans="1:18" ht="17.25" customHeight="1" x14ac:dyDescent="0.3">
      <c r="A2" s="1180" t="s">
        <v>595</v>
      </c>
      <c r="B2" s="1180"/>
      <c r="C2" s="1180"/>
      <c r="D2" s="1180"/>
      <c r="E2" s="1180"/>
      <c r="F2" s="1180"/>
      <c r="G2" s="1180"/>
      <c r="H2" s="1180"/>
      <c r="I2" s="1180"/>
      <c r="J2" s="1180"/>
      <c r="K2" s="1180"/>
      <c r="L2" s="939"/>
      <c r="M2" s="939"/>
    </row>
    <row r="3" spans="1:18" ht="19.5" customHeight="1" x14ac:dyDescent="0.3">
      <c r="A3" s="1180" t="s">
        <v>1063</v>
      </c>
      <c r="B3" s="1180"/>
      <c r="C3" s="1180"/>
      <c r="D3" s="1180"/>
      <c r="E3" s="1180"/>
      <c r="F3" s="1180"/>
      <c r="G3" s="1180"/>
      <c r="H3" s="1180"/>
      <c r="I3" s="1180"/>
      <c r="J3" s="1180"/>
      <c r="K3" s="1180"/>
      <c r="L3" s="939"/>
      <c r="M3" s="939"/>
    </row>
    <row r="4" spans="1:18" ht="32.25" customHeight="1" x14ac:dyDescent="0.3">
      <c r="A4" s="1181" t="s">
        <v>596</v>
      </c>
      <c r="B4" s="1181"/>
      <c r="C4" s="1181"/>
      <c r="D4" s="1181"/>
      <c r="E4" s="1181"/>
      <c r="F4" s="1181"/>
      <c r="G4" s="1181"/>
      <c r="H4" s="1181"/>
      <c r="I4" s="1181"/>
      <c r="J4" s="1181"/>
      <c r="K4" s="1181"/>
      <c r="L4" s="941"/>
      <c r="M4" s="941"/>
    </row>
    <row r="5" spans="1:18" ht="25.5" customHeight="1" x14ac:dyDescent="0.3">
      <c r="A5" s="1181" t="s">
        <v>2185</v>
      </c>
      <c r="B5" s="1181"/>
      <c r="C5" s="1181"/>
      <c r="D5" s="1181"/>
      <c r="E5" s="1181"/>
      <c r="F5" s="1181"/>
      <c r="G5" s="1181"/>
      <c r="H5" s="1181"/>
      <c r="I5" s="1181"/>
      <c r="J5" s="1181"/>
      <c r="K5" s="1181"/>
      <c r="L5" s="941"/>
      <c r="M5" s="941"/>
    </row>
    <row r="6" spans="1:18" ht="33" customHeight="1" x14ac:dyDescent="0.25">
      <c r="A6" s="1176" t="s">
        <v>2182</v>
      </c>
      <c r="B6" s="1176"/>
      <c r="C6" s="1176"/>
      <c r="D6" s="1176"/>
      <c r="E6" s="1176"/>
      <c r="F6" s="1176"/>
      <c r="G6" s="1176"/>
      <c r="H6" s="1176"/>
      <c r="I6" s="1176"/>
      <c r="J6" s="1176"/>
      <c r="K6" s="1176"/>
      <c r="L6" s="942"/>
      <c r="M6" s="942"/>
    </row>
    <row r="7" spans="1:18" ht="21.9" customHeight="1" x14ac:dyDescent="0.3">
      <c r="A7" s="1172" t="s">
        <v>847</v>
      </c>
      <c r="B7" s="1172"/>
      <c r="C7" s="1172"/>
    </row>
    <row r="8" spans="1:18" ht="8.1" customHeight="1" x14ac:dyDescent="0.25">
      <c r="A8" s="1182"/>
      <c r="B8" s="1182"/>
      <c r="C8" s="1182"/>
    </row>
    <row r="9" spans="1:18" ht="40.5" customHeight="1" x14ac:dyDescent="0.25">
      <c r="A9" s="693" t="s">
        <v>848</v>
      </c>
      <c r="B9" s="693"/>
      <c r="C9" s="693" t="s">
        <v>849</v>
      </c>
      <c r="D9" s="693" t="s">
        <v>850</v>
      </c>
      <c r="E9" s="693" t="s">
        <v>851</v>
      </c>
      <c r="F9" s="693" t="s">
        <v>852</v>
      </c>
      <c r="G9" s="693" t="s">
        <v>597</v>
      </c>
      <c r="H9" s="693" t="s">
        <v>598</v>
      </c>
      <c r="I9" s="693" t="s">
        <v>613</v>
      </c>
      <c r="J9" s="693" t="s">
        <v>614</v>
      </c>
      <c r="K9" s="693" t="s">
        <v>853</v>
      </c>
      <c r="L9" s="693" t="s">
        <v>599</v>
      </c>
      <c r="M9" s="693" t="s">
        <v>854</v>
      </c>
      <c r="N9" s="943"/>
      <c r="O9" s="944">
        <v>2018</v>
      </c>
      <c r="P9" s="945"/>
    </row>
    <row r="10" spans="1:18" ht="12.75" customHeight="1" x14ac:dyDescent="0.3">
      <c r="A10" s="691" t="s">
        <v>2001</v>
      </c>
      <c r="B10" s="691" t="s">
        <v>2001</v>
      </c>
      <c r="C10" s="692" t="s">
        <v>1731</v>
      </c>
      <c r="D10" s="946">
        <f>'КМУ поликл. прием'!C9</f>
        <v>74.428856999404601</v>
      </c>
      <c r="E10" s="946">
        <f>D10*20.2%</f>
        <v>15.034629113879728</v>
      </c>
      <c r="F10" s="946">
        <f>'КМУ поликл. прием'!I9</f>
        <v>11.055</v>
      </c>
      <c r="G10" s="946">
        <f>'КМУ поликл. прием'!N9</f>
        <v>0.23224477723595685</v>
      </c>
      <c r="H10" s="946">
        <f>'КМУ поликл. прием'!S9</f>
        <v>0.29199995128985923</v>
      </c>
      <c r="I10" s="946">
        <f>'КМУ поликл. прием'!Y9</f>
        <v>12.176973602760732</v>
      </c>
      <c r="J10" s="946">
        <f>'КМУ поликл. прием'!Z9</f>
        <v>147.20686630069355</v>
      </c>
      <c r="K10" s="946">
        <f t="shared" ref="K10:K17" si="0">J10+H10+G10+F10+E10+D10</f>
        <v>248.24959714250372</v>
      </c>
      <c r="L10" s="696">
        <f>K10*5%</f>
        <v>12.412479857125186</v>
      </c>
      <c r="M10" s="864">
        <f t="shared" ref="M10:M17" si="1">K10+L10</f>
        <v>260.66207699962888</v>
      </c>
      <c r="N10" s="867"/>
      <c r="O10" s="867">
        <v>243</v>
      </c>
      <c r="P10" s="866"/>
      <c r="Q10" s="947">
        <f>M10-O10</f>
        <v>17.66207699962888</v>
      </c>
      <c r="R10" s="868">
        <f>M10/O10*100</f>
        <v>107.26834444429171</v>
      </c>
    </row>
    <row r="11" spans="1:18" ht="12.75" customHeight="1" x14ac:dyDescent="0.3">
      <c r="A11" s="691" t="s">
        <v>1954</v>
      </c>
      <c r="B11" s="691" t="s">
        <v>1954</v>
      </c>
      <c r="C11" s="692" t="s">
        <v>1732</v>
      </c>
      <c r="D11" s="946">
        <f>'КМУ поликл. прием'!C19</f>
        <v>74.428856999404601</v>
      </c>
      <c r="E11" s="946">
        <f t="shared" ref="E11:E37" si="2">D11*20.2%</f>
        <v>15.034629113879728</v>
      </c>
      <c r="F11" s="946">
        <f>'КМУ поликл. прием'!I19</f>
        <v>11.055</v>
      </c>
      <c r="G11" s="946">
        <f>'КМУ поликл. прием'!N19</f>
        <v>0.22960120532715511</v>
      </c>
      <c r="H11" s="946">
        <f>'КМУ поликл. прием'!S19</f>
        <v>0.29199995128985923</v>
      </c>
      <c r="I11" s="946">
        <f>'КМУ поликл. прием'!Y19</f>
        <v>12.176973602760732</v>
      </c>
      <c r="J11" s="946">
        <f>'КМУ поликл. прием'!Z19</f>
        <v>147.20342916103272</v>
      </c>
      <c r="K11" s="946">
        <f t="shared" si="0"/>
        <v>248.24351643093405</v>
      </c>
      <c r="L11" s="696">
        <f t="shared" ref="L11:L17" si="3">K11*5%</f>
        <v>12.412175821546704</v>
      </c>
      <c r="M11" s="864">
        <f t="shared" si="1"/>
        <v>260.65569225248078</v>
      </c>
      <c r="N11" s="867"/>
      <c r="O11" s="867">
        <v>243</v>
      </c>
      <c r="P11" s="866"/>
      <c r="Q11" s="947">
        <f t="shared" ref="Q11:Q77" si="4">M11-O11</f>
        <v>17.655692252480776</v>
      </c>
      <c r="R11" s="868">
        <f t="shared" ref="R11:R74" si="5">M11/O11*100</f>
        <v>107.26571697632954</v>
      </c>
    </row>
    <row r="12" spans="1:18" ht="12.75" customHeight="1" x14ac:dyDescent="0.3">
      <c r="A12" s="691" t="s">
        <v>1945</v>
      </c>
      <c r="B12" s="691" t="s">
        <v>1945</v>
      </c>
      <c r="C12" s="692" t="s">
        <v>896</v>
      </c>
      <c r="D12" s="946">
        <f>'КМУ поликл. прием'!C29</f>
        <v>79.745203927933503</v>
      </c>
      <c r="E12" s="946">
        <f t="shared" si="2"/>
        <v>16.108531193442566</v>
      </c>
      <c r="F12" s="946">
        <f>'КМУ поликл. прием'!I29</f>
        <v>11.055</v>
      </c>
      <c r="G12" s="946">
        <f>'КМУ поликл. прием'!N29</f>
        <v>0.24600129142195196</v>
      </c>
      <c r="H12" s="946">
        <f>'КМУ поликл. прием'!S29</f>
        <v>0.31285709066770634</v>
      </c>
      <c r="I12" s="946">
        <f>'КМУ поликл. прием'!Y29</f>
        <v>13.046757431529358</v>
      </c>
      <c r="J12" s="946">
        <f>'КМУ поликл. прием'!Z29</f>
        <v>156.69127589083175</v>
      </c>
      <c r="K12" s="946">
        <f t="shared" si="0"/>
        <v>264.15886939429748</v>
      </c>
      <c r="L12" s="696">
        <f t="shared" si="3"/>
        <v>13.207943469714875</v>
      </c>
      <c r="M12" s="864">
        <f t="shared" si="1"/>
        <v>277.36681286401233</v>
      </c>
      <c r="N12" s="867"/>
      <c r="O12" s="867">
        <v>257</v>
      </c>
      <c r="P12" s="866"/>
      <c r="Q12" s="947">
        <f t="shared" si="4"/>
        <v>20.366812864012331</v>
      </c>
      <c r="R12" s="868">
        <f t="shared" si="5"/>
        <v>107.92482990817601</v>
      </c>
    </row>
    <row r="13" spans="1:18" ht="16.5" customHeight="1" x14ac:dyDescent="0.3">
      <c r="A13" s="691" t="s">
        <v>1951</v>
      </c>
      <c r="B13" s="691" t="s">
        <v>1951</v>
      </c>
      <c r="C13" s="692" t="s">
        <v>900</v>
      </c>
      <c r="D13" s="946">
        <f>'КМУ поликл. прием'!C39</f>
        <v>106.32693857057801</v>
      </c>
      <c r="E13" s="946">
        <f t="shared" si="2"/>
        <v>21.478041591256755</v>
      </c>
      <c r="F13" s="946">
        <f>'КМУ поликл. прием'!I39</f>
        <v>11.055</v>
      </c>
      <c r="G13" s="946">
        <f>'КМУ поликл. прием'!N39</f>
        <v>0.3280017218959359</v>
      </c>
      <c r="H13" s="946">
        <f>'КМУ поликл. прием'!S39</f>
        <v>0.41714278755694179</v>
      </c>
      <c r="I13" s="946">
        <f>'КМУ поликл. прием'!Y39</f>
        <v>17.395676575372477</v>
      </c>
      <c r="J13" s="946">
        <f>'КМУ поликл. прием'!Z39</f>
        <v>204.13050953982687</v>
      </c>
      <c r="K13" s="946">
        <f t="shared" si="0"/>
        <v>343.73563421111453</v>
      </c>
      <c r="L13" s="696">
        <f t="shared" si="3"/>
        <v>17.186781710555728</v>
      </c>
      <c r="M13" s="864">
        <f t="shared" si="1"/>
        <v>360.92241592167028</v>
      </c>
      <c r="N13" s="867"/>
      <c r="O13" s="948">
        <v>331</v>
      </c>
      <c r="P13" s="866"/>
      <c r="Q13" s="947">
        <f t="shared" si="4"/>
        <v>29.922415921670279</v>
      </c>
      <c r="R13" s="868">
        <f t="shared" si="5"/>
        <v>109.04000481017229</v>
      </c>
    </row>
    <row r="14" spans="1:18" ht="12.75" customHeight="1" x14ac:dyDescent="0.3">
      <c r="A14" s="691" t="s">
        <v>1948</v>
      </c>
      <c r="B14" s="691" t="s">
        <v>1948</v>
      </c>
      <c r="C14" s="692" t="s">
        <v>1733</v>
      </c>
      <c r="D14" s="946">
        <f>'КМУ поликл. прием'!C49</f>
        <v>53.163469285289004</v>
      </c>
      <c r="E14" s="946">
        <f t="shared" si="2"/>
        <v>10.739020795628377</v>
      </c>
      <c r="F14" s="946">
        <f>'КМУ поликл. прием'!I49</f>
        <v>11.055</v>
      </c>
      <c r="G14" s="946">
        <f>'КМУ поликл. прием'!N49</f>
        <v>0.16400086094796795</v>
      </c>
      <c r="H14" s="946">
        <f>'КМУ поликл. прием'!S49</f>
        <v>0.20857139377847089</v>
      </c>
      <c r="I14" s="946">
        <f>'КМУ поликл. прием'!Y49</f>
        <v>8.6978382876862383</v>
      </c>
      <c r="J14" s="946">
        <f>'КМУ поликл. прием'!Z49</f>
        <v>109.25204224183659</v>
      </c>
      <c r="K14" s="946">
        <f t="shared" si="0"/>
        <v>184.58210457748044</v>
      </c>
      <c r="L14" s="696">
        <f t="shared" si="3"/>
        <v>9.2291052288740225</v>
      </c>
      <c r="M14" s="864">
        <f t="shared" si="1"/>
        <v>193.81120980635447</v>
      </c>
      <c r="N14" s="867"/>
      <c r="O14" s="948">
        <v>184</v>
      </c>
      <c r="P14" s="866"/>
      <c r="Q14" s="947">
        <f t="shared" si="4"/>
        <v>9.8112098063544693</v>
      </c>
      <c r="R14" s="868">
        <f t="shared" si="5"/>
        <v>105.33217924258396</v>
      </c>
    </row>
    <row r="15" spans="1:18" ht="12.75" customHeight="1" x14ac:dyDescent="0.3">
      <c r="A15" s="691" t="s">
        <v>2052</v>
      </c>
      <c r="B15" s="691" t="s">
        <v>2052</v>
      </c>
      <c r="C15" s="692" t="s">
        <v>1734</v>
      </c>
      <c r="D15" s="946">
        <f>'КМУ поликл. прием'!C59</f>
        <v>29.106812851562065</v>
      </c>
      <c r="E15" s="946">
        <f t="shared" si="2"/>
        <v>5.8795761960155364</v>
      </c>
      <c r="F15" s="946">
        <f>'КМУ поликл. прием'!I59</f>
        <v>11.055</v>
      </c>
      <c r="G15" s="946">
        <f>'КМУ поликл. прием'!N59</f>
        <v>8.2000430473983976E-2</v>
      </c>
      <c r="H15" s="946">
        <f>'КМУ поликл. прием'!S59</f>
        <v>0.10428569688923545</v>
      </c>
      <c r="I15" s="946">
        <f>'КМУ поликл. прием'!Y59</f>
        <v>4.3489191438431192</v>
      </c>
      <c r="J15" s="946">
        <f>'КМУ поликл. прием'!Z59</f>
        <v>65.759065476757286</v>
      </c>
      <c r="K15" s="946">
        <f t="shared" si="0"/>
        <v>111.98674065169811</v>
      </c>
      <c r="L15" s="696">
        <f t="shared" si="3"/>
        <v>5.5993370325849057</v>
      </c>
      <c r="M15" s="864">
        <f t="shared" si="1"/>
        <v>117.58607768428303</v>
      </c>
      <c r="N15" s="867"/>
      <c r="O15" s="948">
        <v>111</v>
      </c>
      <c r="P15" s="866"/>
      <c r="Q15" s="947">
        <f t="shared" si="4"/>
        <v>6.5860776842830262</v>
      </c>
      <c r="R15" s="868">
        <f t="shared" si="5"/>
        <v>105.93340331917389</v>
      </c>
    </row>
    <row r="16" spans="1:18" ht="12.75" customHeight="1" x14ac:dyDescent="0.3">
      <c r="A16" s="691" t="s">
        <v>2051</v>
      </c>
      <c r="B16" s="691" t="s">
        <v>2051</v>
      </c>
      <c r="C16" s="692" t="s">
        <v>912</v>
      </c>
      <c r="D16" s="946">
        <f>'КМУ поликл. прием'!C69</f>
        <v>79.745203927933503</v>
      </c>
      <c r="E16" s="946">
        <f t="shared" si="2"/>
        <v>16.108531193442566</v>
      </c>
      <c r="F16" s="946">
        <f>'КМУ поликл. прием'!I69</f>
        <v>11.055</v>
      </c>
      <c r="G16" s="946">
        <f>'КМУ поликл. прием'!N69</f>
        <v>0.24600129142195196</v>
      </c>
      <c r="H16" s="946">
        <f>'КМУ поликл. прием'!S69</f>
        <v>0.31285709066770634</v>
      </c>
      <c r="I16" s="946">
        <f>'КМУ поликл. прием'!Y69</f>
        <v>13.046757431529358</v>
      </c>
      <c r="J16" s="946">
        <f>'КМУ поликл. прием'!Z69</f>
        <v>156.69127589083175</v>
      </c>
      <c r="K16" s="946">
        <f t="shared" si="0"/>
        <v>264.15886939429748</v>
      </c>
      <c r="L16" s="696">
        <f t="shared" si="3"/>
        <v>13.207943469714875</v>
      </c>
      <c r="M16" s="864">
        <f t="shared" si="1"/>
        <v>277.36681286401233</v>
      </c>
      <c r="N16" s="867"/>
      <c r="O16" s="948">
        <v>257</v>
      </c>
      <c r="P16" s="866"/>
      <c r="Q16" s="947">
        <f t="shared" si="4"/>
        <v>20.366812864012331</v>
      </c>
      <c r="R16" s="868">
        <f t="shared" si="5"/>
        <v>107.92482990817601</v>
      </c>
    </row>
    <row r="17" spans="1:18" ht="12.75" customHeight="1" x14ac:dyDescent="0.3">
      <c r="A17" s="691" t="s">
        <v>1957</v>
      </c>
      <c r="B17" s="691" t="s">
        <v>1957</v>
      </c>
      <c r="C17" s="692" t="s">
        <v>1736</v>
      </c>
      <c r="D17" s="946">
        <f>'КМУ поликл. прием'!C272</f>
        <v>106.32693857057801</v>
      </c>
      <c r="E17" s="946">
        <f t="shared" si="2"/>
        <v>21.478041591256755</v>
      </c>
      <c r="F17" s="946">
        <f>'КМУ поликл. прием'!I272</f>
        <v>11.055</v>
      </c>
      <c r="G17" s="946">
        <f>'КМУ поликл. прием'!N272</f>
        <v>0.3280017218959359</v>
      </c>
      <c r="H17" s="946">
        <f>'КМУ поликл. прием'!S272</f>
        <v>0.41714278755694179</v>
      </c>
      <c r="I17" s="946">
        <f>'КМУ поликл. прием'!Y272</f>
        <v>17.395676575372477</v>
      </c>
      <c r="J17" s="946">
        <f>'КМУ поликл. прием'!Z272</f>
        <v>204.13050953982687</v>
      </c>
      <c r="K17" s="946">
        <f t="shared" si="0"/>
        <v>343.73563421111453</v>
      </c>
      <c r="L17" s="696">
        <f t="shared" si="3"/>
        <v>17.186781710555728</v>
      </c>
      <c r="M17" s="864">
        <f t="shared" si="1"/>
        <v>360.92241592167028</v>
      </c>
      <c r="N17" s="867"/>
      <c r="O17" s="948">
        <v>331</v>
      </c>
      <c r="P17" s="866"/>
      <c r="Q17" s="947">
        <f t="shared" si="4"/>
        <v>29.922415921670279</v>
      </c>
      <c r="R17" s="868">
        <f t="shared" si="5"/>
        <v>109.04000481017229</v>
      </c>
    </row>
    <row r="18" spans="1:18" ht="12.75" customHeight="1" x14ac:dyDescent="0.3">
      <c r="A18" s="691"/>
      <c r="B18" s="689"/>
      <c r="C18" s="692"/>
      <c r="D18" s="946"/>
      <c r="E18" s="946"/>
      <c r="F18" s="949"/>
      <c r="G18" s="949"/>
      <c r="H18" s="949"/>
      <c r="I18" s="949"/>
      <c r="J18" s="946"/>
      <c r="K18" s="946"/>
      <c r="L18" s="696"/>
      <c r="M18" s="864"/>
      <c r="N18" s="867"/>
      <c r="O18" s="867"/>
      <c r="P18" s="866"/>
      <c r="Q18" s="947"/>
      <c r="R18" s="868"/>
    </row>
    <row r="19" spans="1:18" ht="12.75" customHeight="1" x14ac:dyDescent="0.3">
      <c r="A19" s="691" t="s">
        <v>2002</v>
      </c>
      <c r="B19" s="691" t="s">
        <v>2002</v>
      </c>
      <c r="C19" s="692" t="s">
        <v>1737</v>
      </c>
      <c r="D19" s="946">
        <f>'КМУ поликл. прием'!C80</f>
        <v>58.479816213817912</v>
      </c>
      <c r="E19" s="946">
        <f t="shared" si="2"/>
        <v>11.812922875191218</v>
      </c>
      <c r="F19" s="946">
        <f>'КМУ поликл. прием'!I80</f>
        <v>11.055</v>
      </c>
      <c r="G19" s="946">
        <f>'КМУ поликл. прием'!N80</f>
        <v>0.18040094704276477</v>
      </c>
      <c r="H19" s="946">
        <f>'КМУ поликл. прием'!S80</f>
        <v>0.229428533156318</v>
      </c>
      <c r="I19" s="946">
        <f>'КМУ поликл. прием'!Y80</f>
        <v>9.5676221164548636</v>
      </c>
      <c r="J19" s="946">
        <f>'КМУ поликл. прием'!Z80</f>
        <v>118.73988897163568</v>
      </c>
      <c r="K19" s="946">
        <f t="shared" ref="K19:K26" si="6">J19+H19+G19+F19+E19+D19</f>
        <v>200.4974575408439</v>
      </c>
      <c r="L19" s="696">
        <f>K19*5%</f>
        <v>10.024872877042196</v>
      </c>
      <c r="M19" s="864">
        <f t="shared" ref="M19:M26" si="7">K19+L19</f>
        <v>210.52233041788608</v>
      </c>
      <c r="N19" s="867"/>
      <c r="O19" s="867">
        <v>198</v>
      </c>
      <c r="P19" s="866"/>
      <c r="Q19" s="947">
        <f t="shared" si="4"/>
        <v>12.522330417886081</v>
      </c>
      <c r="R19" s="868">
        <f t="shared" si="5"/>
        <v>106.32440930196267</v>
      </c>
    </row>
    <row r="20" spans="1:18" ht="12.75" customHeight="1" x14ac:dyDescent="0.3">
      <c r="A20" s="691" t="s">
        <v>1955</v>
      </c>
      <c r="B20" s="691" t="s">
        <v>1955</v>
      </c>
      <c r="C20" s="692" t="s">
        <v>1738</v>
      </c>
      <c r="D20" s="946">
        <f>'КМУ поликл. прием'!C90</f>
        <v>58.479816213817912</v>
      </c>
      <c r="E20" s="946">
        <f t="shared" si="2"/>
        <v>11.812922875191218</v>
      </c>
      <c r="F20" s="946">
        <f>'КМУ поликл. прием'!I90</f>
        <v>11.055</v>
      </c>
      <c r="G20" s="946">
        <f>'КМУ поликл. прием'!N90</f>
        <v>0.18040094704276477</v>
      </c>
      <c r="H20" s="946">
        <f>'КМУ поликл. прием'!S90</f>
        <v>0.229428533156318</v>
      </c>
      <c r="I20" s="946">
        <f>'КМУ поликл. прием'!Y90</f>
        <v>9.5676221164548636</v>
      </c>
      <c r="J20" s="946">
        <f>'КМУ поликл. прием'!Z90</f>
        <v>118.73988897163568</v>
      </c>
      <c r="K20" s="946">
        <f t="shared" si="6"/>
        <v>200.4974575408439</v>
      </c>
      <c r="L20" s="696">
        <f t="shared" ref="L20:L26" si="8">K20*5%</f>
        <v>10.024872877042196</v>
      </c>
      <c r="M20" s="864">
        <f t="shared" si="7"/>
        <v>210.52233041788608</v>
      </c>
      <c r="N20" s="867"/>
      <c r="O20" s="867">
        <v>198</v>
      </c>
      <c r="P20" s="866"/>
      <c r="Q20" s="947">
        <f t="shared" si="4"/>
        <v>12.522330417886081</v>
      </c>
      <c r="R20" s="868">
        <f t="shared" si="5"/>
        <v>106.32440930196267</v>
      </c>
    </row>
    <row r="21" spans="1:18" ht="12.75" customHeight="1" x14ac:dyDescent="0.3">
      <c r="A21" s="691" t="s">
        <v>1946</v>
      </c>
      <c r="B21" s="691" t="s">
        <v>1946</v>
      </c>
      <c r="C21" s="692" t="s">
        <v>898</v>
      </c>
      <c r="D21" s="946">
        <f>'КМУ поликл. прием'!C100</f>
        <v>53.163469285289004</v>
      </c>
      <c r="E21" s="946">
        <f t="shared" si="2"/>
        <v>10.739020795628377</v>
      </c>
      <c r="F21" s="946">
        <f>'КМУ поликл. прием'!I100</f>
        <v>11.055</v>
      </c>
      <c r="G21" s="946">
        <f>'КМУ поликл. прием'!N100</f>
        <v>0.16400086094796795</v>
      </c>
      <c r="H21" s="946">
        <f>'КМУ поликл. прием'!S100</f>
        <v>0.20857139377847089</v>
      </c>
      <c r="I21" s="946">
        <f>'КМУ поликл. прием'!Y100</f>
        <v>8.6978382876862383</v>
      </c>
      <c r="J21" s="946">
        <f>'КМУ поликл. прием'!Z100</f>
        <v>109.25204224183659</v>
      </c>
      <c r="K21" s="946">
        <f t="shared" si="6"/>
        <v>184.58210457748044</v>
      </c>
      <c r="L21" s="696">
        <f>K21*7%</f>
        <v>12.920747320423631</v>
      </c>
      <c r="M21" s="864">
        <f t="shared" si="7"/>
        <v>197.50285189790407</v>
      </c>
      <c r="N21" s="867"/>
      <c r="O21" s="867">
        <v>183</v>
      </c>
      <c r="P21" s="866"/>
      <c r="Q21" s="947">
        <f t="shared" si="4"/>
        <v>14.502851897904065</v>
      </c>
      <c r="R21" s="868">
        <f t="shared" si="5"/>
        <v>107.9250556819148</v>
      </c>
    </row>
    <row r="22" spans="1:18" ht="12.75" customHeight="1" x14ac:dyDescent="0.3">
      <c r="A22" s="691" t="s">
        <v>1952</v>
      </c>
      <c r="B22" s="691" t="s">
        <v>1952</v>
      </c>
      <c r="C22" s="692" t="s">
        <v>902</v>
      </c>
      <c r="D22" s="946">
        <f>'КМУ поликл. прием'!C110</f>
        <v>85.061550856462404</v>
      </c>
      <c r="E22" s="946">
        <f t="shared" si="2"/>
        <v>17.182433273005405</v>
      </c>
      <c r="F22" s="946">
        <f>'КМУ поликл. прием'!I110</f>
        <v>11.055</v>
      </c>
      <c r="G22" s="946">
        <f>'КМУ поликл. прием'!N110</f>
        <v>0.26240137751674875</v>
      </c>
      <c r="H22" s="946">
        <f>'КМУ поликл. прием'!S110</f>
        <v>0.33371423004555345</v>
      </c>
      <c r="I22" s="946">
        <f>'КМУ поликл. прием'!Y110</f>
        <v>13.916541260297983</v>
      </c>
      <c r="J22" s="946">
        <f>'КМУ поликл. прием'!Z110</f>
        <v>166.17912262063081</v>
      </c>
      <c r="K22" s="946">
        <f t="shared" si="6"/>
        <v>280.07422235766091</v>
      </c>
      <c r="L22" s="696">
        <f t="shared" si="8"/>
        <v>14.003711117883046</v>
      </c>
      <c r="M22" s="864">
        <f t="shared" si="7"/>
        <v>294.07793347554394</v>
      </c>
      <c r="N22" s="867"/>
      <c r="O22" s="867">
        <v>272</v>
      </c>
      <c r="P22" s="866"/>
      <c r="Q22" s="947">
        <f t="shared" si="4"/>
        <v>22.077933475543944</v>
      </c>
      <c r="R22" s="868">
        <f t="shared" si="5"/>
        <v>108.11688730718527</v>
      </c>
    </row>
    <row r="23" spans="1:18" ht="12.75" customHeight="1" x14ac:dyDescent="0.3">
      <c r="A23" s="691" t="s">
        <v>1949</v>
      </c>
      <c r="B23" s="691" t="s">
        <v>1949</v>
      </c>
      <c r="C23" s="692" t="s">
        <v>905</v>
      </c>
      <c r="D23" s="946">
        <f>'КМУ поликл. прием'!C120</f>
        <v>31.8980815711734</v>
      </c>
      <c r="E23" s="946">
        <f t="shared" si="2"/>
        <v>6.4434124773770263</v>
      </c>
      <c r="F23" s="946">
        <f>'КМУ поликл. прием'!I120</f>
        <v>11.055</v>
      </c>
      <c r="G23" s="946">
        <f>'КМУ поликл. прием'!N120</f>
        <v>9.840051656878078E-2</v>
      </c>
      <c r="H23" s="946">
        <f>'КМУ поликл. прием'!S120</f>
        <v>0.1251428362670825</v>
      </c>
      <c r="I23" s="946">
        <f>'КМУ поликл. прием'!Y120</f>
        <v>5.2187029726117427</v>
      </c>
      <c r="J23" s="946">
        <f>'КМУ поликл. прием'!Z120</f>
        <v>71.30065532264048</v>
      </c>
      <c r="K23" s="946">
        <f t="shared" si="6"/>
        <v>120.92069272402679</v>
      </c>
      <c r="L23" s="696">
        <f t="shared" si="8"/>
        <v>6.0460346362013402</v>
      </c>
      <c r="M23" s="864">
        <f t="shared" si="7"/>
        <v>126.96672736022813</v>
      </c>
      <c r="N23" s="867"/>
      <c r="O23" s="867">
        <v>124</v>
      </c>
      <c r="P23" s="866"/>
      <c r="Q23" s="947">
        <f t="shared" si="4"/>
        <v>2.9667273602281341</v>
      </c>
      <c r="R23" s="868">
        <f t="shared" si="5"/>
        <v>102.3925220647001</v>
      </c>
    </row>
    <row r="24" spans="1:18" ht="12.75" customHeight="1" x14ac:dyDescent="0.3">
      <c r="A24" s="691" t="s">
        <v>2053</v>
      </c>
      <c r="B24" s="691" t="s">
        <v>2053</v>
      </c>
      <c r="C24" s="692" t="s">
        <v>910</v>
      </c>
      <c r="D24" s="946">
        <f>'КМУ поликл. прием'!C130</f>
        <v>23.285450281249652</v>
      </c>
      <c r="E24" s="946">
        <f t="shared" si="2"/>
        <v>4.7036609568124295</v>
      </c>
      <c r="F24" s="946">
        <f>'КМУ поликл. прием'!I130</f>
        <v>11.055</v>
      </c>
      <c r="G24" s="946">
        <f>'КМУ поликл. прием'!N130</f>
        <v>6.5600344379187187E-2</v>
      </c>
      <c r="H24" s="946">
        <f>'КМУ поликл. прием'!S130</f>
        <v>8.3428557511388363E-2</v>
      </c>
      <c r="I24" s="946">
        <f>'КМУ поликл. прием'!Y130</f>
        <v>3.4791353150744957</v>
      </c>
      <c r="J24" s="946">
        <f>'КМУ поликл. прием'!Z130</f>
        <v>55.481967370175092</v>
      </c>
      <c r="K24" s="946">
        <f t="shared" si="6"/>
        <v>94.675107510127745</v>
      </c>
      <c r="L24" s="696">
        <f>K24*7%</f>
        <v>6.6272575257089432</v>
      </c>
      <c r="M24" s="864">
        <f t="shared" si="7"/>
        <v>101.30236503583669</v>
      </c>
      <c r="N24" s="867"/>
      <c r="O24" s="867">
        <v>96</v>
      </c>
      <c r="P24" s="866"/>
      <c r="Q24" s="947">
        <f t="shared" si="4"/>
        <v>5.3023650358366865</v>
      </c>
      <c r="R24" s="868">
        <f t="shared" si="5"/>
        <v>105.52329691232988</v>
      </c>
    </row>
    <row r="25" spans="1:18" ht="12.75" customHeight="1" x14ac:dyDescent="0.3">
      <c r="A25" s="691" t="s">
        <v>2054</v>
      </c>
      <c r="B25" s="691" t="s">
        <v>2054</v>
      </c>
      <c r="C25" s="692" t="s">
        <v>914</v>
      </c>
      <c r="D25" s="946">
        <f>'КМУ поликл. прием'!C140</f>
        <v>53.163469285289004</v>
      </c>
      <c r="E25" s="946">
        <f t="shared" si="2"/>
        <v>10.739020795628377</v>
      </c>
      <c r="F25" s="946">
        <f>'КМУ поликл. прием'!I140</f>
        <v>11.055</v>
      </c>
      <c r="G25" s="946">
        <f>'КМУ поликл. прием'!N140</f>
        <v>0.16400086094796795</v>
      </c>
      <c r="H25" s="946">
        <f>'КМУ поликл. прием'!S140</f>
        <v>0.20857139377847089</v>
      </c>
      <c r="I25" s="946">
        <f>'КМУ поликл. прием'!Y140</f>
        <v>8.6978382876862383</v>
      </c>
      <c r="J25" s="946">
        <f>'КМУ поликл. прием'!Z140</f>
        <v>109.25204224183659</v>
      </c>
      <c r="K25" s="946">
        <f t="shared" si="6"/>
        <v>184.58210457748044</v>
      </c>
      <c r="L25" s="696">
        <f t="shared" si="8"/>
        <v>9.2291052288740225</v>
      </c>
      <c r="M25" s="864">
        <f t="shared" si="7"/>
        <v>193.81120980635447</v>
      </c>
      <c r="N25" s="867"/>
      <c r="O25" s="867">
        <v>183</v>
      </c>
      <c r="P25" s="866"/>
      <c r="Q25" s="947">
        <f t="shared" si="4"/>
        <v>10.811209806354469</v>
      </c>
      <c r="R25" s="868">
        <f t="shared" si="5"/>
        <v>105.90776492150518</v>
      </c>
    </row>
    <row r="26" spans="1:18" ht="12.75" customHeight="1" x14ac:dyDescent="0.3">
      <c r="A26" s="691" t="s">
        <v>1958</v>
      </c>
      <c r="B26" s="691" t="s">
        <v>1958</v>
      </c>
      <c r="C26" s="692" t="s">
        <v>1740</v>
      </c>
      <c r="D26" s="946">
        <f>'КМУ поликл. прием'!C282</f>
        <v>143.54136707028033</v>
      </c>
      <c r="E26" s="946">
        <f t="shared" si="2"/>
        <v>28.995356148196624</v>
      </c>
      <c r="F26" s="946">
        <f>'КМУ поликл. прием'!I282</f>
        <v>11.055</v>
      </c>
      <c r="G26" s="946">
        <f>'КМУ поликл. прием'!N282</f>
        <v>0.44280232455951357</v>
      </c>
      <c r="H26" s="946">
        <f>'КМУ поликл. прием'!S282</f>
        <v>0.5631427632018714</v>
      </c>
      <c r="I26" s="946">
        <f>'КМУ поликл. прием'!Y282</f>
        <v>23.484163376752846</v>
      </c>
      <c r="J26" s="946">
        <f>'КМУ поликл. прием'!Z282</f>
        <v>270.54543664842015</v>
      </c>
      <c r="K26" s="946">
        <f t="shared" si="6"/>
        <v>455.1431049546585</v>
      </c>
      <c r="L26" s="696">
        <f t="shared" si="8"/>
        <v>22.757155247732925</v>
      </c>
      <c r="M26" s="864">
        <f t="shared" si="7"/>
        <v>477.90026020239145</v>
      </c>
      <c r="N26" s="867"/>
      <c r="O26" s="867">
        <v>435</v>
      </c>
      <c r="P26" s="866"/>
      <c r="Q26" s="947">
        <f t="shared" si="4"/>
        <v>42.900260202391451</v>
      </c>
      <c r="R26" s="868">
        <f t="shared" si="5"/>
        <v>109.86212878215895</v>
      </c>
    </row>
    <row r="27" spans="1:18" ht="12.75" customHeight="1" x14ac:dyDescent="0.3">
      <c r="A27" s="691"/>
      <c r="B27" s="689"/>
      <c r="C27" s="692"/>
      <c r="D27" s="946"/>
      <c r="E27" s="946"/>
      <c r="F27" s="949"/>
      <c r="G27" s="949"/>
      <c r="H27" s="949"/>
      <c r="I27" s="949"/>
      <c r="J27" s="946"/>
      <c r="K27" s="946"/>
      <c r="L27" s="696"/>
      <c r="M27" s="864"/>
      <c r="N27" s="867"/>
      <c r="O27" s="867"/>
      <c r="P27" s="866"/>
      <c r="Q27" s="947"/>
      <c r="R27" s="868"/>
    </row>
    <row r="28" spans="1:18" ht="12.75" customHeight="1" x14ac:dyDescent="0.3">
      <c r="A28" s="691" t="s">
        <v>2003</v>
      </c>
      <c r="B28" s="691" t="s">
        <v>2003</v>
      </c>
      <c r="C28" s="692" t="s">
        <v>1741</v>
      </c>
      <c r="D28" s="946">
        <f>'КМУ поликл. прием'!C151</f>
        <v>53.163469285289004</v>
      </c>
      <c r="E28" s="946">
        <f t="shared" si="2"/>
        <v>10.739020795628377</v>
      </c>
      <c r="F28" s="946">
        <f>'КМУ поликл. прием'!I151</f>
        <v>11.055</v>
      </c>
      <c r="G28" s="946">
        <f>'КМУ поликл. прием'!N151</f>
        <v>0.16400086094796795</v>
      </c>
      <c r="H28" s="946">
        <f>'КМУ поликл. прием'!S151</f>
        <v>0.20857139377847089</v>
      </c>
      <c r="I28" s="946">
        <f>'КМУ поликл. прием'!Y151</f>
        <v>8.6978382876862383</v>
      </c>
      <c r="J28" s="946">
        <f>'КМУ поликл. прием'!Z151</f>
        <v>109.25204224183659</v>
      </c>
      <c r="K28" s="946">
        <f t="shared" ref="K28:K34" si="9">J28+H28+G28+F28+E28+D28</f>
        <v>184.58210457748044</v>
      </c>
      <c r="L28" s="696">
        <f>K28*5%</f>
        <v>9.2291052288740225</v>
      </c>
      <c r="M28" s="864">
        <f t="shared" ref="M28:M34" si="10">K28+L28</f>
        <v>193.81120980635447</v>
      </c>
      <c r="N28" s="867"/>
      <c r="O28" s="867">
        <v>184</v>
      </c>
      <c r="P28" s="866"/>
      <c r="Q28" s="947">
        <f t="shared" si="4"/>
        <v>9.8112098063544693</v>
      </c>
      <c r="R28" s="868">
        <f t="shared" si="5"/>
        <v>105.33217924258396</v>
      </c>
    </row>
    <row r="29" spans="1:18" ht="12.75" customHeight="1" x14ac:dyDescent="0.3">
      <c r="A29" s="691" t="s">
        <v>1956</v>
      </c>
      <c r="B29" s="691" t="s">
        <v>1956</v>
      </c>
      <c r="C29" s="692" t="s">
        <v>1742</v>
      </c>
      <c r="D29" s="946">
        <f>'КМУ поликл. прием'!C161</f>
        <v>53.163469285289004</v>
      </c>
      <c r="E29" s="946">
        <f t="shared" si="2"/>
        <v>10.739020795628377</v>
      </c>
      <c r="F29" s="946">
        <f>'КМУ поликл. прием'!I161</f>
        <v>11.055</v>
      </c>
      <c r="G29" s="946">
        <f>'КМУ поликл. прием'!N161</f>
        <v>0.16400086094796795</v>
      </c>
      <c r="H29" s="946">
        <f>'КМУ поликл. прием'!S161</f>
        <v>0.20857139377847089</v>
      </c>
      <c r="I29" s="946">
        <f>'КМУ поликл. прием'!Y161</f>
        <v>8.6978382876862383</v>
      </c>
      <c r="J29" s="946">
        <f>'КМУ поликл. прием'!Z161</f>
        <v>109.25204224183659</v>
      </c>
      <c r="K29" s="946">
        <f t="shared" si="9"/>
        <v>184.58210457748044</v>
      </c>
      <c r="L29" s="696">
        <f t="shared" ref="L29" si="11">K29*5%</f>
        <v>9.2291052288740225</v>
      </c>
      <c r="M29" s="864">
        <f t="shared" si="10"/>
        <v>193.81120980635447</v>
      </c>
      <c r="N29" s="867"/>
      <c r="O29" s="867">
        <v>184</v>
      </c>
      <c r="P29" s="866"/>
      <c r="Q29" s="947">
        <f t="shared" si="4"/>
        <v>9.8112098063544693</v>
      </c>
      <c r="R29" s="868">
        <f t="shared" si="5"/>
        <v>105.33217924258396</v>
      </c>
    </row>
    <row r="30" spans="1:18" ht="12.75" customHeight="1" x14ac:dyDescent="0.3">
      <c r="A30" s="691" t="s">
        <v>1947</v>
      </c>
      <c r="B30" s="691" t="s">
        <v>1947</v>
      </c>
      <c r="C30" s="692" t="s">
        <v>1743</v>
      </c>
      <c r="D30" s="946">
        <f>'КМУ поликл. прием'!C171</f>
        <v>42.530775428231202</v>
      </c>
      <c r="E30" s="946">
        <f t="shared" si="2"/>
        <v>8.5912166365027023</v>
      </c>
      <c r="F30" s="946">
        <f>'КМУ поликл. прием'!I171</f>
        <v>11.055</v>
      </c>
      <c r="G30" s="946">
        <f>'КМУ поликл. прием'!N171</f>
        <v>0.13120068875837437</v>
      </c>
      <c r="H30" s="946">
        <f>'КМУ поликл. прием'!S171</f>
        <v>0.16685711502277673</v>
      </c>
      <c r="I30" s="946">
        <f>'КМУ поликл. прием'!Y171</f>
        <v>6.9582706301489914</v>
      </c>
      <c r="J30" s="946">
        <f>'КМУ поликл. прием'!Z171</f>
        <v>90.276348782238543</v>
      </c>
      <c r="K30" s="946">
        <f t="shared" si="9"/>
        <v>152.7513986507536</v>
      </c>
      <c r="L30" s="696">
        <f>K30*7%</f>
        <v>10.692597905552754</v>
      </c>
      <c r="M30" s="864">
        <f t="shared" si="10"/>
        <v>163.44399655630636</v>
      </c>
      <c r="N30" s="867"/>
      <c r="O30" s="867">
        <v>153</v>
      </c>
      <c r="P30" s="866"/>
      <c r="Q30" s="947">
        <f t="shared" si="4"/>
        <v>10.443996556306359</v>
      </c>
      <c r="R30" s="868">
        <f t="shared" si="5"/>
        <v>106.82614154006951</v>
      </c>
    </row>
    <row r="31" spans="1:18" ht="12.75" customHeight="1" x14ac:dyDescent="0.3">
      <c r="A31" s="691" t="s">
        <v>1953</v>
      </c>
      <c r="B31" s="691" t="s">
        <v>1953</v>
      </c>
      <c r="C31" s="692" t="s">
        <v>926</v>
      </c>
      <c r="D31" s="946">
        <f>'КМУ поликл. прием'!C181</f>
        <v>31.8980815711734</v>
      </c>
      <c r="E31" s="946">
        <f t="shared" si="2"/>
        <v>6.4434124773770263</v>
      </c>
      <c r="F31" s="946">
        <f>'КМУ поликл. прием'!I181</f>
        <v>11.055</v>
      </c>
      <c r="G31" s="946">
        <f>'КМУ поликл. прием'!N181</f>
        <v>9.840051656878078E-2</v>
      </c>
      <c r="H31" s="946">
        <f>'КМУ поликл. прием'!S181</f>
        <v>0.1251428362670825</v>
      </c>
      <c r="I31" s="946">
        <f>'КМУ поликл. прием'!Y181</f>
        <v>5.2187029726117427</v>
      </c>
      <c r="J31" s="946">
        <f>'КМУ поликл. прием'!Z181</f>
        <v>71.30065532264048</v>
      </c>
      <c r="K31" s="946">
        <f t="shared" si="9"/>
        <v>120.92069272402679</v>
      </c>
      <c r="L31" s="696">
        <f t="shared" ref="L31:L33" si="12">K31*7%</f>
        <v>8.4644484906818764</v>
      </c>
      <c r="M31" s="864">
        <f t="shared" si="10"/>
        <v>129.38514121470868</v>
      </c>
      <c r="N31" s="867"/>
      <c r="O31" s="867">
        <v>124</v>
      </c>
      <c r="P31" s="866"/>
      <c r="Q31" s="947">
        <f t="shared" si="4"/>
        <v>5.3851412147086819</v>
      </c>
      <c r="R31" s="868">
        <f t="shared" si="5"/>
        <v>104.34285581831347</v>
      </c>
    </row>
    <row r="32" spans="1:18" ht="12.75" customHeight="1" x14ac:dyDescent="0.3">
      <c r="A32" s="691" t="s">
        <v>1950</v>
      </c>
      <c r="B32" s="691" t="s">
        <v>1950</v>
      </c>
      <c r="C32" s="692" t="s">
        <v>922</v>
      </c>
      <c r="D32" s="946">
        <f>'КМУ поликл. прием'!C191</f>
        <v>31.8980815711734</v>
      </c>
      <c r="E32" s="946">
        <f t="shared" si="2"/>
        <v>6.4434124773770263</v>
      </c>
      <c r="F32" s="946">
        <f>'КМУ поликл. прием'!I191</f>
        <v>11.055</v>
      </c>
      <c r="G32" s="946">
        <f>'КМУ поликл. прием'!N191</f>
        <v>9.840051656878078E-2</v>
      </c>
      <c r="H32" s="946">
        <f>'КМУ поликл. прием'!S191</f>
        <v>0.1251428362670825</v>
      </c>
      <c r="I32" s="946">
        <f>'КМУ поликл. прием'!Y191</f>
        <v>5.2187029726117427</v>
      </c>
      <c r="J32" s="946">
        <f>'КМУ поликл. прием'!Z191</f>
        <v>71.30065532264048</v>
      </c>
      <c r="K32" s="946">
        <f t="shared" si="9"/>
        <v>120.92069272402679</v>
      </c>
      <c r="L32" s="696">
        <f t="shared" si="12"/>
        <v>8.4644484906818764</v>
      </c>
      <c r="M32" s="864">
        <f t="shared" si="10"/>
        <v>129.38514121470868</v>
      </c>
      <c r="N32" s="867"/>
      <c r="O32" s="867">
        <v>124</v>
      </c>
      <c r="P32" s="866"/>
      <c r="Q32" s="947">
        <f t="shared" si="4"/>
        <v>5.3851412147086819</v>
      </c>
      <c r="R32" s="868">
        <f t="shared" si="5"/>
        <v>104.34285581831347</v>
      </c>
    </row>
    <row r="33" spans="1:18" ht="12.75" customHeight="1" x14ac:dyDescent="0.3">
      <c r="A33" s="691" t="s">
        <v>2055</v>
      </c>
      <c r="B33" s="691" t="s">
        <v>2055</v>
      </c>
      <c r="C33" s="692" t="s">
        <v>1744</v>
      </c>
      <c r="D33" s="946">
        <f>'КМУ поликл. прием'!C201</f>
        <v>29.106812851562065</v>
      </c>
      <c r="E33" s="946">
        <f t="shared" si="2"/>
        <v>5.8795761960155364</v>
      </c>
      <c r="F33" s="946">
        <f>'КМУ поликл. прием'!I201</f>
        <v>11.055</v>
      </c>
      <c r="G33" s="946">
        <f>'КМУ поликл. прием'!N201</f>
        <v>8.2000430473983976E-2</v>
      </c>
      <c r="H33" s="946">
        <f>'КМУ поликл. прием'!S201</f>
        <v>0.10428569688923545</v>
      </c>
      <c r="I33" s="946">
        <f>'КМУ поликл. прием'!Y201</f>
        <v>4.3489191438431192</v>
      </c>
      <c r="J33" s="946">
        <f>'КМУ поликл. прием'!Z201</f>
        <v>65.759065476757286</v>
      </c>
      <c r="K33" s="946">
        <f t="shared" si="9"/>
        <v>111.98674065169811</v>
      </c>
      <c r="L33" s="696">
        <f t="shared" si="12"/>
        <v>7.8390718456188688</v>
      </c>
      <c r="M33" s="864">
        <f t="shared" si="10"/>
        <v>119.82581249731699</v>
      </c>
      <c r="N33" s="867"/>
      <c r="O33" s="867">
        <v>111</v>
      </c>
      <c r="P33" s="866"/>
      <c r="Q33" s="947">
        <f t="shared" si="4"/>
        <v>8.8258124973169885</v>
      </c>
      <c r="R33" s="868">
        <f t="shared" si="5"/>
        <v>107.95118243001531</v>
      </c>
    </row>
    <row r="34" spans="1:18" ht="12.75" customHeight="1" x14ac:dyDescent="0.3">
      <c r="A34" s="950" t="s">
        <v>1959</v>
      </c>
      <c r="B34" s="950" t="s">
        <v>1959</v>
      </c>
      <c r="C34" s="692" t="s">
        <v>1746</v>
      </c>
      <c r="D34" s="946">
        <f>'КМУ поликл. прием'!C292</f>
        <v>53.163469285289004</v>
      </c>
      <c r="E34" s="946">
        <f t="shared" si="2"/>
        <v>10.739020795628377</v>
      </c>
      <c r="F34" s="946">
        <f>'КМУ поликл. прием'!I292</f>
        <v>11.055</v>
      </c>
      <c r="G34" s="946">
        <f>'КМУ поликл. прием'!N292</f>
        <v>0.16400086094796795</v>
      </c>
      <c r="H34" s="946">
        <f>'КМУ поликл. прием'!S292</f>
        <v>0.20857139377847089</v>
      </c>
      <c r="I34" s="946">
        <f>'КМУ поликл. прием'!Y292</f>
        <v>8.6978382876862383</v>
      </c>
      <c r="J34" s="946">
        <f>'КМУ поликл. прием'!Z292</f>
        <v>109.25204224183659</v>
      </c>
      <c r="K34" s="946">
        <f t="shared" si="9"/>
        <v>184.58210457748044</v>
      </c>
      <c r="L34" s="696">
        <f>K34*7%</f>
        <v>12.920747320423631</v>
      </c>
      <c r="M34" s="864">
        <f t="shared" si="10"/>
        <v>197.50285189790407</v>
      </c>
      <c r="N34" s="867"/>
      <c r="O34" s="867">
        <v>183</v>
      </c>
      <c r="P34" s="866"/>
      <c r="Q34" s="947">
        <f t="shared" si="4"/>
        <v>14.502851897904065</v>
      </c>
      <c r="R34" s="868">
        <f t="shared" si="5"/>
        <v>107.9250556819148</v>
      </c>
    </row>
    <row r="35" spans="1:18" ht="12.75" customHeight="1" x14ac:dyDescent="0.3">
      <c r="A35" s="691"/>
      <c r="B35" s="689"/>
      <c r="C35" s="692"/>
      <c r="D35" s="946"/>
      <c r="E35" s="946"/>
      <c r="F35" s="949"/>
      <c r="G35" s="949"/>
      <c r="H35" s="949"/>
      <c r="I35" s="949"/>
      <c r="J35" s="946"/>
      <c r="K35" s="946"/>
      <c r="L35" s="696"/>
      <c r="M35" s="864"/>
      <c r="N35" s="867"/>
      <c r="O35" s="867"/>
      <c r="P35" s="866"/>
      <c r="Q35" s="947"/>
      <c r="R35" s="868"/>
    </row>
    <row r="36" spans="1:18" ht="12.75" customHeight="1" x14ac:dyDescent="0.25">
      <c r="A36" s="693"/>
      <c r="B36" s="693"/>
      <c r="C36" s="693"/>
      <c r="D36" s="697"/>
      <c r="E36" s="696"/>
      <c r="F36" s="697"/>
      <c r="G36" s="697"/>
      <c r="H36" s="697"/>
      <c r="I36" s="696"/>
      <c r="J36" s="696"/>
      <c r="K36" s="696"/>
      <c r="L36" s="696"/>
      <c r="M36" s="864"/>
      <c r="N36" s="867"/>
      <c r="O36" s="867"/>
      <c r="P36" s="866"/>
      <c r="Q36" s="947"/>
      <c r="R36" s="868"/>
    </row>
    <row r="37" spans="1:18" ht="12.75" customHeight="1" x14ac:dyDescent="0.3">
      <c r="A37" s="951" t="s">
        <v>1934</v>
      </c>
      <c r="B37" s="951" t="s">
        <v>1934</v>
      </c>
      <c r="C37" s="692" t="s">
        <v>1933</v>
      </c>
      <c r="D37" s="696">
        <f>медосмотр!C30</f>
        <v>18.900000000000002</v>
      </c>
      <c r="E37" s="696">
        <f t="shared" si="2"/>
        <v>3.8178000000000001</v>
      </c>
      <c r="F37" s="696">
        <f>медосмотр!I30</f>
        <v>3.25</v>
      </c>
      <c r="G37" s="696">
        <f>медосмотр!N30</f>
        <v>0.64987697484841334</v>
      </c>
      <c r="H37" s="696">
        <f>медосмотр!S30</f>
        <v>39.453383245393063</v>
      </c>
      <c r="I37" s="696">
        <f>медосмотр!Y30</f>
        <v>0</v>
      </c>
      <c r="J37" s="696">
        <f>медосмотр!Z30</f>
        <v>26.428424088096591</v>
      </c>
      <c r="K37" s="696">
        <f>D37+E37+F37+I37+G37+H37+J37</f>
        <v>92.499484308338069</v>
      </c>
      <c r="L37" s="863">
        <f>K37*3%</f>
        <v>2.7749845292501418</v>
      </c>
      <c r="M37" s="952">
        <f>K37+L37</f>
        <v>95.274468837588216</v>
      </c>
      <c r="N37" s="867"/>
      <c r="O37" s="867">
        <v>95</v>
      </c>
      <c r="P37" s="866"/>
      <c r="Q37" s="947">
        <f t="shared" si="4"/>
        <v>0.27446883758821627</v>
      </c>
      <c r="R37" s="868">
        <f t="shared" si="5"/>
        <v>100.28891456588234</v>
      </c>
    </row>
    <row r="38" spans="1:18" ht="12.75" customHeight="1" x14ac:dyDescent="0.25">
      <c r="A38" s="951" t="s">
        <v>1936</v>
      </c>
      <c r="B38" s="951" t="s">
        <v>1936</v>
      </c>
      <c r="C38" s="953" t="s">
        <v>1935</v>
      </c>
      <c r="D38" s="696">
        <f>D37</f>
        <v>18.900000000000002</v>
      </c>
      <c r="E38" s="696">
        <f t="shared" ref="E38:M38" si="13">E37</f>
        <v>3.8178000000000001</v>
      </c>
      <c r="F38" s="696">
        <f>F37</f>
        <v>3.25</v>
      </c>
      <c r="G38" s="696">
        <f t="shared" si="13"/>
        <v>0.64987697484841334</v>
      </c>
      <c r="H38" s="696">
        <f t="shared" si="13"/>
        <v>39.453383245393063</v>
      </c>
      <c r="I38" s="696">
        <f t="shared" si="13"/>
        <v>0</v>
      </c>
      <c r="J38" s="696">
        <f t="shared" si="13"/>
        <v>26.428424088096591</v>
      </c>
      <c r="K38" s="696">
        <f t="shared" si="13"/>
        <v>92.499484308338069</v>
      </c>
      <c r="L38" s="696">
        <f t="shared" si="13"/>
        <v>2.7749845292501418</v>
      </c>
      <c r="M38" s="864">
        <f t="shared" si="13"/>
        <v>95.274468837588216</v>
      </c>
      <c r="N38" s="867"/>
      <c r="O38" s="867">
        <v>95</v>
      </c>
      <c r="P38" s="866"/>
      <c r="Q38" s="947">
        <f t="shared" si="4"/>
        <v>0.27446883758821627</v>
      </c>
      <c r="R38" s="868">
        <f t="shared" si="5"/>
        <v>100.28891456588234</v>
      </c>
    </row>
    <row r="39" spans="1:18" ht="12.75" customHeight="1" x14ac:dyDescent="0.25">
      <c r="A39" s="951" t="s">
        <v>1939</v>
      </c>
      <c r="B39" s="951" t="s">
        <v>1939</v>
      </c>
      <c r="C39" s="954" t="s">
        <v>1937</v>
      </c>
      <c r="D39" s="696">
        <f>D37</f>
        <v>18.900000000000002</v>
      </c>
      <c r="E39" s="696">
        <f t="shared" ref="E39:M39" si="14">E37</f>
        <v>3.8178000000000001</v>
      </c>
      <c r="F39" s="696">
        <f t="shared" si="14"/>
        <v>3.25</v>
      </c>
      <c r="G39" s="696">
        <f t="shared" si="14"/>
        <v>0.64987697484841334</v>
      </c>
      <c r="H39" s="696">
        <f>H37</f>
        <v>39.453383245393063</v>
      </c>
      <c r="I39" s="696">
        <f t="shared" si="14"/>
        <v>0</v>
      </c>
      <c r="J39" s="696">
        <f t="shared" si="14"/>
        <v>26.428424088096591</v>
      </c>
      <c r="K39" s="696">
        <f t="shared" si="14"/>
        <v>92.499484308338069</v>
      </c>
      <c r="L39" s="696">
        <f t="shared" si="14"/>
        <v>2.7749845292501418</v>
      </c>
      <c r="M39" s="864">
        <f t="shared" si="14"/>
        <v>95.274468837588216</v>
      </c>
      <c r="N39" s="867"/>
      <c r="O39" s="867">
        <v>95</v>
      </c>
      <c r="P39" s="866"/>
      <c r="Q39" s="947">
        <f t="shared" si="4"/>
        <v>0.27446883758821627</v>
      </c>
      <c r="R39" s="868">
        <f t="shared" si="5"/>
        <v>100.28891456588234</v>
      </c>
    </row>
    <row r="40" spans="1:18" ht="12.75" customHeight="1" x14ac:dyDescent="0.25">
      <c r="A40" s="951" t="s">
        <v>1940</v>
      </c>
      <c r="B40" s="951" t="s">
        <v>1940</v>
      </c>
      <c r="C40" s="954" t="s">
        <v>1938</v>
      </c>
      <c r="D40" s="696">
        <f>D37</f>
        <v>18.900000000000002</v>
      </c>
      <c r="E40" s="696">
        <f t="shared" ref="E40:M40" si="15">E37</f>
        <v>3.8178000000000001</v>
      </c>
      <c r="F40" s="696">
        <f t="shared" si="15"/>
        <v>3.25</v>
      </c>
      <c r="G40" s="696">
        <f t="shared" si="15"/>
        <v>0.64987697484841334</v>
      </c>
      <c r="H40" s="696">
        <f t="shared" si="15"/>
        <v>39.453383245393063</v>
      </c>
      <c r="I40" s="696">
        <f t="shared" si="15"/>
        <v>0</v>
      </c>
      <c r="J40" s="696">
        <f t="shared" si="15"/>
        <v>26.428424088096591</v>
      </c>
      <c r="K40" s="696">
        <f t="shared" si="15"/>
        <v>92.499484308338069</v>
      </c>
      <c r="L40" s="696">
        <f t="shared" si="15"/>
        <v>2.7749845292501418</v>
      </c>
      <c r="M40" s="864">
        <f t="shared" si="15"/>
        <v>95.274468837588216</v>
      </c>
      <c r="N40" s="867"/>
      <c r="O40" s="867">
        <v>95</v>
      </c>
      <c r="P40" s="866"/>
      <c r="Q40" s="947">
        <f t="shared" si="4"/>
        <v>0.27446883758821627</v>
      </c>
      <c r="R40" s="868">
        <f t="shared" si="5"/>
        <v>100.28891456588234</v>
      </c>
    </row>
    <row r="41" spans="1:18" ht="33.75" customHeight="1" x14ac:dyDescent="0.25">
      <c r="A41" s="1177" t="s">
        <v>961</v>
      </c>
      <c r="B41" s="1178"/>
      <c r="C41" s="1179"/>
      <c r="D41" s="696"/>
      <c r="E41" s="696"/>
      <c r="F41" s="697"/>
      <c r="G41" s="697"/>
      <c r="H41" s="697"/>
      <c r="I41" s="696"/>
      <c r="J41" s="696"/>
      <c r="K41" s="696"/>
      <c r="L41" s="696"/>
      <c r="M41" s="864"/>
      <c r="N41" s="867"/>
      <c r="O41" s="867"/>
      <c r="P41" s="866"/>
      <c r="Q41" s="947">
        <f t="shared" si="4"/>
        <v>0</v>
      </c>
      <c r="R41" s="868"/>
    </row>
    <row r="42" spans="1:18" ht="31.5" customHeight="1" x14ac:dyDescent="0.3">
      <c r="A42" s="689" t="s">
        <v>1942</v>
      </c>
      <c r="B42" s="689" t="s">
        <v>1942</v>
      </c>
      <c r="C42" s="692" t="s">
        <v>1941</v>
      </c>
      <c r="D42" s="696">
        <f>медосмотр!C72</f>
        <v>619.70424291092274</v>
      </c>
      <c r="E42" s="696">
        <f>D42*20.2%</f>
        <v>125.18025706800638</v>
      </c>
      <c r="F42" s="696">
        <f>медосмотр!E72</f>
        <v>186.44189999999998</v>
      </c>
      <c r="G42" s="696">
        <f>медосмотр!F72</f>
        <v>1.9927618156213556</v>
      </c>
      <c r="H42" s="696">
        <f>медосмотр!G72</f>
        <v>13.950700101337816</v>
      </c>
      <c r="I42" s="696">
        <f>медосмотр!H72</f>
        <v>86.085425930511931</v>
      </c>
      <c r="J42" s="696">
        <f>медосмотр!I72</f>
        <v>1337.7125174136261</v>
      </c>
      <c r="K42" s="696">
        <f>D42+E42+F42+I42+G42+H42+J42</f>
        <v>2371.0678052400262</v>
      </c>
      <c r="L42" s="863">
        <f>K42*3%</f>
        <v>71.132034157200778</v>
      </c>
      <c r="M42" s="952">
        <f>K42+L42</f>
        <v>2442.1998393972272</v>
      </c>
      <c r="N42" s="867"/>
      <c r="O42" s="867">
        <v>2213</v>
      </c>
      <c r="P42" s="866"/>
      <c r="Q42" s="947">
        <f t="shared" si="4"/>
        <v>229.19983939722715</v>
      </c>
      <c r="R42" s="868">
        <f t="shared" si="5"/>
        <v>110.35697421587109</v>
      </c>
    </row>
    <row r="43" spans="1:18" ht="27" customHeight="1" x14ac:dyDescent="0.3">
      <c r="A43" s="689" t="s">
        <v>1944</v>
      </c>
      <c r="B43" s="689" t="s">
        <v>1944</v>
      </c>
      <c r="C43" s="692" t="s">
        <v>1943</v>
      </c>
      <c r="D43" s="696">
        <f>медосмотр!C90</f>
        <v>619.70424291092274</v>
      </c>
      <c r="E43" s="696">
        <f>медосмотр!D90</f>
        <v>125.18025706800641</v>
      </c>
      <c r="F43" s="696">
        <f>медосмотр!E90</f>
        <v>186.44189999999998</v>
      </c>
      <c r="G43" s="696">
        <f>медосмотр!F90</f>
        <v>1.9927618156213556</v>
      </c>
      <c r="H43" s="696">
        <f>медосмотр!G90</f>
        <v>13.950700101337816</v>
      </c>
      <c r="I43" s="696">
        <f>медосмотр!H90</f>
        <v>86.085425930511931</v>
      </c>
      <c r="J43" s="696">
        <f>медосмотр!I90</f>
        <v>1337.7125174136261</v>
      </c>
      <c r="K43" s="696">
        <f>D43+E43+F43+I43+G43+H43+J43</f>
        <v>2371.0678052400262</v>
      </c>
      <c r="L43" s="863">
        <f>K43*3%</f>
        <v>71.132034157200778</v>
      </c>
      <c r="M43" s="952">
        <f>K43+L43</f>
        <v>2442.1998393972272</v>
      </c>
      <c r="N43" s="867"/>
      <c r="O43" s="867">
        <v>2213</v>
      </c>
      <c r="P43" s="866"/>
      <c r="Q43" s="947">
        <f t="shared" si="4"/>
        <v>229.19983939722715</v>
      </c>
      <c r="R43" s="868">
        <f t="shared" si="5"/>
        <v>110.35697421587109</v>
      </c>
    </row>
    <row r="44" spans="1:18" ht="21.75" customHeight="1" x14ac:dyDescent="0.25">
      <c r="A44" s="1154" t="s">
        <v>605</v>
      </c>
      <c r="B44" s="1154"/>
      <c r="C44" s="1154"/>
      <c r="D44" s="955"/>
      <c r="E44" s="956"/>
      <c r="F44" s="955"/>
      <c r="G44" s="955"/>
      <c r="H44" s="955"/>
      <c r="I44" s="956"/>
      <c r="J44" s="956"/>
      <c r="K44" s="956"/>
      <c r="L44" s="863"/>
      <c r="M44" s="957"/>
      <c r="N44" s="867"/>
      <c r="O44" s="867"/>
      <c r="P44" s="866"/>
      <c r="Q44" s="947">
        <f t="shared" si="4"/>
        <v>0</v>
      </c>
      <c r="R44" s="868"/>
    </row>
    <row r="45" spans="1:18" ht="15.6" x14ac:dyDescent="0.3">
      <c r="A45" s="694" t="s">
        <v>2042</v>
      </c>
      <c r="B45" s="694" t="s">
        <v>2042</v>
      </c>
      <c r="C45" s="695" t="s">
        <v>2041</v>
      </c>
      <c r="D45" s="696">
        <f>'КМУ параклиника '!C211</f>
        <v>82.579593851769374</v>
      </c>
      <c r="E45" s="696">
        <f>D45*20.2%</f>
        <v>16.681077958057411</v>
      </c>
      <c r="F45" s="696">
        <f>'КМУ параклиника '!I211</f>
        <v>19.86</v>
      </c>
      <c r="G45" s="696">
        <f>'КМУ параклиника '!N211</f>
        <v>0.27087412012613399</v>
      </c>
      <c r="H45" s="697">
        <f>'КМУ параклиника '!S211</f>
        <v>0</v>
      </c>
      <c r="I45" s="696">
        <f>'КМУ параклиника '!Y211</f>
        <v>9.5772639223070755</v>
      </c>
      <c r="J45" s="696">
        <f>'КМУ параклиника '!Z211</f>
        <v>167.68365932429867</v>
      </c>
      <c r="K45" s="696">
        <f>D45+E45+F45+I45+G45+H45+J45</f>
        <v>296.65246917655867</v>
      </c>
      <c r="L45" s="863">
        <f>K45*8%</f>
        <v>23.732197534124694</v>
      </c>
      <c r="M45" s="864">
        <f>K45+L45</f>
        <v>320.38466671068335</v>
      </c>
      <c r="N45" s="867"/>
      <c r="O45" s="867">
        <v>316</v>
      </c>
      <c r="P45" s="866"/>
      <c r="Q45" s="947">
        <f t="shared" si="4"/>
        <v>4.3846667106833479</v>
      </c>
      <c r="R45" s="868">
        <f t="shared" si="5"/>
        <v>101.38755275654536</v>
      </c>
    </row>
    <row r="46" spans="1:18" ht="15.6" x14ac:dyDescent="0.3">
      <c r="A46" s="691" t="s">
        <v>2044</v>
      </c>
      <c r="B46" s="691" t="s">
        <v>2044</v>
      </c>
      <c r="C46" s="692" t="s">
        <v>2043</v>
      </c>
      <c r="D46" s="696">
        <f>'КМУ параклиника '!C231</f>
        <v>120.49888818975737</v>
      </c>
      <c r="E46" s="696">
        <f>D46*20.2%</f>
        <v>24.340775414330984</v>
      </c>
      <c r="F46" s="696">
        <f>'КМУ параклиника '!I231</f>
        <v>19.86</v>
      </c>
      <c r="G46" s="696">
        <f>'КМУ параклиника '!N231</f>
        <v>0.361165493501512</v>
      </c>
      <c r="H46" s="696">
        <f>'КМУ параклиника '!S231</f>
        <v>4.3588938870872136</v>
      </c>
      <c r="I46" s="696">
        <f>'КМУ параклиника '!Y231</f>
        <v>9.5772639223070755</v>
      </c>
      <c r="J46" s="696">
        <f>'КМУ параклиника '!Z231</f>
        <v>232.72967942380927</v>
      </c>
      <c r="K46" s="696">
        <f>D46+E46+F46+I46+G46+H46+J46</f>
        <v>411.72666633079348</v>
      </c>
      <c r="L46" s="863">
        <f>K46*3%</f>
        <v>12.351799989923803</v>
      </c>
      <c r="M46" s="864">
        <f>K46+L46</f>
        <v>424.07846632071727</v>
      </c>
      <c r="N46" s="867"/>
      <c r="O46" s="867">
        <v>371</v>
      </c>
      <c r="P46" s="866"/>
      <c r="Q46" s="947">
        <f t="shared" si="4"/>
        <v>53.078466320717268</v>
      </c>
      <c r="R46" s="868">
        <f t="shared" si="5"/>
        <v>114.30686423739009</v>
      </c>
    </row>
    <row r="47" spans="1:18" ht="15.6" x14ac:dyDescent="0.3">
      <c r="A47" s="691" t="s">
        <v>2040</v>
      </c>
      <c r="B47" s="691" t="s">
        <v>2040</v>
      </c>
      <c r="C47" s="692" t="s">
        <v>1799</v>
      </c>
      <c r="D47" s="696">
        <f>'КМУ параклиника '!C221</f>
        <v>193.1581173081012</v>
      </c>
      <c r="E47" s="696">
        <f>D47*20.2%</f>
        <v>39.017939696236439</v>
      </c>
      <c r="F47" s="696">
        <f>'КМУ параклиника '!I221</f>
        <v>19.86</v>
      </c>
      <c r="G47" s="696">
        <f>'КМУ параклиника '!N221</f>
        <v>0.63203961362764594</v>
      </c>
      <c r="H47" s="696">
        <f>'КМУ параклиника '!S221</f>
        <v>17.169890587612109</v>
      </c>
      <c r="I47" s="696">
        <f>'КМУ параклиника '!Y221</f>
        <v>9.5772639223070755</v>
      </c>
      <c r="J47" s="696">
        <f>'КМУ параклиника '!Z221</f>
        <v>363.29227069563825</v>
      </c>
      <c r="K47" s="696">
        <f>D47+E47+F47+I47+G47+H47+J47</f>
        <v>642.70752182352271</v>
      </c>
      <c r="L47" s="863">
        <f>K47*17%</f>
        <v>109.26027870999887</v>
      </c>
      <c r="M47" s="864">
        <f>K47+L47</f>
        <v>751.96780053352154</v>
      </c>
      <c r="N47" s="867"/>
      <c r="O47" s="867">
        <v>710</v>
      </c>
      <c r="P47" s="866"/>
      <c r="Q47" s="947">
        <f t="shared" si="4"/>
        <v>41.96780053352154</v>
      </c>
      <c r="R47" s="868">
        <f t="shared" si="5"/>
        <v>105.91095782162274</v>
      </c>
    </row>
    <row r="48" spans="1:18" ht="15.6" x14ac:dyDescent="0.3">
      <c r="A48" s="958"/>
      <c r="B48" s="691" t="s">
        <v>2199</v>
      </c>
      <c r="C48" s="692" t="s">
        <v>2198</v>
      </c>
      <c r="D48" s="696">
        <f>'КМУ параклиника '!C241</f>
        <v>293.63632792876274</v>
      </c>
      <c r="E48" s="696">
        <f t="shared" ref="E48:E49" si="16">D48*20.2%</f>
        <v>59.314538241610066</v>
      </c>
      <c r="F48" s="696">
        <f>'КМУ параклиника '!I241</f>
        <v>151.22000000000003</v>
      </c>
      <c r="G48" s="696">
        <f>'КМУ параклиника '!N241</f>
        <v>0.96611769511654444</v>
      </c>
      <c r="H48" s="696">
        <f>'КМУ параклиника '!S241</f>
        <v>37.424217516277366</v>
      </c>
      <c r="I48" s="696">
        <f>'КМУ параклиника '!Y241</f>
        <v>9.5772639223070755</v>
      </c>
      <c r="J48" s="696">
        <f>'КМУ параклиника '!Z241</f>
        <v>717.88363730695471</v>
      </c>
      <c r="K48" s="696">
        <f>D48+E48+F48+I48+G48+H48+J48</f>
        <v>1270.0221026110285</v>
      </c>
      <c r="L48" s="863">
        <f>K48*5%</f>
        <v>63.501105130551423</v>
      </c>
      <c r="M48" s="864">
        <f t="shared" ref="M48:M49" si="17">K48+L48</f>
        <v>1333.5232077415799</v>
      </c>
      <c r="N48" s="867"/>
      <c r="O48" s="867">
        <v>1151</v>
      </c>
      <c r="P48" s="866"/>
      <c r="Q48" s="947">
        <f t="shared" si="4"/>
        <v>182.52320774157988</v>
      </c>
      <c r="R48" s="868">
        <f t="shared" si="5"/>
        <v>115.85779389588009</v>
      </c>
    </row>
    <row r="49" spans="1:18" ht="15.6" hidden="1" x14ac:dyDescent="0.3">
      <c r="A49" s="958"/>
      <c r="B49" s="691" t="s">
        <v>2196</v>
      </c>
      <c r="C49" s="692" t="s">
        <v>2195</v>
      </c>
      <c r="D49" s="696">
        <f>'КМУ параклиника '!C251</f>
        <v>293.63632792876274</v>
      </c>
      <c r="E49" s="696">
        <f t="shared" si="16"/>
        <v>59.314538241610066</v>
      </c>
      <c r="F49" s="696">
        <f>'КМУ параклиника '!I251</f>
        <v>151.22000000000003</v>
      </c>
      <c r="G49" s="696">
        <f>'КМУ параклиника '!N251</f>
        <v>0.96611769511654444</v>
      </c>
      <c r="H49" s="696">
        <f>'КМУ параклиника '!S251</f>
        <v>12.204902883844198</v>
      </c>
      <c r="I49" s="696">
        <f>'КМУ параклиника '!Y251</f>
        <v>11.63319193706981</v>
      </c>
      <c r="J49" s="696">
        <f>'КМУ параклиника '!Z251</f>
        <v>687.7668871032123</v>
      </c>
      <c r="K49" s="696">
        <f>D49+E49+F49+I49+G49+H49+J49</f>
        <v>1216.7419657896157</v>
      </c>
      <c r="L49" s="863">
        <f t="shared" ref="L49" si="18">K49*5%</f>
        <v>60.837098289480792</v>
      </c>
      <c r="M49" s="864">
        <f t="shared" si="17"/>
        <v>1277.5790640790965</v>
      </c>
      <c r="N49" s="867"/>
      <c r="O49" s="867">
        <v>0</v>
      </c>
      <c r="P49" s="866"/>
      <c r="Q49" s="947">
        <f t="shared" si="4"/>
        <v>1277.5790640790965</v>
      </c>
      <c r="R49" s="868" t="e">
        <f t="shared" si="5"/>
        <v>#DIV/0!</v>
      </c>
    </row>
    <row r="50" spans="1:18" ht="15.6" x14ac:dyDescent="0.3">
      <c r="A50" s="958"/>
      <c r="B50" s="691"/>
      <c r="C50" s="692"/>
      <c r="D50" s="696"/>
      <c r="E50" s="696"/>
      <c r="F50" s="697"/>
      <c r="G50" s="697"/>
      <c r="H50" s="696"/>
      <c r="I50" s="696"/>
      <c r="J50" s="696"/>
      <c r="K50" s="696"/>
      <c r="L50" s="696"/>
      <c r="M50" s="864"/>
      <c r="N50" s="867"/>
      <c r="O50" s="867"/>
      <c r="P50" s="866"/>
      <c r="Q50" s="947"/>
      <c r="R50" s="868" t="e">
        <f t="shared" si="5"/>
        <v>#DIV/0!</v>
      </c>
    </row>
    <row r="51" spans="1:18" ht="15.6" x14ac:dyDescent="0.3">
      <c r="A51" s="958"/>
      <c r="B51" s="1154" t="s">
        <v>2183</v>
      </c>
      <c r="C51" s="1154"/>
      <c r="D51" s="721"/>
      <c r="E51" s="955"/>
      <c r="F51" s="959"/>
      <c r="G51" s="955"/>
      <c r="H51" s="955"/>
      <c r="I51" s="955"/>
      <c r="J51" s="959"/>
      <c r="K51" s="959"/>
      <c r="L51" s="959"/>
      <c r="M51" s="959"/>
      <c r="N51" s="957"/>
      <c r="O51" s="867"/>
      <c r="P51" s="866"/>
      <c r="Q51" s="947">
        <f t="shared" si="4"/>
        <v>0</v>
      </c>
      <c r="R51" s="868" t="e">
        <f t="shared" si="5"/>
        <v>#DIV/0!</v>
      </c>
    </row>
    <row r="52" spans="1:18" ht="15.6" x14ac:dyDescent="0.3">
      <c r="A52" s="958"/>
      <c r="B52" s="691" t="str">
        <f>Прейскурант!A61</f>
        <v xml:space="preserve">B04.014.004.000                 </v>
      </c>
      <c r="C52" s="692" t="s">
        <v>2110</v>
      </c>
      <c r="D52" s="696">
        <f>'КМУ УЗИ'!C9</f>
        <v>159.49040785586701</v>
      </c>
      <c r="E52" s="696">
        <f>'КМУ УЗИ'!D9</f>
        <v>32.217062386885139</v>
      </c>
      <c r="F52" s="696">
        <f>'КМУ УЗИ'!I9</f>
        <v>19.86</v>
      </c>
      <c r="G52" s="696">
        <f>'КМУ УЗИ'!N9</f>
        <v>0.26768736577170882</v>
      </c>
      <c r="H52" s="696">
        <f>'КМУ УЗИ'!S9</f>
        <v>2.0042306911257022</v>
      </c>
      <c r="I52" s="696">
        <f>'КМУ УЗИ'!Y9</f>
        <v>28.393770687310383</v>
      </c>
      <c r="J52" s="696">
        <f>(D52+E52+F52+G52+H52+I52)*'Исп. коэффициенты'!C91</f>
        <v>314.94857210164673</v>
      </c>
      <c r="K52" s="696">
        <f>SUM(D52:J52)</f>
        <v>557.18173108860674</v>
      </c>
      <c r="L52" s="696">
        <v>18.86</v>
      </c>
      <c r="M52" s="864">
        <f>K52+L52</f>
        <v>576.04173108860675</v>
      </c>
      <c r="N52" s="867">
        <v>576</v>
      </c>
      <c r="O52" s="867"/>
      <c r="P52" s="866"/>
      <c r="Q52" s="947">
        <f t="shared" si="4"/>
        <v>576.04173108860675</v>
      </c>
      <c r="R52" s="868" t="e">
        <f t="shared" si="5"/>
        <v>#DIV/0!</v>
      </c>
    </row>
    <row r="53" spans="1:18" ht="15.6" x14ac:dyDescent="0.3">
      <c r="A53" s="958"/>
      <c r="B53" s="691" t="s">
        <v>2119</v>
      </c>
      <c r="C53" s="692" t="s">
        <v>2116</v>
      </c>
      <c r="D53" s="696">
        <f>'КМУ УЗИ'!C19</f>
        <v>106.32693857057801</v>
      </c>
      <c r="E53" s="696">
        <f>'КМУ УЗИ'!D19</f>
        <v>21.478041591256758</v>
      </c>
      <c r="F53" s="696">
        <f>F52</f>
        <v>19.86</v>
      </c>
      <c r="G53" s="696">
        <f>G52</f>
        <v>0.26768736577170882</v>
      </c>
      <c r="H53" s="696">
        <f>'КМУ УЗИ'!S19</f>
        <v>1.3361537940838015</v>
      </c>
      <c r="I53" s="696">
        <f>'КМУ УЗИ'!Y19</f>
        <v>18.929180458206922</v>
      </c>
      <c r="J53" s="696">
        <f>(D53+E53+F53+G53+H53+I53)*'Исп. коэффициенты'!C91</f>
        <v>218.68897186689691</v>
      </c>
      <c r="K53" s="696">
        <f t="shared" ref="K53:K86" si="19">SUM(D53:J53)</f>
        <v>386.8869736467941</v>
      </c>
      <c r="L53" s="696">
        <v>13.34</v>
      </c>
      <c r="M53" s="864">
        <f t="shared" ref="M53:M85" si="20">K53+L53</f>
        <v>400.22697364679408</v>
      </c>
      <c r="N53" s="867">
        <v>400</v>
      </c>
      <c r="O53" s="867"/>
      <c r="P53" s="866"/>
      <c r="Q53" s="947">
        <f t="shared" si="4"/>
        <v>400.22697364679408</v>
      </c>
      <c r="R53" s="868" t="e">
        <f t="shared" si="5"/>
        <v>#DIV/0!</v>
      </c>
    </row>
    <row r="54" spans="1:18" ht="15.6" x14ac:dyDescent="0.3">
      <c r="A54" s="958"/>
      <c r="B54" s="691" t="s">
        <v>2117</v>
      </c>
      <c r="C54" s="692" t="s">
        <v>2115</v>
      </c>
      <c r="D54" s="696">
        <f>'КМУ УЗИ'!C29</f>
        <v>159.49040785586701</v>
      </c>
      <c r="E54" s="696">
        <f>'КМУ УЗИ'!D29</f>
        <v>32.217062386885139</v>
      </c>
      <c r="F54" s="696">
        <f>'КМУ УЗИ'!I29</f>
        <v>19.86</v>
      </c>
      <c r="G54" s="696">
        <f>'КМУ УЗИ'!N29</f>
        <v>0.26768736577170882</v>
      </c>
      <c r="H54" s="696">
        <f>'КМУ УЗИ'!S29</f>
        <v>2.0042306911257022</v>
      </c>
      <c r="I54" s="696">
        <f>'КМУ УЗИ'!Y29</f>
        <v>28.393770687310383</v>
      </c>
      <c r="J54" s="696">
        <f>(D54+E54+F54+G54+H54+I54)*'Исп. коэффициенты'!C91</f>
        <v>314.94857210164673</v>
      </c>
      <c r="K54" s="696">
        <f t="shared" si="19"/>
        <v>557.18173108860674</v>
      </c>
      <c r="L54" s="696">
        <v>18.86</v>
      </c>
      <c r="M54" s="864">
        <f t="shared" si="20"/>
        <v>576.04173108860675</v>
      </c>
      <c r="N54" s="867">
        <v>576</v>
      </c>
      <c r="O54" s="867"/>
      <c r="P54" s="866"/>
      <c r="Q54" s="947">
        <f t="shared" si="4"/>
        <v>576.04173108860675</v>
      </c>
      <c r="R54" s="868" t="e">
        <f t="shared" si="5"/>
        <v>#DIV/0!</v>
      </c>
    </row>
    <row r="55" spans="1:18" ht="15.6" x14ac:dyDescent="0.3">
      <c r="A55" s="958"/>
      <c r="B55" s="691" t="s">
        <v>2120</v>
      </c>
      <c r="C55" s="692" t="s">
        <v>2118</v>
      </c>
      <c r="D55" s="696">
        <f>'КМУ УЗИ'!C39</f>
        <v>159.49040785586701</v>
      </c>
      <c r="E55" s="696">
        <f>'КМУ УЗИ'!D39</f>
        <v>32.217062386885139</v>
      </c>
      <c r="F55" s="696">
        <f>'КМУ УЗИ'!I39</f>
        <v>26.72</v>
      </c>
      <c r="G55" s="696">
        <f>'КМУ УЗИ'!N39</f>
        <v>0.26768736577170882</v>
      </c>
      <c r="H55" s="696">
        <f>'КМУ УЗИ'!S39</f>
        <v>2.0042306911257022</v>
      </c>
      <c r="I55" s="696">
        <f>'КМУ УЗИ'!Y39</f>
        <v>28.393770687310383</v>
      </c>
      <c r="J55" s="696">
        <f>(D55+E55+F55+G55+H55+I55)*'Исп. коэффициенты'!C91</f>
        <v>323.86785967421889</v>
      </c>
      <c r="K55" s="696">
        <f t="shared" si="19"/>
        <v>572.96101866117885</v>
      </c>
      <c r="L55" s="696">
        <v>19.649999999999999</v>
      </c>
      <c r="M55" s="864">
        <f t="shared" si="20"/>
        <v>592.61101866117883</v>
      </c>
      <c r="N55" s="867">
        <v>593</v>
      </c>
      <c r="O55" s="867"/>
      <c r="P55" s="866"/>
      <c r="Q55" s="947">
        <f t="shared" si="4"/>
        <v>592.61101866117883</v>
      </c>
      <c r="R55" s="868" t="e">
        <f t="shared" si="5"/>
        <v>#DIV/0!</v>
      </c>
    </row>
    <row r="56" spans="1:18" ht="15.6" x14ac:dyDescent="0.3">
      <c r="A56" s="958"/>
      <c r="B56" s="691" t="s">
        <v>2121</v>
      </c>
      <c r="C56" s="692" t="s">
        <v>2123</v>
      </c>
      <c r="D56" s="696">
        <f>'КМУ УЗИ'!C49</f>
        <v>132.90867321322253</v>
      </c>
      <c r="E56" s="696">
        <f>'КМУ УЗИ'!D49</f>
        <v>26.847551989070951</v>
      </c>
      <c r="F56" s="696">
        <f>'КМУ УЗИ'!I49</f>
        <v>19.86</v>
      </c>
      <c r="G56" s="696">
        <f>'КМУ УЗИ'!N49</f>
        <v>0.22307280480975736</v>
      </c>
      <c r="H56" s="696">
        <f>'КМУ УЗИ'!S49</f>
        <v>1.670192242604752</v>
      </c>
      <c r="I56" s="696">
        <f>'КМУ УЗИ'!Y49</f>
        <v>23.661475572758654</v>
      </c>
      <c r="J56" s="696">
        <f>(D56+E56+F56+G56+H56+I56)*'Исп. коэффициенты'!C91</f>
        <v>266.76076468118964</v>
      </c>
      <c r="K56" s="696">
        <f t="shared" si="19"/>
        <v>471.9317305036563</v>
      </c>
      <c r="L56" s="696">
        <v>15.6</v>
      </c>
      <c r="M56" s="864">
        <f t="shared" si="20"/>
        <v>487.53173050365632</v>
      </c>
      <c r="N56" s="867">
        <v>488</v>
      </c>
      <c r="O56" s="867"/>
      <c r="P56" s="866"/>
      <c r="Q56" s="947">
        <f t="shared" si="4"/>
        <v>487.53173050365632</v>
      </c>
      <c r="R56" s="868" t="e">
        <f t="shared" si="5"/>
        <v>#DIV/0!</v>
      </c>
    </row>
    <row r="57" spans="1:18" ht="15.6" x14ac:dyDescent="0.3">
      <c r="A57" s="958"/>
      <c r="B57" s="691" t="s">
        <v>2124</v>
      </c>
      <c r="C57" s="692" t="s">
        <v>2184</v>
      </c>
      <c r="D57" s="696">
        <f>'КМУ УЗИ'!C59</f>
        <v>132.90867321322253</v>
      </c>
      <c r="E57" s="696">
        <f>'КМУ УЗИ'!D59</f>
        <v>26.847551989070951</v>
      </c>
      <c r="F57" s="696">
        <f>'КМУ УЗИ'!I59</f>
        <v>19.86</v>
      </c>
      <c r="G57" s="696">
        <f>'КМУ УЗИ'!N59</f>
        <v>0.22307280480975736</v>
      </c>
      <c r="H57" s="696">
        <f>'КМУ УЗИ'!S59</f>
        <v>1.670192242604752</v>
      </c>
      <c r="I57" s="696">
        <f>'КМУ УЗИ'!Y59</f>
        <v>23.661475572758654</v>
      </c>
      <c r="J57" s="696">
        <f>(D57+E57+F57+G57+H57+I57)*'Исп. коэффициенты'!C91</f>
        <v>266.76076468118964</v>
      </c>
      <c r="K57" s="696">
        <f t="shared" si="19"/>
        <v>471.9317305036563</v>
      </c>
      <c r="L57" s="696">
        <v>15.6</v>
      </c>
      <c r="M57" s="864">
        <f t="shared" si="20"/>
        <v>487.53173050365632</v>
      </c>
      <c r="N57" s="867">
        <v>488</v>
      </c>
      <c r="O57" s="867"/>
      <c r="P57" s="866"/>
      <c r="Q57" s="947">
        <f t="shared" si="4"/>
        <v>487.53173050365632</v>
      </c>
      <c r="R57" s="868" t="e">
        <f t="shared" si="5"/>
        <v>#DIV/0!</v>
      </c>
    </row>
    <row r="58" spans="1:18" ht="15.6" x14ac:dyDescent="0.3">
      <c r="A58" s="958"/>
      <c r="B58" s="691" t="s">
        <v>2126</v>
      </c>
      <c r="C58" s="692" t="s">
        <v>2125</v>
      </c>
      <c r="D58" s="696">
        <f>'КМУ УЗИ'!C69</f>
        <v>132.90867321322253</v>
      </c>
      <c r="E58" s="696">
        <f>'КМУ УЗИ'!D69</f>
        <v>26.847551989070951</v>
      </c>
      <c r="F58" s="696">
        <f>'КМУ УЗИ'!I69</f>
        <v>26.72</v>
      </c>
      <c r="G58" s="696">
        <f>'КМУ УЗИ'!N69</f>
        <v>0.22307280480975736</v>
      </c>
      <c r="H58" s="696">
        <f>'КМУ УЗИ'!S69</f>
        <v>1.670192242604752</v>
      </c>
      <c r="I58" s="696">
        <f>'КМУ УЗИ'!Y69</f>
        <v>23.661475572758654</v>
      </c>
      <c r="J58" s="696">
        <f>(D58+E58+F58+G58+H58+I58)*'Исп. коэффициенты'!C91</f>
        <v>275.68005225376186</v>
      </c>
      <c r="K58" s="696">
        <f t="shared" si="19"/>
        <v>487.71101807622847</v>
      </c>
      <c r="L58" s="696">
        <v>17.39</v>
      </c>
      <c r="M58" s="864">
        <f t="shared" si="20"/>
        <v>505.10101807622846</v>
      </c>
      <c r="N58" s="867">
        <v>505</v>
      </c>
      <c r="O58" s="867"/>
      <c r="P58" s="866"/>
      <c r="Q58" s="947">
        <f t="shared" si="4"/>
        <v>505.10101807622846</v>
      </c>
      <c r="R58" s="868" t="e">
        <f t="shared" si="5"/>
        <v>#DIV/0!</v>
      </c>
    </row>
    <row r="59" spans="1:18" ht="15.6" x14ac:dyDescent="0.3">
      <c r="A59" s="958"/>
      <c r="B59" s="691" t="s">
        <v>2128</v>
      </c>
      <c r="C59" s="692" t="s">
        <v>2127</v>
      </c>
      <c r="D59" s="696">
        <f>'КМУ УЗИ'!C79</f>
        <v>106.32693857057801</v>
      </c>
      <c r="E59" s="696">
        <f>'КМУ УЗИ'!D79</f>
        <v>21.478041591256758</v>
      </c>
      <c r="F59" s="696">
        <f>'КМУ УЗИ'!I79</f>
        <v>19.86</v>
      </c>
      <c r="G59" s="696">
        <f>'КМУ УЗИ'!N79</f>
        <v>0.17845824384780587</v>
      </c>
      <c r="H59" s="696">
        <f>'КМУ УЗИ'!S79</f>
        <v>1.3361537940838015</v>
      </c>
      <c r="I59" s="696">
        <f>'КМУ УЗИ'!Y79</f>
        <v>18.929180458206922</v>
      </c>
      <c r="J59" s="696">
        <f>(D59+E59+F59+G59+H59+I59)*'Исп. коэффициенты'!C91</f>
        <v>218.57295726073258</v>
      </c>
      <c r="K59" s="696">
        <f t="shared" si="19"/>
        <v>386.68172991870586</v>
      </c>
      <c r="L59" s="696">
        <v>13.33</v>
      </c>
      <c r="M59" s="864">
        <f t="shared" si="20"/>
        <v>400.01172991870584</v>
      </c>
      <c r="N59" s="867">
        <v>400</v>
      </c>
      <c r="O59" s="867"/>
      <c r="P59" s="866"/>
      <c r="Q59" s="947">
        <f t="shared" si="4"/>
        <v>400.01172991870584</v>
      </c>
      <c r="R59" s="868" t="e">
        <f t="shared" si="5"/>
        <v>#DIV/0!</v>
      </c>
    </row>
    <row r="60" spans="1:18" ht="15.6" x14ac:dyDescent="0.3">
      <c r="A60" s="958"/>
      <c r="B60" s="691" t="s">
        <v>2130</v>
      </c>
      <c r="C60" s="692" t="s">
        <v>2129</v>
      </c>
      <c r="D60" s="696">
        <f>'КМУ УЗИ'!C89</f>
        <v>106.32693857057801</v>
      </c>
      <c r="E60" s="696">
        <f>'КМУ УЗИ'!D89</f>
        <v>21.478041591256758</v>
      </c>
      <c r="F60" s="696">
        <f>'КМУ УЗИ'!I89</f>
        <v>19.86</v>
      </c>
      <c r="G60" s="696">
        <f>'КМУ УЗИ'!N89</f>
        <v>0.17845824384780587</v>
      </c>
      <c r="H60" s="696">
        <f>'КМУ УЗИ'!S89</f>
        <v>1.3361537940838015</v>
      </c>
      <c r="I60" s="696">
        <f>'КМУ УЗИ'!Y89</f>
        <v>18.929180458206922</v>
      </c>
      <c r="J60" s="696">
        <f>(D60+E60+F60+G60+H60+I60)*'Исп. коэффициенты'!C91</f>
        <v>218.57295726073258</v>
      </c>
      <c r="K60" s="696">
        <f t="shared" si="19"/>
        <v>386.68172991870586</v>
      </c>
      <c r="L60" s="696">
        <v>13.33</v>
      </c>
      <c r="M60" s="864">
        <f t="shared" si="20"/>
        <v>400.01172991870584</v>
      </c>
      <c r="N60" s="867">
        <v>400</v>
      </c>
      <c r="O60" s="867"/>
      <c r="P60" s="866"/>
      <c r="Q60" s="947">
        <f t="shared" si="4"/>
        <v>400.01172991870584</v>
      </c>
      <c r="R60" s="868" t="e">
        <f t="shared" si="5"/>
        <v>#DIV/0!</v>
      </c>
    </row>
    <row r="61" spans="1:18" ht="15.6" x14ac:dyDescent="0.3">
      <c r="A61" s="958"/>
      <c r="B61" s="691" t="s">
        <v>2132</v>
      </c>
      <c r="C61" s="692" t="s">
        <v>2131</v>
      </c>
      <c r="D61" s="696">
        <f>'КМУ УЗИ'!C99</f>
        <v>106.32693857057801</v>
      </c>
      <c r="E61" s="696">
        <f>'КМУ УЗИ'!D99</f>
        <v>21.478041591256758</v>
      </c>
      <c r="F61" s="696">
        <f>'КМУ УЗИ'!I99</f>
        <v>19.86</v>
      </c>
      <c r="G61" s="696">
        <f>'КМУ УЗИ'!N99</f>
        <v>0.17845824384780587</v>
      </c>
      <c r="H61" s="696">
        <f>'КМУ УЗИ'!S99</f>
        <v>1.3361537940838015</v>
      </c>
      <c r="I61" s="696">
        <f>'КМУ УЗИ'!Y99</f>
        <v>18.929180458206922</v>
      </c>
      <c r="J61" s="696">
        <f>(D61+E61+F61+G61+H61+I61)*'Исп. коэффициенты'!C91</f>
        <v>218.57295726073258</v>
      </c>
      <c r="K61" s="696">
        <f t="shared" si="19"/>
        <v>386.68172991870586</v>
      </c>
      <c r="L61" s="696">
        <v>13.33</v>
      </c>
      <c r="M61" s="864">
        <f t="shared" si="20"/>
        <v>400.01172991870584</v>
      </c>
      <c r="N61" s="867">
        <v>400</v>
      </c>
      <c r="O61" s="867"/>
      <c r="P61" s="866"/>
      <c r="Q61" s="947">
        <f t="shared" si="4"/>
        <v>400.01172991870584</v>
      </c>
      <c r="R61" s="868" t="e">
        <f t="shared" si="5"/>
        <v>#DIV/0!</v>
      </c>
    </row>
    <row r="62" spans="1:18" ht="15.6" x14ac:dyDescent="0.3">
      <c r="A62" s="958"/>
      <c r="B62" s="691" t="s">
        <v>2134</v>
      </c>
      <c r="C62" s="692" t="s">
        <v>2133</v>
      </c>
      <c r="D62" s="696">
        <f>'КМУ УЗИ'!C109</f>
        <v>106.32693857057801</v>
      </c>
      <c r="E62" s="696">
        <f>'КМУ УЗИ'!D109</f>
        <v>21.478041591256758</v>
      </c>
      <c r="F62" s="696">
        <f>'КМУ УЗИ'!I109</f>
        <v>19.86</v>
      </c>
      <c r="G62" s="696">
        <f>'КМУ УЗИ'!N109</f>
        <v>0.17845824384780587</v>
      </c>
      <c r="H62" s="696">
        <f>'КМУ УЗИ'!S109</f>
        <v>1.3361537940838015</v>
      </c>
      <c r="I62" s="696">
        <f>'КМУ УЗИ'!Y109</f>
        <v>18.929180458206922</v>
      </c>
      <c r="J62" s="696">
        <f>(D62+E62+F62+G62+H62+I62)*'Исп. коэффициенты'!C91</f>
        <v>218.57295726073258</v>
      </c>
      <c r="K62" s="696">
        <f t="shared" si="19"/>
        <v>386.68172991870586</v>
      </c>
      <c r="L62" s="696">
        <v>13.33</v>
      </c>
      <c r="M62" s="864">
        <f t="shared" si="20"/>
        <v>400.01172991870584</v>
      </c>
      <c r="N62" s="867">
        <v>400</v>
      </c>
      <c r="O62" s="867"/>
      <c r="P62" s="866"/>
      <c r="Q62" s="947">
        <f t="shared" si="4"/>
        <v>400.01172991870584</v>
      </c>
      <c r="R62" s="868" t="e">
        <f t="shared" si="5"/>
        <v>#DIV/0!</v>
      </c>
    </row>
    <row r="63" spans="1:18" ht="15.6" x14ac:dyDescent="0.3">
      <c r="A63" s="958"/>
      <c r="B63" s="691" t="s">
        <v>2136</v>
      </c>
      <c r="C63" s="692" t="s">
        <v>2135</v>
      </c>
      <c r="D63" s="696">
        <f>'КМУ УЗИ'!C119</f>
        <v>106.32693857057801</v>
      </c>
      <c r="E63" s="696">
        <f>'КМУ УЗИ'!D119</f>
        <v>21.478041591256758</v>
      </c>
      <c r="F63" s="696">
        <f>'КМУ УЗИ'!I119</f>
        <v>19.86</v>
      </c>
      <c r="G63" s="696">
        <f>'КМУ УЗИ'!N119</f>
        <v>0.17845824384780587</v>
      </c>
      <c r="H63" s="696">
        <f>'КМУ УЗИ'!S119</f>
        <v>1.3361537940838015</v>
      </c>
      <c r="I63" s="696">
        <f>'КМУ УЗИ'!Y119</f>
        <v>18.929180458206922</v>
      </c>
      <c r="J63" s="696">
        <f>(D63+E63+F63+G63+H63+I63)*'Исп. коэффициенты'!C91</f>
        <v>218.57295726073258</v>
      </c>
      <c r="K63" s="696">
        <f t="shared" si="19"/>
        <v>386.68172991870586</v>
      </c>
      <c r="L63" s="696">
        <v>13.33</v>
      </c>
      <c r="M63" s="864">
        <f t="shared" si="20"/>
        <v>400.01172991870584</v>
      </c>
      <c r="N63" s="867">
        <v>400</v>
      </c>
      <c r="O63" s="867"/>
      <c r="P63" s="866"/>
      <c r="Q63" s="947">
        <f t="shared" si="4"/>
        <v>400.01172991870584</v>
      </c>
      <c r="R63" s="868" t="e">
        <f t="shared" si="5"/>
        <v>#DIV/0!</v>
      </c>
    </row>
    <row r="64" spans="1:18" ht="15.6" x14ac:dyDescent="0.3">
      <c r="A64" s="958"/>
      <c r="B64" s="691" t="s">
        <v>2138</v>
      </c>
      <c r="C64" s="692" t="s">
        <v>2137</v>
      </c>
      <c r="D64" s="696">
        <f>'КМУ УЗИ'!C129</f>
        <v>106.32693857057801</v>
      </c>
      <c r="E64" s="696">
        <f>'КМУ УЗИ'!D129</f>
        <v>21.478041591256758</v>
      </c>
      <c r="F64" s="696">
        <f>'КМУ УЗИ'!I129</f>
        <v>19.86</v>
      </c>
      <c r="G64" s="696">
        <f>'КМУ УЗИ'!N129</f>
        <v>0.17845824384780587</v>
      </c>
      <c r="H64" s="696">
        <f>'КМУ УЗИ'!S129</f>
        <v>1.3361537940838015</v>
      </c>
      <c r="I64" s="696">
        <f>'КМУ УЗИ'!Y129</f>
        <v>18.929180458206922</v>
      </c>
      <c r="J64" s="696">
        <f>(D64+E64+F64+G64+H64+I64)*'Исп. коэффициенты'!C91</f>
        <v>218.57295726073258</v>
      </c>
      <c r="K64" s="696">
        <f t="shared" si="19"/>
        <v>386.68172991870586</v>
      </c>
      <c r="L64" s="696">
        <v>13.33</v>
      </c>
      <c r="M64" s="864">
        <f t="shared" si="20"/>
        <v>400.01172991870584</v>
      </c>
      <c r="N64" s="867">
        <v>400</v>
      </c>
      <c r="O64" s="867"/>
      <c r="P64" s="866"/>
      <c r="Q64" s="947">
        <f t="shared" si="4"/>
        <v>400.01172991870584</v>
      </c>
      <c r="R64" s="868" t="e">
        <f t="shared" si="5"/>
        <v>#DIV/0!</v>
      </c>
    </row>
    <row r="65" spans="1:18" ht="15.6" x14ac:dyDescent="0.3">
      <c r="A65" s="958"/>
      <c r="B65" s="691" t="s">
        <v>2140</v>
      </c>
      <c r="C65" s="692" t="s">
        <v>2139</v>
      </c>
      <c r="D65" s="696">
        <f>'КМУ УЗИ'!C139</f>
        <v>159.49040785586701</v>
      </c>
      <c r="E65" s="696">
        <f>'КМУ УЗИ'!D139</f>
        <v>32.217062386885139</v>
      </c>
      <c r="F65" s="696">
        <f>'КМУ УЗИ'!I139</f>
        <v>19.86</v>
      </c>
      <c r="G65" s="696">
        <f>'КМУ УЗИ'!N139</f>
        <v>0.26768736577170882</v>
      </c>
      <c r="H65" s="696">
        <f>'КМУ УЗИ'!S139</f>
        <v>2.0042306911257022</v>
      </c>
      <c r="I65" s="696">
        <f>'КМУ УЗИ'!Y139</f>
        <v>28.393770687310383</v>
      </c>
      <c r="J65" s="696">
        <f>(D65+E65+F65+G65+H65+I65)*'Исп. коэффициенты'!C91</f>
        <v>314.94857210164673</v>
      </c>
      <c r="K65" s="696">
        <f t="shared" si="19"/>
        <v>557.18173108860674</v>
      </c>
      <c r="L65" s="696">
        <v>18.86</v>
      </c>
      <c r="M65" s="864">
        <f t="shared" si="20"/>
        <v>576.04173108860675</v>
      </c>
      <c r="N65" s="867">
        <v>576</v>
      </c>
      <c r="O65" s="867"/>
      <c r="P65" s="866"/>
      <c r="Q65" s="947">
        <f t="shared" si="4"/>
        <v>576.04173108860675</v>
      </c>
      <c r="R65" s="868" t="e">
        <f t="shared" si="5"/>
        <v>#DIV/0!</v>
      </c>
    </row>
    <row r="66" spans="1:18" ht="15.6" x14ac:dyDescent="0.3">
      <c r="A66" s="958"/>
      <c r="B66" s="691" t="s">
        <v>2142</v>
      </c>
      <c r="C66" s="692" t="s">
        <v>2141</v>
      </c>
      <c r="D66" s="696">
        <f>'КМУ УЗИ'!C149</f>
        <v>106.32693857057801</v>
      </c>
      <c r="E66" s="696">
        <f>'КМУ УЗИ'!D149</f>
        <v>21.478041591256758</v>
      </c>
      <c r="F66" s="696">
        <f>'КМУ УЗИ'!I149</f>
        <v>19.86</v>
      </c>
      <c r="G66" s="696">
        <f>'КМУ УЗИ'!N149</f>
        <v>0.17845824384780587</v>
      </c>
      <c r="H66" s="696">
        <f>'КМУ УЗИ'!S149</f>
        <v>1.3361537940838015</v>
      </c>
      <c r="I66" s="696">
        <f>'КМУ УЗИ'!Y149</f>
        <v>18.929180458206922</v>
      </c>
      <c r="J66" s="696">
        <f>(D66+E66+F66+G66+H66+I66)*'Исп. коэффициенты'!C91</f>
        <v>218.57295726073258</v>
      </c>
      <c r="K66" s="696">
        <f t="shared" si="19"/>
        <v>386.68172991870586</v>
      </c>
      <c r="L66" s="696">
        <v>13.33</v>
      </c>
      <c r="M66" s="864">
        <f t="shared" si="20"/>
        <v>400.01172991870584</v>
      </c>
      <c r="N66" s="867">
        <v>400</v>
      </c>
      <c r="O66" s="867"/>
      <c r="P66" s="866"/>
      <c r="Q66" s="947">
        <f t="shared" si="4"/>
        <v>400.01172991870584</v>
      </c>
      <c r="R66" s="868" t="e">
        <f t="shared" si="5"/>
        <v>#DIV/0!</v>
      </c>
    </row>
    <row r="67" spans="1:18" ht="15.6" x14ac:dyDescent="0.3">
      <c r="A67" s="958"/>
      <c r="B67" s="691" t="s">
        <v>2144</v>
      </c>
      <c r="C67" s="692" t="s">
        <v>2143</v>
      </c>
      <c r="D67" s="696">
        <f>'КМУ УЗИ'!C159</f>
        <v>106.32693857057801</v>
      </c>
      <c r="E67" s="696">
        <f>'КМУ УЗИ'!D159</f>
        <v>21.478041591256758</v>
      </c>
      <c r="F67" s="696">
        <f>'КМУ УЗИ'!I159</f>
        <v>19.86</v>
      </c>
      <c r="G67" s="696">
        <f>'КМУ УЗИ'!N159</f>
        <v>0.17845824384780587</v>
      </c>
      <c r="H67" s="696">
        <f>'КМУ УЗИ'!S159</f>
        <v>1.3361537940838015</v>
      </c>
      <c r="I67" s="696">
        <f>'КМУ УЗИ'!Y159</f>
        <v>18.929180458206922</v>
      </c>
      <c r="J67" s="696">
        <f>(D67+E67+F67+G67+H67+I67)*'Исп. коэффициенты'!C91</f>
        <v>218.57295726073258</v>
      </c>
      <c r="K67" s="696">
        <f t="shared" si="19"/>
        <v>386.68172991870586</v>
      </c>
      <c r="L67" s="696">
        <v>13.33</v>
      </c>
      <c r="M67" s="864">
        <f t="shared" si="20"/>
        <v>400.01172991870584</v>
      </c>
      <c r="N67" s="867">
        <v>400</v>
      </c>
      <c r="O67" s="867"/>
      <c r="P67" s="866"/>
      <c r="Q67" s="947">
        <f t="shared" si="4"/>
        <v>400.01172991870584</v>
      </c>
      <c r="R67" s="868" t="e">
        <f t="shared" si="5"/>
        <v>#DIV/0!</v>
      </c>
    </row>
    <row r="68" spans="1:18" ht="15.6" x14ac:dyDescent="0.3">
      <c r="A68" s="958"/>
      <c r="B68" s="691" t="s">
        <v>2146</v>
      </c>
      <c r="C68" s="692" t="s">
        <v>2145</v>
      </c>
      <c r="D68" s="696">
        <f>'КМУ УЗИ'!C169</f>
        <v>159.49040785586701</v>
      </c>
      <c r="E68" s="696">
        <f>'КМУ УЗИ'!D169</f>
        <v>32.217062386885139</v>
      </c>
      <c r="F68" s="696">
        <f>'КМУ УЗИ'!I169</f>
        <v>19.86</v>
      </c>
      <c r="G68" s="696">
        <f>'КМУ УЗИ'!N169</f>
        <v>0.26768736577170882</v>
      </c>
      <c r="H68" s="696">
        <f>'КМУ УЗИ'!S169</f>
        <v>2.0042306911257022</v>
      </c>
      <c r="I68" s="696">
        <f>'КМУ УЗИ'!Y169</f>
        <v>28.393770687310383</v>
      </c>
      <c r="J68" s="696">
        <f>(D68+E68+F68+G68+H68+I68)*'Исп. коэффициенты'!C91</f>
        <v>314.94857210164673</v>
      </c>
      <c r="K68" s="696">
        <f t="shared" si="19"/>
        <v>557.18173108860674</v>
      </c>
      <c r="L68" s="696">
        <v>18.86</v>
      </c>
      <c r="M68" s="864">
        <f t="shared" si="20"/>
        <v>576.04173108860675</v>
      </c>
      <c r="N68" s="867">
        <v>576</v>
      </c>
      <c r="O68" s="867"/>
      <c r="P68" s="866"/>
      <c r="Q68" s="947">
        <f t="shared" si="4"/>
        <v>576.04173108860675</v>
      </c>
      <c r="R68" s="868" t="e">
        <f t="shared" si="5"/>
        <v>#DIV/0!</v>
      </c>
    </row>
    <row r="69" spans="1:18" ht="15.6" x14ac:dyDescent="0.3">
      <c r="A69" s="958"/>
      <c r="B69" s="691" t="s">
        <v>2148</v>
      </c>
      <c r="C69" s="692" t="s">
        <v>2147</v>
      </c>
      <c r="D69" s="696">
        <f>'КМУ УЗИ'!C179</f>
        <v>106.32693857057801</v>
      </c>
      <c r="E69" s="696">
        <f>'КМУ УЗИ'!D179</f>
        <v>21.478041591256758</v>
      </c>
      <c r="F69" s="696">
        <f>'КМУ УЗИ'!I179</f>
        <v>19.86</v>
      </c>
      <c r="G69" s="696">
        <f>'КМУ УЗИ'!N179</f>
        <v>0.17845824384780587</v>
      </c>
      <c r="H69" s="696">
        <f>'КМУ УЗИ'!S179</f>
        <v>1.3361537940838015</v>
      </c>
      <c r="I69" s="696">
        <f>'КМУ УЗИ'!Y179</f>
        <v>18.929180458206922</v>
      </c>
      <c r="J69" s="696">
        <f>(D69+E69+F69+G69+H69+I69)*'Исп. коэффициенты'!C91</f>
        <v>218.57295726073258</v>
      </c>
      <c r="K69" s="696">
        <f t="shared" si="19"/>
        <v>386.68172991870586</v>
      </c>
      <c r="L69" s="696">
        <v>13.33</v>
      </c>
      <c r="M69" s="864">
        <f t="shared" si="20"/>
        <v>400.01172991870584</v>
      </c>
      <c r="N69" s="867">
        <v>400</v>
      </c>
      <c r="O69" s="867"/>
      <c r="P69" s="866"/>
      <c r="Q69" s="947">
        <f t="shared" si="4"/>
        <v>400.01172991870584</v>
      </c>
      <c r="R69" s="868" t="e">
        <f t="shared" si="5"/>
        <v>#DIV/0!</v>
      </c>
    </row>
    <row r="70" spans="1:18" ht="15.6" x14ac:dyDescent="0.3">
      <c r="A70" s="958"/>
      <c r="B70" s="691" t="s">
        <v>2150</v>
      </c>
      <c r="C70" s="692" t="s">
        <v>2149</v>
      </c>
      <c r="D70" s="696">
        <f>'КМУ УЗИ'!C189</f>
        <v>79.745203927933503</v>
      </c>
      <c r="E70" s="696">
        <f>'КМУ УЗИ'!D189</f>
        <v>16.10853119344257</v>
      </c>
      <c r="F70" s="696">
        <f>'КМУ УЗИ'!I189</f>
        <v>19.86</v>
      </c>
      <c r="G70" s="696">
        <f>'КМУ УЗИ'!N189</f>
        <v>0.13384368288585441</v>
      </c>
      <c r="H70" s="696">
        <f>'КМУ УЗИ'!S189</f>
        <v>1.0021153455628511</v>
      </c>
      <c r="I70" s="696">
        <f>'КМУ УЗИ'!Y189</f>
        <v>14.196885343655191</v>
      </c>
      <c r="J70" s="696">
        <f>(D70+E70+F70+G70+H70+I70)*'Исп. коэффициенты'!C91</f>
        <v>170.38514984027552</v>
      </c>
      <c r="K70" s="696">
        <f t="shared" si="19"/>
        <v>301.43172933375547</v>
      </c>
      <c r="L70" s="696">
        <v>10.07</v>
      </c>
      <c r="M70" s="864">
        <f t="shared" si="20"/>
        <v>311.50172933375546</v>
      </c>
      <c r="N70" s="867">
        <v>312</v>
      </c>
      <c r="O70" s="867"/>
      <c r="P70" s="866"/>
      <c r="Q70" s="947">
        <f t="shared" si="4"/>
        <v>311.50172933375546</v>
      </c>
      <c r="R70" s="868" t="e">
        <f t="shared" si="5"/>
        <v>#DIV/0!</v>
      </c>
    </row>
    <row r="71" spans="1:18" ht="15.6" x14ac:dyDescent="0.3">
      <c r="A71" s="958"/>
      <c r="B71" s="691" t="s">
        <v>2152</v>
      </c>
      <c r="C71" s="692" t="s">
        <v>2151</v>
      </c>
      <c r="D71" s="696">
        <f>'КМУ УЗИ'!C199</f>
        <v>106.32693857057801</v>
      </c>
      <c r="E71" s="696">
        <f>'КМУ УЗИ'!D199</f>
        <v>21.478041591256758</v>
      </c>
      <c r="F71" s="696">
        <f>'КМУ УЗИ'!I199</f>
        <v>19.86</v>
      </c>
      <c r="G71" s="696">
        <f>'КМУ УЗИ'!N199</f>
        <v>0.17845824384780587</v>
      </c>
      <c r="H71" s="696">
        <f>'КМУ УЗИ'!S199</f>
        <v>1.3361537940838015</v>
      </c>
      <c r="I71" s="696">
        <f>'КМУ УЗИ'!Y199</f>
        <v>18.929180458206922</v>
      </c>
      <c r="J71" s="696">
        <f>(D71+E71+F71+G71+H71+I71)*'Исп. коэффициенты'!C91</f>
        <v>218.57295726073258</v>
      </c>
      <c r="K71" s="696">
        <f t="shared" si="19"/>
        <v>386.68172991870586</v>
      </c>
      <c r="L71" s="696">
        <v>13.33</v>
      </c>
      <c r="M71" s="864">
        <f t="shared" si="20"/>
        <v>400.01172991870584</v>
      </c>
      <c r="N71" s="867">
        <v>400</v>
      </c>
      <c r="O71" s="867"/>
      <c r="P71" s="866"/>
      <c r="Q71" s="947">
        <f t="shared" si="4"/>
        <v>400.01172991870584</v>
      </c>
      <c r="R71" s="868" t="e">
        <f t="shared" si="5"/>
        <v>#DIV/0!</v>
      </c>
    </row>
    <row r="72" spans="1:18" ht="15.6" x14ac:dyDescent="0.3">
      <c r="A72" s="958"/>
      <c r="B72" s="691" t="s">
        <v>2154</v>
      </c>
      <c r="C72" s="692" t="s">
        <v>2153</v>
      </c>
      <c r="D72" s="696">
        <f>'КМУ УЗИ'!C209</f>
        <v>132.90867321322253</v>
      </c>
      <c r="E72" s="696">
        <f>'КМУ УЗИ'!D209</f>
        <v>26.847551989070951</v>
      </c>
      <c r="F72" s="696">
        <f>'КМУ УЗИ'!I209</f>
        <v>19.86</v>
      </c>
      <c r="G72" s="696">
        <f>'КМУ УЗИ'!N209</f>
        <v>0.22307280480975736</v>
      </c>
      <c r="H72" s="696">
        <f>'КМУ УЗИ'!S209</f>
        <v>1.670192242604752</v>
      </c>
      <c r="I72" s="696">
        <f>'КМУ УЗИ'!Y209</f>
        <v>23.661475572758654</v>
      </c>
      <c r="J72" s="696">
        <f>(D72+E72+F72+G72+H72+I72)*'Исп. коэффициенты'!C91</f>
        <v>266.76076468118964</v>
      </c>
      <c r="K72" s="696">
        <f t="shared" si="19"/>
        <v>471.9317305036563</v>
      </c>
      <c r="L72" s="696">
        <v>15.6</v>
      </c>
      <c r="M72" s="864">
        <f t="shared" si="20"/>
        <v>487.53173050365632</v>
      </c>
      <c r="N72" s="867">
        <v>488</v>
      </c>
      <c r="O72" s="867"/>
      <c r="P72" s="866"/>
      <c r="Q72" s="947">
        <f t="shared" si="4"/>
        <v>487.53173050365632</v>
      </c>
      <c r="R72" s="868" t="e">
        <f t="shared" si="5"/>
        <v>#DIV/0!</v>
      </c>
    </row>
    <row r="73" spans="1:18" ht="15.6" x14ac:dyDescent="0.3">
      <c r="A73" s="958"/>
      <c r="B73" s="691" t="s">
        <v>2154</v>
      </c>
      <c r="C73" s="692" t="s">
        <v>2155</v>
      </c>
      <c r="D73" s="696">
        <f>'КМУ УЗИ'!C219</f>
        <v>106.32693857057801</v>
      </c>
      <c r="E73" s="696">
        <f>'КМУ УЗИ'!D219</f>
        <v>21.478041591256758</v>
      </c>
      <c r="F73" s="696">
        <f>'КМУ УЗИ'!I219</f>
        <v>19.86</v>
      </c>
      <c r="G73" s="696">
        <f>'КМУ УЗИ'!N219</f>
        <v>0.17845824384780587</v>
      </c>
      <c r="H73" s="696">
        <f>'КМУ УЗИ'!S219</f>
        <v>1.3361537940838015</v>
      </c>
      <c r="I73" s="696">
        <f>'КМУ УЗИ'!Y219</f>
        <v>18.929180458206922</v>
      </c>
      <c r="J73" s="696">
        <f>(D73+E73+F73+G73+H73+I73)*'Исп. коэффициенты'!C91</f>
        <v>218.57295726073258</v>
      </c>
      <c r="K73" s="696">
        <f t="shared" si="19"/>
        <v>386.68172991870586</v>
      </c>
      <c r="L73" s="696">
        <v>13.33</v>
      </c>
      <c r="M73" s="864">
        <f t="shared" si="20"/>
        <v>400.01172991870584</v>
      </c>
      <c r="N73" s="867">
        <v>400</v>
      </c>
      <c r="O73" s="867"/>
      <c r="P73" s="866"/>
      <c r="Q73" s="947">
        <f t="shared" si="4"/>
        <v>400.01172991870584</v>
      </c>
      <c r="R73" s="868" t="e">
        <f t="shared" si="5"/>
        <v>#DIV/0!</v>
      </c>
    </row>
    <row r="74" spans="1:18" ht="15.6" x14ac:dyDescent="0.3">
      <c r="A74" s="958"/>
      <c r="B74" s="691" t="s">
        <v>2157</v>
      </c>
      <c r="C74" s="692" t="s">
        <v>2156</v>
      </c>
      <c r="D74" s="696">
        <f>'КМУ УЗИ'!C229</f>
        <v>106.32693857057801</v>
      </c>
      <c r="E74" s="696">
        <f>'КМУ УЗИ'!D229</f>
        <v>21.478041591256758</v>
      </c>
      <c r="F74" s="696">
        <f>'КМУ УЗИ'!I229</f>
        <v>19.86</v>
      </c>
      <c r="G74" s="696">
        <f>'КМУ УЗИ'!N229</f>
        <v>0.17845824384780587</v>
      </c>
      <c r="H74" s="696">
        <f>'КМУ УЗИ'!S229</f>
        <v>1.3361537940838015</v>
      </c>
      <c r="I74" s="696">
        <f>'КМУ УЗИ'!Y229</f>
        <v>18.929180458206922</v>
      </c>
      <c r="J74" s="696">
        <f>(D74+E74+F74+G74+H74+I74)*'Исп. коэффициенты'!C91</f>
        <v>218.57295726073258</v>
      </c>
      <c r="K74" s="696">
        <f t="shared" si="19"/>
        <v>386.68172991870586</v>
      </c>
      <c r="L74" s="696">
        <v>13.33</v>
      </c>
      <c r="M74" s="864">
        <f t="shared" si="20"/>
        <v>400.01172991870584</v>
      </c>
      <c r="N74" s="867">
        <v>400</v>
      </c>
      <c r="O74" s="867"/>
      <c r="P74" s="866"/>
      <c r="Q74" s="947">
        <f t="shared" si="4"/>
        <v>400.01172991870584</v>
      </c>
      <c r="R74" s="868" t="e">
        <f t="shared" si="5"/>
        <v>#DIV/0!</v>
      </c>
    </row>
    <row r="75" spans="1:18" ht="15.6" x14ac:dyDescent="0.3">
      <c r="A75" s="958"/>
      <c r="B75" s="691" t="s">
        <v>2158</v>
      </c>
      <c r="C75" s="692" t="s">
        <v>2159</v>
      </c>
      <c r="D75" s="696">
        <f>'КМУ УЗИ'!C239</f>
        <v>159.49040785586701</v>
      </c>
      <c r="E75" s="696">
        <f>'КМУ УЗИ'!D239</f>
        <v>32.217062386885139</v>
      </c>
      <c r="F75" s="696">
        <f>'КМУ УЗИ'!I239</f>
        <v>19.86</v>
      </c>
      <c r="G75" s="696">
        <f>'КМУ УЗИ'!N239</f>
        <v>0.26768736577170882</v>
      </c>
      <c r="H75" s="696">
        <f>'КМУ УЗИ'!S239</f>
        <v>2.0042306911257022</v>
      </c>
      <c r="I75" s="696">
        <f>'КМУ УЗИ'!Y239</f>
        <v>28.393770687310383</v>
      </c>
      <c r="J75" s="696">
        <f>(D75+E75+F75+G75+H75+I75)*'Исп. коэффициенты'!C91</f>
        <v>314.94857210164673</v>
      </c>
      <c r="K75" s="696">
        <f t="shared" si="19"/>
        <v>557.18173108860674</v>
      </c>
      <c r="L75" s="696">
        <v>18.86</v>
      </c>
      <c r="M75" s="864">
        <f t="shared" si="20"/>
        <v>576.04173108860675</v>
      </c>
      <c r="N75" s="867">
        <v>576</v>
      </c>
      <c r="O75" s="867"/>
      <c r="P75" s="866"/>
      <c r="Q75" s="947">
        <f t="shared" si="4"/>
        <v>576.04173108860675</v>
      </c>
      <c r="R75" s="868" t="e">
        <f t="shared" ref="R75:R161" si="21">M75/O75*100</f>
        <v>#DIV/0!</v>
      </c>
    </row>
    <row r="76" spans="1:18" ht="15.6" x14ac:dyDescent="0.3">
      <c r="A76" s="958"/>
      <c r="B76" s="691" t="s">
        <v>2161</v>
      </c>
      <c r="C76" s="692" t="s">
        <v>2160</v>
      </c>
      <c r="D76" s="696">
        <f>'КМУ УЗИ'!C249</f>
        <v>132.90867321322253</v>
      </c>
      <c r="E76" s="696">
        <f>'КМУ УЗИ'!D249</f>
        <v>26.847551989070951</v>
      </c>
      <c r="F76" s="696">
        <f>'КМУ УЗИ'!I249</f>
        <v>19.86</v>
      </c>
      <c r="G76" s="696">
        <f>'КМУ УЗИ'!N249</f>
        <v>0.22307280480975736</v>
      </c>
      <c r="H76" s="696">
        <f>'КМУ УЗИ'!S249</f>
        <v>1.670192242604752</v>
      </c>
      <c r="I76" s="696">
        <f>'КМУ УЗИ'!Y249</f>
        <v>23.661475572758654</v>
      </c>
      <c r="J76" s="696">
        <f>(D76+E76+F76+G76+H76+I76)*'Исп. коэффициенты'!C91</f>
        <v>266.76076468118964</v>
      </c>
      <c r="K76" s="696">
        <f t="shared" si="19"/>
        <v>471.9317305036563</v>
      </c>
      <c r="L76" s="696">
        <v>15.6</v>
      </c>
      <c r="M76" s="864">
        <f t="shared" si="20"/>
        <v>487.53173050365632</v>
      </c>
      <c r="N76" s="867">
        <v>488</v>
      </c>
      <c r="O76" s="867"/>
      <c r="P76" s="866"/>
      <c r="Q76" s="947">
        <f t="shared" si="4"/>
        <v>487.53173050365632</v>
      </c>
      <c r="R76" s="868" t="e">
        <f t="shared" si="21"/>
        <v>#DIV/0!</v>
      </c>
    </row>
    <row r="77" spans="1:18" ht="15.6" x14ac:dyDescent="0.3">
      <c r="A77" s="958"/>
      <c r="B77" s="691" t="s">
        <v>2163</v>
      </c>
      <c r="C77" s="692" t="s">
        <v>2162</v>
      </c>
      <c r="D77" s="696">
        <f>'КМУ УЗИ'!C259</f>
        <v>106.32693857057801</v>
      </c>
      <c r="E77" s="696">
        <f>'КМУ УЗИ'!D259</f>
        <v>21.478041591256758</v>
      </c>
      <c r="F77" s="696">
        <f>'КМУ УЗИ'!I259</f>
        <v>19.86</v>
      </c>
      <c r="G77" s="696">
        <f>'КМУ УЗИ'!N259</f>
        <v>0.17845824384780587</v>
      </c>
      <c r="H77" s="696">
        <f>'КМУ УЗИ'!S259</f>
        <v>1.3361537940838015</v>
      </c>
      <c r="I77" s="696">
        <f>'КМУ УЗИ'!Y259</f>
        <v>18.929180458206922</v>
      </c>
      <c r="J77" s="696">
        <f>(D77+E77+F77+G77+H77+I77)*'Исп. коэффициенты'!C91</f>
        <v>218.57295726073258</v>
      </c>
      <c r="K77" s="696">
        <f t="shared" si="19"/>
        <v>386.68172991870586</v>
      </c>
      <c r="L77" s="696">
        <v>13.33</v>
      </c>
      <c r="M77" s="864">
        <f t="shared" si="20"/>
        <v>400.01172991870584</v>
      </c>
      <c r="N77" s="867">
        <v>400</v>
      </c>
      <c r="O77" s="867"/>
      <c r="P77" s="866"/>
      <c r="Q77" s="947">
        <f t="shared" si="4"/>
        <v>400.01172991870584</v>
      </c>
      <c r="R77" s="868" t="e">
        <f t="shared" si="21"/>
        <v>#DIV/0!</v>
      </c>
    </row>
    <row r="78" spans="1:18" ht="15.6" x14ac:dyDescent="0.3">
      <c r="A78" s="958"/>
      <c r="B78" s="691" t="s">
        <v>2165</v>
      </c>
      <c r="C78" s="692" t="s">
        <v>2164</v>
      </c>
      <c r="D78" s="696">
        <f>'КМУ УЗИ'!C269</f>
        <v>106.32693857057801</v>
      </c>
      <c r="E78" s="696">
        <f>'КМУ УЗИ'!D269</f>
        <v>21.478041591256758</v>
      </c>
      <c r="F78" s="696">
        <f>'КМУ УЗИ'!I269</f>
        <v>19.86</v>
      </c>
      <c r="G78" s="696">
        <f>'КМУ УЗИ'!N269</f>
        <v>0.17845824384780587</v>
      </c>
      <c r="H78" s="696">
        <f>'КМУ УЗИ'!S269</f>
        <v>1.3361537940838015</v>
      </c>
      <c r="I78" s="696">
        <f>'КМУ УЗИ'!Y269</f>
        <v>18.929180458206922</v>
      </c>
      <c r="J78" s="696">
        <f>(D78+E78+F78+G78+H78+I78)*'Исп. коэффициенты'!C91</f>
        <v>218.57295726073258</v>
      </c>
      <c r="K78" s="696">
        <f t="shared" si="19"/>
        <v>386.68172991870586</v>
      </c>
      <c r="L78" s="696">
        <v>13.33</v>
      </c>
      <c r="M78" s="864">
        <f t="shared" si="20"/>
        <v>400.01172991870584</v>
      </c>
      <c r="N78" s="867">
        <v>400</v>
      </c>
      <c r="O78" s="867"/>
      <c r="P78" s="866"/>
      <c r="Q78" s="947">
        <f t="shared" ref="Q78:Q97" si="22">M78-O78</f>
        <v>400.01172991870584</v>
      </c>
      <c r="R78" s="868" t="e">
        <f t="shared" si="21"/>
        <v>#DIV/0!</v>
      </c>
    </row>
    <row r="79" spans="1:18" ht="15.6" x14ac:dyDescent="0.3">
      <c r="A79" s="958"/>
      <c r="B79" s="691" t="s">
        <v>2167</v>
      </c>
      <c r="C79" s="692" t="s">
        <v>2168</v>
      </c>
      <c r="D79" s="696">
        <f>'КМУ УЗИ'!C279</f>
        <v>132.90867321322253</v>
      </c>
      <c r="E79" s="696">
        <f>'КМУ УЗИ'!D279</f>
        <v>26.847551989070951</v>
      </c>
      <c r="F79" s="696">
        <f>'КМУ УЗИ'!I279</f>
        <v>19.86</v>
      </c>
      <c r="G79" s="696">
        <f>'КМУ УЗИ'!N279</f>
        <v>0.22307280480975736</v>
      </c>
      <c r="H79" s="696">
        <f>'КМУ УЗИ'!S279</f>
        <v>1.670192242604752</v>
      </c>
      <c r="I79" s="696">
        <f>'КМУ УЗИ'!Y279</f>
        <v>23.661475572758654</v>
      </c>
      <c r="J79" s="696">
        <f>(D79+E79+F79+G79+H79+I79)*'Исп. коэффициенты'!C91</f>
        <v>266.76076468118964</v>
      </c>
      <c r="K79" s="696">
        <f t="shared" si="19"/>
        <v>471.9317305036563</v>
      </c>
      <c r="L79" s="696">
        <v>15.6</v>
      </c>
      <c r="M79" s="864">
        <f t="shared" si="20"/>
        <v>487.53173050365632</v>
      </c>
      <c r="N79" s="867">
        <v>488</v>
      </c>
      <c r="O79" s="867"/>
      <c r="P79" s="866"/>
      <c r="Q79" s="947">
        <f t="shared" si="22"/>
        <v>487.53173050365632</v>
      </c>
      <c r="R79" s="868" t="e">
        <f t="shared" si="21"/>
        <v>#DIV/0!</v>
      </c>
    </row>
    <row r="80" spans="1:18" ht="15.6" x14ac:dyDescent="0.3">
      <c r="A80" s="958"/>
      <c r="B80" s="691" t="s">
        <v>2169</v>
      </c>
      <c r="C80" s="692" t="s">
        <v>2166</v>
      </c>
      <c r="D80" s="696">
        <f>'КМУ УЗИ'!C289</f>
        <v>132.90867321322253</v>
      </c>
      <c r="E80" s="696">
        <f>'КМУ УЗИ'!D289</f>
        <v>26.847551989070951</v>
      </c>
      <c r="F80" s="696">
        <f>'КМУ УЗИ'!I289</f>
        <v>19.86</v>
      </c>
      <c r="G80" s="696">
        <f>'КМУ УЗИ'!N289</f>
        <v>0.22307280480975736</v>
      </c>
      <c r="H80" s="696">
        <f>'КМУ УЗИ'!S289</f>
        <v>1.670192242604752</v>
      </c>
      <c r="I80" s="696">
        <f>'КМУ УЗИ'!Y289</f>
        <v>23.661475572758654</v>
      </c>
      <c r="J80" s="696">
        <f>(D80+E80+F80+G80+H80+I80)*'Исп. коэффициенты'!C91</f>
        <v>266.76076468118964</v>
      </c>
      <c r="K80" s="696">
        <f t="shared" si="19"/>
        <v>471.9317305036563</v>
      </c>
      <c r="L80" s="696">
        <v>15.6</v>
      </c>
      <c r="M80" s="864">
        <f t="shared" si="20"/>
        <v>487.53173050365632</v>
      </c>
      <c r="N80" s="867">
        <v>488</v>
      </c>
      <c r="O80" s="867"/>
      <c r="P80" s="866"/>
      <c r="Q80" s="947">
        <f t="shared" si="22"/>
        <v>487.53173050365632</v>
      </c>
      <c r="R80" s="868" t="e">
        <f t="shared" si="21"/>
        <v>#DIV/0!</v>
      </c>
    </row>
    <row r="81" spans="1:18" ht="15.6" x14ac:dyDescent="0.3">
      <c r="A81" s="958"/>
      <c r="B81" s="691" t="s">
        <v>2171</v>
      </c>
      <c r="C81" s="692" t="s">
        <v>2170</v>
      </c>
      <c r="D81" s="696">
        <f>'КМУ УЗИ'!C299</f>
        <v>106.32693857057801</v>
      </c>
      <c r="E81" s="696">
        <f>'КМУ УЗИ'!D299</f>
        <v>21.478041591256758</v>
      </c>
      <c r="F81" s="696">
        <f>'КМУ УЗИ'!I299</f>
        <v>19.86</v>
      </c>
      <c r="G81" s="696">
        <f>'КМУ УЗИ'!N299</f>
        <v>0.17845824384780587</v>
      </c>
      <c r="H81" s="696">
        <f>'КМУ УЗИ'!S299</f>
        <v>1.3361537940838015</v>
      </c>
      <c r="I81" s="696">
        <f>'КМУ УЗИ'!Y299</f>
        <v>18.929180458206922</v>
      </c>
      <c r="J81" s="696">
        <f>(D81+E81+F81+G81+H81+I81)*'Исп. коэффициенты'!C91</f>
        <v>218.57295726073258</v>
      </c>
      <c r="K81" s="696">
        <f t="shared" si="19"/>
        <v>386.68172991870586</v>
      </c>
      <c r="L81" s="696">
        <v>13.33</v>
      </c>
      <c r="M81" s="864">
        <f t="shared" si="20"/>
        <v>400.01172991870584</v>
      </c>
      <c r="N81" s="867">
        <v>400</v>
      </c>
      <c r="O81" s="867"/>
      <c r="P81" s="866"/>
      <c r="Q81" s="947">
        <f t="shared" si="22"/>
        <v>400.01172991870584</v>
      </c>
      <c r="R81" s="868" t="e">
        <f t="shared" si="21"/>
        <v>#DIV/0!</v>
      </c>
    </row>
    <row r="82" spans="1:18" ht="15.6" x14ac:dyDescent="0.3">
      <c r="A82" s="958"/>
      <c r="B82" s="691" t="s">
        <v>2173</v>
      </c>
      <c r="C82" s="692" t="s">
        <v>2172</v>
      </c>
      <c r="D82" s="696">
        <f>'КМУ УЗИ'!C309</f>
        <v>106.32693857057801</v>
      </c>
      <c r="E82" s="696">
        <f>'КМУ УЗИ'!D309</f>
        <v>21.478041591256758</v>
      </c>
      <c r="F82" s="696">
        <f>'КМУ УЗИ'!I309</f>
        <v>19.86</v>
      </c>
      <c r="G82" s="696">
        <f>'КМУ УЗИ'!N309</f>
        <v>0.17845824384780587</v>
      </c>
      <c r="H82" s="696">
        <f>'КМУ УЗИ'!S309</f>
        <v>1.3361537940838015</v>
      </c>
      <c r="I82" s="696">
        <f>'КМУ УЗИ'!Y309</f>
        <v>18.929180458206922</v>
      </c>
      <c r="J82" s="696">
        <f>(D82+E82+F82+G82+H82+I82)*'Исп. коэффициенты'!C91</f>
        <v>218.57295726073258</v>
      </c>
      <c r="K82" s="696">
        <f t="shared" si="19"/>
        <v>386.68172991870586</v>
      </c>
      <c r="L82" s="696">
        <v>13.33</v>
      </c>
      <c r="M82" s="864">
        <f t="shared" si="20"/>
        <v>400.01172991870584</v>
      </c>
      <c r="N82" s="867">
        <v>400</v>
      </c>
      <c r="O82" s="867"/>
      <c r="P82" s="866"/>
      <c r="Q82" s="947">
        <f t="shared" si="22"/>
        <v>400.01172991870584</v>
      </c>
      <c r="R82" s="868" t="e">
        <f t="shared" si="21"/>
        <v>#DIV/0!</v>
      </c>
    </row>
    <row r="83" spans="1:18" ht="15.6" x14ac:dyDescent="0.3">
      <c r="A83" s="958"/>
      <c r="B83" s="691" t="s">
        <v>2175</v>
      </c>
      <c r="C83" s="692" t="s">
        <v>2174</v>
      </c>
      <c r="D83" s="696">
        <f>'КМУ УЗИ'!C319</f>
        <v>159.49040785586701</v>
      </c>
      <c r="E83" s="696">
        <f>'КМУ УЗИ'!D319</f>
        <v>32.217062386885139</v>
      </c>
      <c r="F83" s="696">
        <f>'КМУ УЗИ'!I319</f>
        <v>19.86</v>
      </c>
      <c r="G83" s="696">
        <f>'КМУ УЗИ'!N319</f>
        <v>0.26768736577170882</v>
      </c>
      <c r="H83" s="696">
        <f>'КМУ УЗИ'!S319</f>
        <v>2.0042306911257022</v>
      </c>
      <c r="I83" s="696">
        <f>'КМУ УЗИ'!Y319</f>
        <v>28.393770687310383</v>
      </c>
      <c r="J83" s="696">
        <f>(D83+E83+F83+G83+H83+I83)*'Исп. коэффициенты'!C91</f>
        <v>314.94857210164673</v>
      </c>
      <c r="K83" s="696">
        <f t="shared" si="19"/>
        <v>557.18173108860674</v>
      </c>
      <c r="L83" s="696">
        <v>18.600000000000001</v>
      </c>
      <c r="M83" s="864">
        <f t="shared" si="20"/>
        <v>575.78173108860676</v>
      </c>
      <c r="N83" s="867">
        <v>576</v>
      </c>
      <c r="O83" s="867"/>
      <c r="P83" s="866"/>
      <c r="Q83" s="947">
        <f t="shared" si="22"/>
        <v>575.78173108860676</v>
      </c>
      <c r="R83" s="868" t="e">
        <f t="shared" si="21"/>
        <v>#DIV/0!</v>
      </c>
    </row>
    <row r="84" spans="1:18" ht="15.6" x14ac:dyDescent="0.3">
      <c r="A84" s="958"/>
      <c r="B84" s="691" t="s">
        <v>2177</v>
      </c>
      <c r="C84" s="692" t="s">
        <v>2176</v>
      </c>
      <c r="D84" s="696">
        <f>'КМУ УЗИ'!C329</f>
        <v>106.32693857057801</v>
      </c>
      <c r="E84" s="696">
        <f>'КМУ УЗИ'!D329</f>
        <v>21.478041591256758</v>
      </c>
      <c r="F84" s="696">
        <f>'КМУ УЗИ'!I329</f>
        <v>19.86</v>
      </c>
      <c r="G84" s="696">
        <f>'КМУ УЗИ'!N329</f>
        <v>0.17845824384780587</v>
      </c>
      <c r="H84" s="696">
        <f>'КМУ УЗИ'!S329</f>
        <v>1.3361537940838015</v>
      </c>
      <c r="I84" s="696">
        <f>'КМУ УЗИ'!Y329</f>
        <v>18.929180458206922</v>
      </c>
      <c r="J84" s="696">
        <f>(D84+E84+F84+G84+H84+I84)*'Исп. коэффициенты'!C91</f>
        <v>218.57295726073258</v>
      </c>
      <c r="K84" s="696">
        <f t="shared" si="19"/>
        <v>386.68172991870586</v>
      </c>
      <c r="L84" s="696">
        <v>13.33</v>
      </c>
      <c r="M84" s="864">
        <f t="shared" si="20"/>
        <v>400.01172991870584</v>
      </c>
      <c r="N84" s="867">
        <v>400</v>
      </c>
      <c r="O84" s="867"/>
      <c r="P84" s="866"/>
      <c r="Q84" s="947">
        <f t="shared" si="22"/>
        <v>400.01172991870584</v>
      </c>
      <c r="R84" s="868" t="e">
        <f t="shared" si="21"/>
        <v>#DIV/0!</v>
      </c>
    </row>
    <row r="85" spans="1:18" ht="15.6" x14ac:dyDescent="0.3">
      <c r="A85" s="958"/>
      <c r="B85" s="691" t="s">
        <v>2179</v>
      </c>
      <c r="C85" s="692" t="s">
        <v>2178</v>
      </c>
      <c r="D85" s="696">
        <f>'КМУ УЗИ'!C339</f>
        <v>79.745203927933503</v>
      </c>
      <c r="E85" s="696">
        <f>'КМУ УЗИ'!D339</f>
        <v>16.10853119344257</v>
      </c>
      <c r="F85" s="696">
        <f>'КМУ УЗИ'!I339</f>
        <v>19.86</v>
      </c>
      <c r="G85" s="696">
        <f>'КМУ УЗИ'!N339</f>
        <v>0.13384368288585441</v>
      </c>
      <c r="H85" s="696">
        <f>'КМУ УЗИ'!S339</f>
        <v>1.0021153455628511</v>
      </c>
      <c r="I85" s="696">
        <f>'КМУ УЗИ'!Y339</f>
        <v>14.196885343655191</v>
      </c>
      <c r="J85" s="696">
        <f>(D85+E85+F85+G85+H85+I85)*'Исп. коэффициенты'!C91</f>
        <v>170.38514984027552</v>
      </c>
      <c r="K85" s="696">
        <f t="shared" si="19"/>
        <v>301.43172933375547</v>
      </c>
      <c r="L85" s="696">
        <v>10.07</v>
      </c>
      <c r="M85" s="864">
        <f t="shared" si="20"/>
        <v>311.50172933375546</v>
      </c>
      <c r="N85" s="867">
        <v>312</v>
      </c>
      <c r="O85" s="867"/>
      <c r="P85" s="866"/>
      <c r="Q85" s="947">
        <f t="shared" si="22"/>
        <v>311.50172933375546</v>
      </c>
      <c r="R85" s="868" t="e">
        <f t="shared" si="21"/>
        <v>#DIV/0!</v>
      </c>
    </row>
    <row r="86" spans="1:18" ht="15.6" x14ac:dyDescent="0.3">
      <c r="A86" s="958"/>
      <c r="B86" s="691" t="s">
        <v>2181</v>
      </c>
      <c r="C86" s="692" t="s">
        <v>2180</v>
      </c>
      <c r="D86" s="696">
        <f>'КМУ УЗИ'!C349</f>
        <v>106.32693857057801</v>
      </c>
      <c r="E86" s="696">
        <f>'КМУ УЗИ'!D349</f>
        <v>21.478041591256758</v>
      </c>
      <c r="F86" s="696">
        <f>'КМУ УЗИ'!I349</f>
        <v>19.86</v>
      </c>
      <c r="G86" s="696">
        <f>'КМУ УЗИ'!N349</f>
        <v>0.44895971881538654</v>
      </c>
      <c r="H86" s="696">
        <f>'КМУ УЗИ'!S349</f>
        <v>1.3361537940838015</v>
      </c>
      <c r="I86" s="696">
        <f>'КМУ УЗИ'!Y349</f>
        <v>18.929180458206922</v>
      </c>
      <c r="J86" s="696">
        <f>(D86+E86+F86+G86+H86+I86)*'Исп. коэффициенты'!C91</f>
        <v>218.92465994936825</v>
      </c>
      <c r="K86" s="696">
        <f t="shared" si="19"/>
        <v>387.30393408230913</v>
      </c>
      <c r="L86" s="696">
        <v>12.33</v>
      </c>
      <c r="M86" s="864">
        <f>K86+L86</f>
        <v>399.63393408230911</v>
      </c>
      <c r="N86" s="867">
        <v>400</v>
      </c>
      <c r="O86" s="867"/>
      <c r="P86" s="866"/>
      <c r="Q86" s="947">
        <f t="shared" si="22"/>
        <v>399.63393408230911</v>
      </c>
      <c r="R86" s="868" t="e">
        <f t="shared" si="21"/>
        <v>#DIV/0!</v>
      </c>
    </row>
    <row r="87" spans="1:18" ht="15.6" x14ac:dyDescent="0.3">
      <c r="A87" s="958"/>
      <c r="B87" s="691" t="s">
        <v>2276</v>
      </c>
      <c r="C87" s="692" t="s">
        <v>2277</v>
      </c>
      <c r="D87" s="696">
        <f>'КМУ УЗИ'!C359</f>
        <v>202.00625671340509</v>
      </c>
      <c r="E87" s="696">
        <f>'КМУ УЗИ'!D359</f>
        <v>40.805263856107828</v>
      </c>
      <c r="F87" s="696">
        <f>'КМУ УЗИ'!I359</f>
        <v>19.86</v>
      </c>
      <c r="G87" s="696">
        <f>'КМУ УЗИ'!N359</f>
        <v>0.53537473154341764</v>
      </c>
      <c r="H87" s="696">
        <f>'КМУ УЗИ'!S359</f>
        <v>4.0084613822514044</v>
      </c>
      <c r="I87" s="696">
        <f>'КМУ УЗИ'!Y359</f>
        <v>56.787541374620766</v>
      </c>
      <c r="J87" s="696">
        <f>'КМУ УЗИ'!Z359</f>
        <v>421.26458048476059</v>
      </c>
      <c r="K87" s="696">
        <f t="shared" ref="K87:K89" si="23">SUM(D87:J87)</f>
        <v>745.2674785426891</v>
      </c>
      <c r="L87" s="696">
        <f t="shared" ref="L87:L88" si="24">K87*5%</f>
        <v>37.26337392713446</v>
      </c>
      <c r="M87" s="864">
        <f t="shared" ref="M87:M89" si="25">K87+L87</f>
        <v>782.53085246982357</v>
      </c>
      <c r="N87" s="867"/>
      <c r="O87" s="867"/>
      <c r="P87" s="866"/>
      <c r="Q87" s="947"/>
      <c r="R87" s="868"/>
    </row>
    <row r="88" spans="1:18" ht="15.6" x14ac:dyDescent="0.3">
      <c r="A88" s="958"/>
      <c r="B88" s="691" t="s">
        <v>2281</v>
      </c>
      <c r="C88" s="692" t="s">
        <v>2278</v>
      </c>
      <c r="D88" s="696">
        <f>'КМУ УЗИ'!C369</f>
        <v>186.07214249851151</v>
      </c>
      <c r="E88" s="696">
        <f>'КМУ УЗИ'!D369</f>
        <v>37.586572784699328</v>
      </c>
      <c r="F88" s="696">
        <f>'КМУ УЗИ'!I369</f>
        <v>19.86</v>
      </c>
      <c r="G88" s="696">
        <f>'КМУ УЗИ'!N369</f>
        <v>0.31230192673366031</v>
      </c>
      <c r="H88" s="696">
        <f>'КМУ УЗИ'!S369</f>
        <v>2.3382691396466528</v>
      </c>
      <c r="I88" s="696">
        <f>'КМУ УЗИ'!Y369</f>
        <v>33.126065801862111</v>
      </c>
      <c r="J88" s="696">
        <f>'КМУ УЗИ'!Z369</f>
        <v>363.13637952210371</v>
      </c>
      <c r="K88" s="696">
        <f t="shared" si="23"/>
        <v>642.4317316735569</v>
      </c>
      <c r="L88" s="696">
        <f t="shared" si="24"/>
        <v>32.121586583677846</v>
      </c>
      <c r="M88" s="864">
        <f t="shared" si="25"/>
        <v>674.55331825723476</v>
      </c>
      <c r="N88" s="867"/>
      <c r="O88" s="867"/>
      <c r="P88" s="866"/>
      <c r="Q88" s="947"/>
      <c r="R88" s="868"/>
    </row>
    <row r="89" spans="1:18" ht="15.6" x14ac:dyDescent="0.3">
      <c r="A89" s="958"/>
      <c r="B89" s="691" t="s">
        <v>2280</v>
      </c>
      <c r="C89" s="692" t="s">
        <v>2279</v>
      </c>
      <c r="D89" s="696">
        <f>'КМУ УЗИ'!C379</f>
        <v>313.65700549785856</v>
      </c>
      <c r="E89" s="696">
        <f>'КМУ УЗИ'!D379</f>
        <v>63.358715110567431</v>
      </c>
      <c r="F89" s="696">
        <f>'КМУ УЗИ'!I379</f>
        <v>19.86</v>
      </c>
      <c r="G89" s="696">
        <f>'КМУ УЗИ'!N379</f>
        <v>1.3816591219286685</v>
      </c>
      <c r="H89" s="696">
        <f>'КМУ УЗИ'!S379</f>
        <v>4.6765382792933057</v>
      </c>
      <c r="I89" s="696">
        <f>'КМУ УЗИ'!Y379</f>
        <v>66.252131603724223</v>
      </c>
      <c r="J89" s="696">
        <f>'КМУ УЗИ'!Z379</f>
        <v>610.02992733830786</v>
      </c>
      <c r="K89" s="696">
        <f t="shared" si="23"/>
        <v>1079.2159769516802</v>
      </c>
      <c r="L89" s="696">
        <v>20.58</v>
      </c>
      <c r="M89" s="864">
        <f t="shared" si="25"/>
        <v>1099.7959769516801</v>
      </c>
      <c r="N89" s="867"/>
      <c r="O89" s="867"/>
      <c r="P89" s="866"/>
      <c r="Q89" s="947"/>
      <c r="R89" s="868"/>
    </row>
    <row r="90" spans="1:18" ht="24" customHeight="1" x14ac:dyDescent="0.25">
      <c r="A90" s="1154" t="s">
        <v>1025</v>
      </c>
      <c r="B90" s="1154"/>
      <c r="C90" s="1154"/>
      <c r="D90" s="955"/>
      <c r="E90" s="956"/>
      <c r="F90" s="955"/>
      <c r="G90" s="955"/>
      <c r="H90" s="955"/>
      <c r="I90" s="956"/>
      <c r="J90" s="956"/>
      <c r="K90" s="956"/>
      <c r="L90" s="956"/>
      <c r="M90" s="960"/>
      <c r="N90" s="867"/>
      <c r="O90" s="867"/>
      <c r="P90" s="866"/>
      <c r="Q90" s="947"/>
      <c r="R90" s="868"/>
    </row>
    <row r="91" spans="1:18" x14ac:dyDescent="0.25">
      <c r="A91" s="961" t="s">
        <v>2007</v>
      </c>
      <c r="B91" s="962" t="s">
        <v>2007</v>
      </c>
      <c r="C91" s="963" t="s">
        <v>1748</v>
      </c>
      <c r="D91" s="863">
        <f>'КМУ параклиника '!C599</f>
        <v>43.133850346929165</v>
      </c>
      <c r="E91" s="863">
        <f t="shared" ref="E91:E97" si="26">D91*20.2%</f>
        <v>8.7130377700796906</v>
      </c>
      <c r="F91" s="863">
        <f>'КМУ параклиника '!I599</f>
        <v>7.8836000000000013</v>
      </c>
      <c r="G91" s="863">
        <f>'КМУ параклиника '!N599</f>
        <v>0.24114324711733182</v>
      </c>
      <c r="H91" s="863">
        <f>'КМУ параклиника '!S599</f>
        <v>0.31285638376744362</v>
      </c>
      <c r="I91" s="863">
        <f>'КМУ параклиника '!Y599</f>
        <v>13.046757431529358</v>
      </c>
      <c r="J91" s="863">
        <f>'КМУ параклиника '!Z599</f>
        <v>95.344382479602331</v>
      </c>
      <c r="K91" s="696">
        <f t="shared" ref="K91:K97" si="27">D91+I91+H91+G91+F91+E91+J91</f>
        <v>168.67562765902534</v>
      </c>
      <c r="L91" s="696">
        <f t="shared" ref="L91:L97" si="28">K91*3%</f>
        <v>5.0602688297707603</v>
      </c>
      <c r="M91" s="864">
        <f t="shared" ref="M91:M97" si="29">K91+L91</f>
        <v>173.7358964887961</v>
      </c>
      <c r="N91" s="867"/>
      <c r="O91" s="867">
        <v>138</v>
      </c>
      <c r="P91" s="866"/>
      <c r="Q91" s="947">
        <f t="shared" si="22"/>
        <v>35.735896488796101</v>
      </c>
      <c r="R91" s="868">
        <f t="shared" si="21"/>
        <v>125.89557716579426</v>
      </c>
    </row>
    <row r="92" spans="1:18" x14ac:dyDescent="0.25">
      <c r="A92" s="961" t="s">
        <v>1889</v>
      </c>
      <c r="B92" s="962" t="s">
        <v>1889</v>
      </c>
      <c r="C92" s="963" t="s">
        <v>2004</v>
      </c>
      <c r="D92" s="863">
        <f>'КМУ параклиника '!C608</f>
        <v>43.133850346929165</v>
      </c>
      <c r="E92" s="863">
        <f>'КМУ параклиника '!D608</f>
        <v>8.7130377700796924</v>
      </c>
      <c r="F92" s="863">
        <f>'КМУ параклиника '!I608</f>
        <v>226.62360000000001</v>
      </c>
      <c r="G92" s="863">
        <f>'КМУ параклиника '!N608</f>
        <v>0.24120314765219872</v>
      </c>
      <c r="H92" s="863">
        <f>'КМУ параклиника '!S608</f>
        <v>0.31351096350123886</v>
      </c>
      <c r="I92" s="863">
        <f>'КМУ параклиника '!Y608</f>
        <v>13.074054758512366</v>
      </c>
      <c r="J92" s="863">
        <f>'КМУ параклиника '!Z608</f>
        <v>379.78385900857421</v>
      </c>
      <c r="K92" s="696">
        <f t="shared" si="27"/>
        <v>671.88311599524889</v>
      </c>
      <c r="L92" s="696">
        <f t="shared" si="28"/>
        <v>20.156493479857467</v>
      </c>
      <c r="M92" s="864">
        <f t="shared" si="29"/>
        <v>692.03960947510632</v>
      </c>
      <c r="N92" s="867"/>
      <c r="O92" s="867">
        <v>625</v>
      </c>
      <c r="P92" s="866"/>
      <c r="Q92" s="947">
        <f t="shared" si="22"/>
        <v>67.039609475106317</v>
      </c>
      <c r="R92" s="868">
        <f t="shared" si="21"/>
        <v>110.72633751601701</v>
      </c>
    </row>
    <row r="93" spans="1:18" x14ac:dyDescent="0.25">
      <c r="A93" s="961" t="s">
        <v>1890</v>
      </c>
      <c r="B93" s="962" t="s">
        <v>1890</v>
      </c>
      <c r="C93" s="963" t="s">
        <v>2005</v>
      </c>
      <c r="D93" s="863">
        <f>'КМУ параклиника '!C617</f>
        <v>43.133850346929165</v>
      </c>
      <c r="E93" s="863">
        <f t="shared" si="26"/>
        <v>8.7130377700796906</v>
      </c>
      <c r="F93" s="863">
        <f>'КМУ параклиника '!I626</f>
        <v>346.8236</v>
      </c>
      <c r="G93" s="863">
        <f>'КМУ параклиника '!N617</f>
        <v>0.24120314765219872</v>
      </c>
      <c r="H93" s="863">
        <f>'КМУ параклиника '!S617</f>
        <v>0.31351096350123886</v>
      </c>
      <c r="I93" s="863">
        <f>'КМУ параклиника '!Y617</f>
        <v>13.074054758512366</v>
      </c>
      <c r="J93" s="863">
        <f>'КМУ параклиника '!Z626</f>
        <v>524.73783520699305</v>
      </c>
      <c r="K93" s="696">
        <f t="shared" si="27"/>
        <v>937.0370921936676</v>
      </c>
      <c r="L93" s="696">
        <f t="shared" si="28"/>
        <v>28.111112765810027</v>
      </c>
      <c r="M93" s="864">
        <f t="shared" si="29"/>
        <v>965.14820495947765</v>
      </c>
      <c r="N93" s="867"/>
      <c r="O93" s="867">
        <v>884</v>
      </c>
      <c r="P93" s="866"/>
      <c r="Q93" s="947">
        <f t="shared" si="22"/>
        <v>81.148204959477653</v>
      </c>
      <c r="R93" s="868">
        <f t="shared" si="21"/>
        <v>109.17966119451106</v>
      </c>
    </row>
    <row r="94" spans="1:18" x14ac:dyDescent="0.25">
      <c r="A94" s="961" t="s">
        <v>1890</v>
      </c>
      <c r="B94" s="962" t="s">
        <v>1890</v>
      </c>
      <c r="C94" s="963" t="s">
        <v>2006</v>
      </c>
      <c r="D94" s="863">
        <f>'КМУ параклиника '!C617</f>
        <v>43.133850346929165</v>
      </c>
      <c r="E94" s="863">
        <f t="shared" si="26"/>
        <v>8.7130377700796906</v>
      </c>
      <c r="F94" s="863">
        <f>'КМУ параклиника '!I617</f>
        <v>414.8836</v>
      </c>
      <c r="G94" s="863">
        <f>'КМУ параклиника '!N617</f>
        <v>0.24120314765219872</v>
      </c>
      <c r="H94" s="863">
        <f>'КМУ параклиника '!S617</f>
        <v>0.31351096350123886</v>
      </c>
      <c r="I94" s="863">
        <f>'КМУ параклиника '!Y626</f>
        <v>13.074054758512366</v>
      </c>
      <c r="J94" s="863">
        <f>'КМУ параклиника '!Z617</f>
        <v>613.22860957860587</v>
      </c>
      <c r="K94" s="696">
        <f t="shared" si="27"/>
        <v>1093.5878665652806</v>
      </c>
      <c r="L94" s="696">
        <f t="shared" si="28"/>
        <v>32.807635996958417</v>
      </c>
      <c r="M94" s="864">
        <f t="shared" si="29"/>
        <v>1126.395502562239</v>
      </c>
      <c r="N94" s="867"/>
      <c r="O94" s="867">
        <v>1037</v>
      </c>
      <c r="P94" s="866"/>
      <c r="Q94" s="947">
        <f t="shared" si="22"/>
        <v>89.395502562239017</v>
      </c>
      <c r="R94" s="868">
        <f t="shared" si="21"/>
        <v>108.62058848237599</v>
      </c>
    </row>
    <row r="95" spans="1:18" ht="27.6" x14ac:dyDescent="0.25">
      <c r="A95" s="962" t="s">
        <v>1997</v>
      </c>
      <c r="B95" s="962" t="s">
        <v>1997</v>
      </c>
      <c r="C95" s="963" t="s">
        <v>1996</v>
      </c>
      <c r="D95" s="696">
        <f>'КМУ параклиника '!C572</f>
        <v>34.713605968161033</v>
      </c>
      <c r="E95" s="696">
        <f t="shared" si="26"/>
        <v>7.0121484055685279</v>
      </c>
      <c r="F95" s="696">
        <f>'КМУ параклиника '!I572</f>
        <v>9.9736000000000011</v>
      </c>
      <c r="G95" s="696">
        <f>'КМУ параклиника '!N572</f>
        <v>0.24120314765219872</v>
      </c>
      <c r="H95" s="696">
        <f>'КМУ параклиника '!S572</f>
        <v>0.31351096350123886</v>
      </c>
      <c r="I95" s="696">
        <f>'КМУ параклиника '!Y572</f>
        <v>13.074054758512366</v>
      </c>
      <c r="J95" s="696">
        <f>'КМУ параклиника '!Z572</f>
        <v>84.938821834443289</v>
      </c>
      <c r="K95" s="696">
        <f t="shared" si="27"/>
        <v>150.26694507783867</v>
      </c>
      <c r="L95" s="696">
        <f t="shared" si="28"/>
        <v>4.5080083523351595</v>
      </c>
      <c r="M95" s="864">
        <f t="shared" si="29"/>
        <v>154.77495343017384</v>
      </c>
      <c r="N95" s="867"/>
      <c r="O95" s="867">
        <v>120</v>
      </c>
      <c r="P95" s="866"/>
      <c r="Q95" s="947">
        <f t="shared" si="22"/>
        <v>34.774953430173838</v>
      </c>
      <c r="R95" s="868">
        <f t="shared" si="21"/>
        <v>128.97912785847819</v>
      </c>
    </row>
    <row r="96" spans="1:18" x14ac:dyDescent="0.25">
      <c r="A96" s="962" t="s">
        <v>1994</v>
      </c>
      <c r="B96" s="962" t="s">
        <v>1994</v>
      </c>
      <c r="C96" s="963" t="s">
        <v>1749</v>
      </c>
      <c r="D96" s="696">
        <f>'КМУ параклиника '!C563</f>
        <v>34.713605968161033</v>
      </c>
      <c r="E96" s="696">
        <f t="shared" si="26"/>
        <v>7.0121484055685279</v>
      </c>
      <c r="F96" s="696">
        <f>'КМУ параклиника '!I563</f>
        <v>6.5736300000000005</v>
      </c>
      <c r="G96" s="696">
        <f>'КМУ параклиника '!N563</f>
        <v>0.24120314765219872</v>
      </c>
      <c r="H96" s="696">
        <f>'КМУ параклиника '!S563</f>
        <v>0.31351096350123886</v>
      </c>
      <c r="I96" s="696">
        <f>'КМУ параклиника '!Y563</f>
        <v>13.074054758512366</v>
      </c>
      <c r="J96" s="696">
        <f>'КМУ параклиника '!Z563</f>
        <v>80.518222684571825</v>
      </c>
      <c r="K96" s="696">
        <f t="shared" si="27"/>
        <v>142.44637592796721</v>
      </c>
      <c r="L96" s="696">
        <f t="shared" si="28"/>
        <v>4.273391277839016</v>
      </c>
      <c r="M96" s="864">
        <f t="shared" si="29"/>
        <v>146.71976720580622</v>
      </c>
      <c r="N96" s="867"/>
      <c r="O96" s="867">
        <v>120</v>
      </c>
      <c r="P96" s="866"/>
      <c r="Q96" s="947">
        <f t="shared" si="22"/>
        <v>26.719767205806221</v>
      </c>
      <c r="R96" s="868">
        <f t="shared" si="21"/>
        <v>122.26647267150518</v>
      </c>
    </row>
    <row r="97" spans="1:18" x14ac:dyDescent="0.25">
      <c r="A97" s="962" t="s">
        <v>1995</v>
      </c>
      <c r="B97" s="962" t="s">
        <v>1995</v>
      </c>
      <c r="C97" s="963" t="s">
        <v>99</v>
      </c>
      <c r="D97" s="696">
        <f>'КМУ параклиника '!C554</f>
        <v>16.199682785141814</v>
      </c>
      <c r="E97" s="696">
        <f t="shared" si="26"/>
        <v>3.2723359225986464</v>
      </c>
      <c r="F97" s="696">
        <f>'КМУ параклиника '!I554</f>
        <v>6.5736000000000008</v>
      </c>
      <c r="G97" s="696">
        <f>'КМУ параклиника '!N554</f>
        <v>0.1125614689043594</v>
      </c>
      <c r="H97" s="696">
        <f>'КМУ параклиника '!S554</f>
        <v>0.14630511630057816</v>
      </c>
      <c r="I97" s="696">
        <f>'КМУ параклиника '!Y554</f>
        <v>6.1012255539724372</v>
      </c>
      <c r="J97" s="696">
        <f>'КМУ параклиника '!Z554</f>
        <v>37.878855526175883</v>
      </c>
      <c r="K97" s="696">
        <f t="shared" si="27"/>
        <v>70.284566373093725</v>
      </c>
      <c r="L97" s="696">
        <f t="shared" si="28"/>
        <v>2.1085369911928118</v>
      </c>
      <c r="M97" s="864">
        <f t="shared" si="29"/>
        <v>72.393103364286532</v>
      </c>
      <c r="N97" s="867"/>
      <c r="O97" s="867">
        <v>68</v>
      </c>
      <c r="P97" s="866"/>
      <c r="Q97" s="947">
        <f t="shared" si="22"/>
        <v>4.3931033642865316</v>
      </c>
      <c r="R97" s="868">
        <f t="shared" si="21"/>
        <v>106.46044612395077</v>
      </c>
    </row>
    <row r="98" spans="1:18" ht="21.9" customHeight="1" x14ac:dyDescent="0.25">
      <c r="A98" s="1154" t="s">
        <v>240</v>
      </c>
      <c r="B98" s="1154"/>
      <c r="C98" s="1154"/>
      <c r="D98" s="955"/>
      <c r="E98" s="696"/>
      <c r="F98" s="955"/>
      <c r="G98" s="955"/>
      <c r="H98" s="955"/>
      <c r="I98" s="696"/>
      <c r="J98" s="696"/>
      <c r="K98" s="696"/>
      <c r="L98" s="696"/>
      <c r="M98" s="864"/>
      <c r="N98" s="867"/>
      <c r="O98" s="867"/>
      <c r="P98" s="866"/>
      <c r="Q98" s="964"/>
      <c r="R98" s="868"/>
    </row>
    <row r="99" spans="1:18" ht="14.25" customHeight="1" x14ac:dyDescent="0.3">
      <c r="A99" s="689" t="s">
        <v>1921</v>
      </c>
      <c r="B99" s="689" t="s">
        <v>1921</v>
      </c>
      <c r="C99" s="692" t="s">
        <v>938</v>
      </c>
      <c r="D99" s="696">
        <f>'КМУ гинекол.каб.'!C7</f>
        <v>65.857895719332447</v>
      </c>
      <c r="E99" s="696">
        <f>D99*20.2%</f>
        <v>13.303294935305154</v>
      </c>
      <c r="F99" s="696">
        <f>'КМУ гинекол.каб.'!I7</f>
        <v>13.11</v>
      </c>
      <c r="G99" s="696">
        <f>'КМУ гинекол.каб.'!N7</f>
        <v>8.2000430473983976E-2</v>
      </c>
      <c r="H99" s="696">
        <f>'КМУ гинекол.каб.'!S7</f>
        <v>0.21901767273821282</v>
      </c>
      <c r="I99" s="696">
        <f>'КМУ гинекол.каб.'!Y7</f>
        <v>8.6978382876862383</v>
      </c>
      <c r="J99" s="696">
        <f>'КМУ гинекол.каб.'!Z7</f>
        <v>131.67006881735438</v>
      </c>
      <c r="K99" s="696">
        <f>D99+J99+H99+G99+F99+E99</f>
        <v>224.24227757520416</v>
      </c>
      <c r="L99" s="696">
        <f>K99*3%</f>
        <v>6.727268327256124</v>
      </c>
      <c r="M99" s="864">
        <f>K99+L99</f>
        <v>230.96954590246028</v>
      </c>
      <c r="N99" s="867"/>
      <c r="O99" s="867">
        <v>207</v>
      </c>
      <c r="P99" s="866"/>
      <c r="Q99" s="947">
        <f>M99-O99</f>
        <v>23.969545902460283</v>
      </c>
      <c r="R99" s="868">
        <f t="shared" si="21"/>
        <v>111.57949077413541</v>
      </c>
    </row>
    <row r="100" spans="1:18" ht="15.6" x14ac:dyDescent="0.3">
      <c r="A100" s="689" t="s">
        <v>1922</v>
      </c>
      <c r="B100" s="689" t="s">
        <v>1922</v>
      </c>
      <c r="C100" s="692" t="s">
        <v>1718</v>
      </c>
      <c r="D100" s="696">
        <f>'КМУ гинекол.каб.'!C17</f>
        <v>59.272106147399199</v>
      </c>
      <c r="E100" s="696">
        <f t="shared" ref="E100:E110" si="30">D100*20.2%</f>
        <v>11.972965441774637</v>
      </c>
      <c r="F100" s="696">
        <f>'КМУ гинекол.каб.'!I17</f>
        <v>13.11</v>
      </c>
      <c r="G100" s="696">
        <f>'КМУ гинекол.каб.'!N17</f>
        <v>7.3800387426585595E-2</v>
      </c>
      <c r="H100" s="696">
        <f>'КМУ гинекол.каб.'!S17</f>
        <v>0.18771425440062378</v>
      </c>
      <c r="I100" s="696">
        <f>'КМУ гинекол.каб.'!Y17</f>
        <v>7.8280544589176149</v>
      </c>
      <c r="J100" s="696">
        <f>'КМУ гинекол.каб.'!Z17</f>
        <v>120.19538408986782</v>
      </c>
      <c r="K100" s="696">
        <f>D100+J100+H100+G100+F100+E100</f>
        <v>204.81197032086885</v>
      </c>
      <c r="L100" s="696">
        <f t="shared" ref="L100:L109" si="31">K100*3%</f>
        <v>6.1443591096260652</v>
      </c>
      <c r="M100" s="864">
        <f t="shared" ref="M100:M107" si="32">K100+L100</f>
        <v>210.95632943049492</v>
      </c>
      <c r="N100" s="867"/>
      <c r="O100" s="867">
        <v>190</v>
      </c>
      <c r="P100" s="866"/>
      <c r="Q100" s="947">
        <f t="shared" ref="Q100:Q110" si="33">M100-O100</f>
        <v>20.956329430494918</v>
      </c>
      <c r="R100" s="868">
        <f t="shared" si="21"/>
        <v>111.02964706868153</v>
      </c>
    </row>
    <row r="101" spans="1:18" ht="15.6" x14ac:dyDescent="0.3">
      <c r="A101" s="689" t="s">
        <v>1923</v>
      </c>
      <c r="B101" s="689" t="s">
        <v>1923</v>
      </c>
      <c r="C101" s="692" t="s">
        <v>918</v>
      </c>
      <c r="D101" s="696">
        <f>'КМУ гинекол.каб.'!C47</f>
        <v>52.686316575465959</v>
      </c>
      <c r="E101" s="696">
        <f t="shared" si="30"/>
        <v>10.642635948244124</v>
      </c>
      <c r="F101" s="696">
        <f>'КМУ гинекол.каб.'!I47</f>
        <v>13.11</v>
      </c>
      <c r="G101" s="696">
        <f>'КМУ гинекол.каб.'!N47</f>
        <v>6.5600344379187187E-2</v>
      </c>
      <c r="H101" s="696">
        <f>'КМУ гинекол.каб.'!S47</f>
        <v>0.16685711502277673</v>
      </c>
      <c r="I101" s="696">
        <f>'КМУ гинекол.каб.'!Y47</f>
        <v>6.9582706301489914</v>
      </c>
      <c r="J101" s="696">
        <f>'КМУ гинекол.каб.'!Z47</f>
        <v>108.73428148572026</v>
      </c>
      <c r="K101" s="696">
        <f>D101+J101+H101+G101+F101+E101</f>
        <v>185.40569146883232</v>
      </c>
      <c r="L101" s="696">
        <f t="shared" si="31"/>
        <v>5.5621707440649697</v>
      </c>
      <c r="M101" s="864">
        <f t="shared" si="32"/>
        <v>190.96786221289727</v>
      </c>
      <c r="N101" s="867"/>
      <c r="O101" s="867">
        <v>171</v>
      </c>
      <c r="P101" s="866"/>
      <c r="Q101" s="947">
        <f t="shared" si="33"/>
        <v>19.967862212897273</v>
      </c>
      <c r="R101" s="868">
        <f t="shared" si="21"/>
        <v>111.67711240520308</v>
      </c>
    </row>
    <row r="102" spans="1:18" ht="15.6" x14ac:dyDescent="0.3">
      <c r="A102" s="689" t="s">
        <v>1924</v>
      </c>
      <c r="B102" s="689" t="s">
        <v>1924</v>
      </c>
      <c r="C102" s="692" t="s">
        <v>1241</v>
      </c>
      <c r="D102" s="696">
        <f>'КМУ гинекол.каб.'!C57</f>
        <v>20.200625671340511</v>
      </c>
      <c r="E102" s="696">
        <f t="shared" si="30"/>
        <v>4.0805263856107832</v>
      </c>
      <c r="F102" s="696">
        <f>'КМУ гинекол.каб.'!I57</f>
        <v>13.11</v>
      </c>
      <c r="G102" s="696">
        <f>'КМУ гинекол.каб.'!N57</f>
        <v>4.1000215236991988E-2</v>
      </c>
      <c r="H102" s="696">
        <f>'КМУ гинекол.каб.'!S57</f>
        <v>0.10428569688923545</v>
      </c>
      <c r="I102" s="696">
        <f>'КМУ гинекол.каб.'!Y57</f>
        <v>4.3489191438431192</v>
      </c>
      <c r="J102" s="696">
        <f>'КМУ гинекол.каб.'!Z57</f>
        <v>54.458825826533726</v>
      </c>
      <c r="K102" s="696">
        <f>D102+J102+H102+G102+F102+E102</f>
        <v>91.995263795611251</v>
      </c>
      <c r="L102" s="696">
        <f t="shared" si="31"/>
        <v>2.7598579138683372</v>
      </c>
      <c r="M102" s="864">
        <f t="shared" si="32"/>
        <v>94.755121709479582</v>
      </c>
      <c r="N102" s="867"/>
      <c r="O102" s="867">
        <v>86</v>
      </c>
      <c r="P102" s="866"/>
      <c r="Q102" s="947">
        <f t="shared" si="33"/>
        <v>8.7551217094795817</v>
      </c>
      <c r="R102" s="868">
        <f t="shared" si="21"/>
        <v>110.18037408079022</v>
      </c>
    </row>
    <row r="103" spans="1:18" ht="15.6" x14ac:dyDescent="0.3">
      <c r="A103" s="689" t="s">
        <v>1925</v>
      </c>
      <c r="B103" s="689" t="s">
        <v>1925</v>
      </c>
      <c r="C103" s="692" t="s">
        <v>1719</v>
      </c>
      <c r="D103" s="696">
        <f>'КМУ гинекол.каб.'!C27</f>
        <v>197.57368715799734</v>
      </c>
      <c r="E103" s="696">
        <f t="shared" si="30"/>
        <v>39.909884805915461</v>
      </c>
      <c r="F103" s="696">
        <f>'КМУ гинекол.каб.'!I27</f>
        <v>13.11</v>
      </c>
      <c r="G103" s="696">
        <f>'КМУ гинекол.каб.'!N27</f>
        <v>0.24600129142195196</v>
      </c>
      <c r="H103" s="696">
        <f>'КМУ гинекол.каб.'!S27</f>
        <v>0.62571418133541268</v>
      </c>
      <c r="I103" s="696">
        <f>'КМУ гинекол.каб.'!Y27</f>
        <v>26.093514863058715</v>
      </c>
      <c r="J103" s="696">
        <f>'КМУ гинекол.каб.'!Z27</f>
        <v>360.8785387769671</v>
      </c>
      <c r="K103" s="696">
        <f>J103+H103+G103+F103+E103+D103</f>
        <v>612.34382621363727</v>
      </c>
      <c r="L103" s="696">
        <f t="shared" si="31"/>
        <v>18.370314786409118</v>
      </c>
      <c r="M103" s="864">
        <f t="shared" si="32"/>
        <v>630.71414100004642</v>
      </c>
      <c r="N103" s="867"/>
      <c r="O103" s="867">
        <v>551</v>
      </c>
      <c r="P103" s="866"/>
      <c r="Q103" s="947">
        <f t="shared" si="33"/>
        <v>79.714141000046425</v>
      </c>
      <c r="R103" s="868">
        <f t="shared" si="21"/>
        <v>114.46717622505381</v>
      </c>
    </row>
    <row r="104" spans="1:18" ht="15.6" x14ac:dyDescent="0.3">
      <c r="A104" s="689" t="s">
        <v>1926</v>
      </c>
      <c r="B104" s="689" t="s">
        <v>1926</v>
      </c>
      <c r="C104" s="692" t="s">
        <v>945</v>
      </c>
      <c r="D104" s="696">
        <f>'КМУ гинекол.каб.'!C37</f>
        <v>32.928947859666224</v>
      </c>
      <c r="E104" s="696">
        <f t="shared" si="30"/>
        <v>6.6516474676525768</v>
      </c>
      <c r="F104" s="696">
        <f>'КМУ гинекол.каб.'!I37</f>
        <v>13.11</v>
      </c>
      <c r="G104" s="696">
        <f>'КМУ гинекол.каб.'!N37</f>
        <v>4.1000215236991988E-2</v>
      </c>
      <c r="H104" s="696">
        <f>'КМУ гинекол.каб.'!S37</f>
        <v>0.10428569688923545</v>
      </c>
      <c r="I104" s="696">
        <f>'КМУ гинекол.каб.'!Y37</f>
        <v>4.3489191438431192</v>
      </c>
      <c r="J104" s="696">
        <f>'КМУ гинекол.каб.'!Z37</f>
        <v>68.69656252549305</v>
      </c>
      <c r="K104" s="696">
        <f t="shared" ref="K104:K110" si="34">D104+J104+H104+G104+F104+E104</f>
        <v>121.53244376493808</v>
      </c>
      <c r="L104" s="696">
        <f t="shared" si="31"/>
        <v>3.6459733129481422</v>
      </c>
      <c r="M104" s="864">
        <f t="shared" si="32"/>
        <v>125.17841707788622</v>
      </c>
      <c r="N104" s="867"/>
      <c r="O104" s="867">
        <v>120</v>
      </c>
      <c r="P104" s="866"/>
      <c r="Q104" s="947">
        <f t="shared" si="33"/>
        <v>5.1784170778862233</v>
      </c>
      <c r="R104" s="868">
        <f t="shared" si="21"/>
        <v>104.3153475649052</v>
      </c>
    </row>
    <row r="105" spans="1:18" ht="15.6" x14ac:dyDescent="0.3">
      <c r="A105" s="689" t="s">
        <v>1928</v>
      </c>
      <c r="B105" s="689" t="s">
        <v>1928</v>
      </c>
      <c r="C105" s="692" t="s">
        <v>1927</v>
      </c>
      <c r="D105" s="696">
        <f>'КМУ гинекол.каб.'!C67</f>
        <v>32.928947859666224</v>
      </c>
      <c r="E105" s="696">
        <f t="shared" si="30"/>
        <v>6.6516474676525768</v>
      </c>
      <c r="F105" s="696">
        <f>'КМУ гинекол.каб.'!I67</f>
        <v>13.11</v>
      </c>
      <c r="G105" s="696">
        <f>'КМУ гинекол.каб.'!N67</f>
        <v>4.1000215236991988E-2</v>
      </c>
      <c r="H105" s="696">
        <f>'КМУ гинекол.каб.'!S67</f>
        <v>0.10428569688923545</v>
      </c>
      <c r="I105" s="696">
        <f>'КМУ гинекол.каб.'!Y67</f>
        <v>4.3489191438431192</v>
      </c>
      <c r="J105" s="696">
        <f>'КМУ гинекол.каб.'!Z67</f>
        <v>74.350973673277494</v>
      </c>
      <c r="K105" s="696">
        <f t="shared" si="34"/>
        <v>127.18685491272252</v>
      </c>
      <c r="L105" s="696">
        <f t="shared" si="31"/>
        <v>3.8156056473816755</v>
      </c>
      <c r="M105" s="864">
        <f t="shared" si="32"/>
        <v>131.0024605601042</v>
      </c>
      <c r="N105" s="867"/>
      <c r="O105" s="867">
        <v>120</v>
      </c>
      <c r="P105" s="866"/>
      <c r="Q105" s="947">
        <f t="shared" si="33"/>
        <v>11.002460560104197</v>
      </c>
      <c r="R105" s="868">
        <f t="shared" si="21"/>
        <v>109.16871713342016</v>
      </c>
    </row>
    <row r="106" spans="1:18" ht="15.6" x14ac:dyDescent="0.3">
      <c r="A106" s="689" t="s">
        <v>2000</v>
      </c>
      <c r="B106" s="689" t="s">
        <v>2000</v>
      </c>
      <c r="C106" s="692" t="s">
        <v>948</v>
      </c>
      <c r="D106" s="696">
        <f>'КМУ гинекол.каб.'!C77</f>
        <v>25.456644376651425</v>
      </c>
      <c r="E106" s="696">
        <f t="shared" si="30"/>
        <v>5.1422421640835871</v>
      </c>
      <c r="F106" s="696">
        <f>'КМУ гинекол.каб.'!I77</f>
        <v>13.11</v>
      </c>
      <c r="G106" s="696">
        <f>'КМУ гинекол.каб.'!N77</f>
        <v>8.2000430473983976E-2</v>
      </c>
      <c r="H106" s="696">
        <f>'КМУ гинекол.каб.'!S77</f>
        <v>0.20857139377847089</v>
      </c>
      <c r="I106" s="696">
        <f>'КМУ гинекол.каб.'!Y77</f>
        <v>8.6978382876862383</v>
      </c>
      <c r="J106" s="696">
        <f>'КМУ гинекол.каб.'!Z77</f>
        <v>68.516376551361915</v>
      </c>
      <c r="K106" s="696">
        <f t="shared" si="34"/>
        <v>112.51583491634938</v>
      </c>
      <c r="L106" s="696">
        <f t="shared" si="31"/>
        <v>3.3754750474904811</v>
      </c>
      <c r="M106" s="864">
        <f t="shared" si="32"/>
        <v>115.89130996383986</v>
      </c>
      <c r="N106" s="867"/>
      <c r="O106" s="867">
        <v>100</v>
      </c>
      <c r="P106" s="866"/>
      <c r="Q106" s="947">
        <f t="shared" si="33"/>
        <v>15.891309963839859</v>
      </c>
      <c r="R106" s="868">
        <f t="shared" si="21"/>
        <v>115.89130996383984</v>
      </c>
    </row>
    <row r="107" spans="1:18" ht="15.6" x14ac:dyDescent="0.3">
      <c r="A107" s="689" t="s">
        <v>1929</v>
      </c>
      <c r="B107" s="689" t="s">
        <v>1929</v>
      </c>
      <c r="C107" s="692" t="s">
        <v>768</v>
      </c>
      <c r="D107" s="696">
        <f>'КМУ гинекол.каб.'!C87</f>
        <v>32.928947859666224</v>
      </c>
      <c r="E107" s="696">
        <f t="shared" si="30"/>
        <v>6.6516474676525768</v>
      </c>
      <c r="F107" s="696">
        <f>'КМУ гинекол.каб.'!I87</f>
        <v>13.11</v>
      </c>
      <c r="G107" s="696">
        <f>'КМУ гинекол.каб.'!N87</f>
        <v>4.1000215236991988E-2</v>
      </c>
      <c r="H107" s="696">
        <f>'КМУ гинекол.каб.'!S87</f>
        <v>0.10950883636910641</v>
      </c>
      <c r="I107" s="696">
        <f>'КМУ гинекол.каб.'!Y87</f>
        <v>4.3489191438431192</v>
      </c>
      <c r="J107" s="696">
        <f>'КМУ гинекол.каб.'!Z87</f>
        <v>74.357764734946969</v>
      </c>
      <c r="K107" s="696">
        <f t="shared" si="34"/>
        <v>127.19886911387187</v>
      </c>
      <c r="L107" s="696">
        <f t="shared" si="31"/>
        <v>3.8159660734161558</v>
      </c>
      <c r="M107" s="864">
        <f t="shared" si="32"/>
        <v>131.01483518728801</v>
      </c>
      <c r="N107" s="867"/>
      <c r="O107" s="867">
        <v>120</v>
      </c>
      <c r="P107" s="866"/>
      <c r="Q107" s="947">
        <f t="shared" si="33"/>
        <v>11.014835187288014</v>
      </c>
      <c r="R107" s="868">
        <f t="shared" si="21"/>
        <v>109.17902932274002</v>
      </c>
    </row>
    <row r="108" spans="1:18" ht="15.6" x14ac:dyDescent="0.3">
      <c r="A108" s="689" t="s">
        <v>1930</v>
      </c>
      <c r="B108" s="689" t="s">
        <v>1930</v>
      </c>
      <c r="C108" s="692" t="s">
        <v>1729</v>
      </c>
      <c r="D108" s="696">
        <f>'КМУ гинекол.каб.'!C97</f>
        <v>131.71579143866489</v>
      </c>
      <c r="E108" s="696">
        <f t="shared" si="30"/>
        <v>26.606589870610307</v>
      </c>
      <c r="F108" s="696">
        <f>'КМУ гинекол.каб.'!I97</f>
        <v>13.11</v>
      </c>
      <c r="G108" s="696">
        <f>'КМУ гинекол.каб.'!N97</f>
        <v>0.16400086094796795</v>
      </c>
      <c r="H108" s="696">
        <f>'КМУ гинекол.каб.'!S97</f>
        <v>0.43803534547642564</v>
      </c>
      <c r="I108" s="696">
        <f>'КМУ гинекол.каб.'!Y97</f>
        <v>17.395676575372477</v>
      </c>
      <c r="J108" s="696">
        <f>'КМУ гинекол.каб.'!Z97</f>
        <v>246.29467698216922</v>
      </c>
      <c r="K108" s="696">
        <f t="shared" si="34"/>
        <v>418.32909449786882</v>
      </c>
      <c r="L108" s="696">
        <f t="shared" si="31"/>
        <v>12.549872834936064</v>
      </c>
      <c r="M108" s="864">
        <f t="shared" ref="M108" si="35">K108+L108</f>
        <v>430.8789673328049</v>
      </c>
      <c r="N108" s="867"/>
      <c r="O108" s="867">
        <v>378</v>
      </c>
      <c r="P108" s="866"/>
      <c r="Q108" s="947">
        <f t="shared" si="33"/>
        <v>52.878967332804905</v>
      </c>
      <c r="R108" s="868">
        <f t="shared" si="21"/>
        <v>113.98914479703835</v>
      </c>
    </row>
    <row r="109" spans="1:18" ht="15.6" x14ac:dyDescent="0.3">
      <c r="A109" s="689" t="s">
        <v>1931</v>
      </c>
      <c r="B109" s="689" t="s">
        <v>1931</v>
      </c>
      <c r="C109" s="692" t="s">
        <v>1730</v>
      </c>
      <c r="D109" s="696">
        <f>'КМУ гинекол.каб.'!C107</f>
        <v>32.928947859666224</v>
      </c>
      <c r="E109" s="696">
        <f t="shared" si="30"/>
        <v>6.6516474676525768</v>
      </c>
      <c r="F109" s="696">
        <f>'КМУ гинекол.каб.'!I107</f>
        <v>13.11</v>
      </c>
      <c r="G109" s="696">
        <f>'КМУ гинекол.каб.'!N107</f>
        <v>4.1000215236991988E-2</v>
      </c>
      <c r="H109" s="696">
        <f>'КМУ гинекол.каб.'!S107</f>
        <v>0.10950883636910641</v>
      </c>
      <c r="I109" s="696">
        <f>'КМУ гинекол.каб.'!Y107</f>
        <v>4.3489191438431192</v>
      </c>
      <c r="J109" s="696">
        <f>'КМУ гинекол.каб.'!Z107</f>
        <v>74.357764734946969</v>
      </c>
      <c r="K109" s="696">
        <f t="shared" si="34"/>
        <v>127.19886911387187</v>
      </c>
      <c r="L109" s="696">
        <f t="shared" si="31"/>
        <v>3.8159660734161558</v>
      </c>
      <c r="M109" s="864">
        <f t="shared" ref="M109:M110" si="36">K109+L109</f>
        <v>131.01483518728801</v>
      </c>
      <c r="N109" s="867"/>
      <c r="O109" s="867">
        <v>120</v>
      </c>
      <c r="P109" s="866"/>
      <c r="Q109" s="947">
        <f t="shared" si="33"/>
        <v>11.014835187288014</v>
      </c>
      <c r="R109" s="868">
        <f t="shared" si="21"/>
        <v>109.17902932274002</v>
      </c>
    </row>
    <row r="110" spans="1:18" ht="15.6" x14ac:dyDescent="0.3">
      <c r="A110" s="689" t="s">
        <v>1932</v>
      </c>
      <c r="B110" s="689" t="s">
        <v>1932</v>
      </c>
      <c r="C110" s="692" t="s">
        <v>1751</v>
      </c>
      <c r="D110" s="696">
        <f>'КМУ гинекол.каб.'!C117</f>
        <v>131.71579143866489</v>
      </c>
      <c r="E110" s="696">
        <f t="shared" si="30"/>
        <v>26.606589870610307</v>
      </c>
      <c r="F110" s="696">
        <f>'КМУ гинекол.каб.'!I117</f>
        <v>13.11</v>
      </c>
      <c r="G110" s="696">
        <f>'КМУ гинекол.каб.'!N117</f>
        <v>0.16400086094796795</v>
      </c>
      <c r="H110" s="696">
        <f>'КМУ гинекол.каб.'!S117</f>
        <v>4.8583615047226028</v>
      </c>
      <c r="I110" s="696">
        <f>'КМУ гинекол.каб.'!Y117</f>
        <v>17.395676575372477</v>
      </c>
      <c r="J110" s="956">
        <f>'КМУ гинекол.каб.'!Z117</f>
        <v>252.0419306525599</v>
      </c>
      <c r="K110" s="696">
        <f t="shared" si="34"/>
        <v>428.49667432750567</v>
      </c>
      <c r="L110" s="696">
        <f>K110*8%</f>
        <v>34.279733946200452</v>
      </c>
      <c r="M110" s="864">
        <f t="shared" si="36"/>
        <v>462.77640827370612</v>
      </c>
      <c r="N110" s="867"/>
      <c r="O110" s="867">
        <v>490</v>
      </c>
      <c r="P110" s="866"/>
      <c r="Q110" s="947">
        <f t="shared" si="33"/>
        <v>-27.223591726293876</v>
      </c>
      <c r="R110" s="868">
        <f t="shared" si="21"/>
        <v>94.444164953817577</v>
      </c>
    </row>
    <row r="111" spans="1:18" ht="21.9" customHeight="1" x14ac:dyDescent="0.25">
      <c r="A111" s="1154" t="s">
        <v>692</v>
      </c>
      <c r="B111" s="1154"/>
      <c r="C111" s="1154"/>
      <c r="D111" s="955"/>
      <c r="E111" s="956"/>
      <c r="F111" s="955"/>
      <c r="G111" s="955"/>
      <c r="H111" s="955"/>
      <c r="I111" s="955"/>
      <c r="J111" s="956"/>
      <c r="K111" s="956"/>
      <c r="L111" s="956"/>
      <c r="M111" s="965"/>
      <c r="N111" s="867"/>
      <c r="O111" s="867"/>
      <c r="P111" s="866"/>
      <c r="Q111" s="964"/>
      <c r="R111" s="868"/>
    </row>
    <row r="112" spans="1:18" ht="15.6" x14ac:dyDescent="0.3">
      <c r="A112" s="691" t="s">
        <v>2045</v>
      </c>
      <c r="B112" s="691" t="s">
        <v>2045</v>
      </c>
      <c r="C112" s="692" t="s">
        <v>1752</v>
      </c>
      <c r="D112" s="696">
        <f>'КМУ хирург.каб.'!C8</f>
        <v>26.581734642644502</v>
      </c>
      <c r="E112" s="696">
        <f>D112*20.2%</f>
        <v>5.3695103978141887</v>
      </c>
      <c r="F112" s="696">
        <f>'КМУ хирург.каб.'!I8</f>
        <v>10.375</v>
      </c>
      <c r="G112" s="696">
        <f>'КМУ хирург.каб.'!N8</f>
        <v>8.2000430473983976E-2</v>
      </c>
      <c r="H112" s="696">
        <f>'КМУ хирург.каб.'!S8</f>
        <v>0.10428569688923545</v>
      </c>
      <c r="I112" s="696">
        <f>'КМУ хирург.каб.'!Y8</f>
        <v>4.3489191438431192</v>
      </c>
      <c r="J112" s="696">
        <f>'КМУ хирург.каб.'!Z8</f>
        <v>60.928680961740994</v>
      </c>
      <c r="K112" s="696">
        <f t="shared" ref="K112:K122" si="37">J112+H112+G112+F112+E112+D112</f>
        <v>103.4412121295629</v>
      </c>
      <c r="L112" s="696">
        <f>K112*6%</f>
        <v>6.2064727277737735</v>
      </c>
      <c r="M112" s="864">
        <f t="shared" ref="M112:M120" si="38">K112+L112</f>
        <v>109.64768485733667</v>
      </c>
      <c r="N112" s="867"/>
      <c r="O112" s="867">
        <v>108</v>
      </c>
      <c r="P112" s="866"/>
      <c r="Q112" s="947">
        <f>M112-O112</f>
        <v>1.6476848573366709</v>
      </c>
      <c r="R112" s="868">
        <f t="shared" si="21"/>
        <v>101.52563412716358</v>
      </c>
    </row>
    <row r="113" spans="1:18" ht="15.6" x14ac:dyDescent="0.3">
      <c r="A113" s="691" t="s">
        <v>2046</v>
      </c>
      <c r="B113" s="691" t="s">
        <v>2046</v>
      </c>
      <c r="C113" s="692" t="s">
        <v>1753</v>
      </c>
      <c r="D113" s="696">
        <f>'КМУ хирург.каб.'!C18</f>
        <v>21.265387714115601</v>
      </c>
      <c r="E113" s="696">
        <f t="shared" ref="E113:E135" si="39">D113*20.2%</f>
        <v>4.2956083182513511</v>
      </c>
      <c r="F113" s="696">
        <f>'КМУ хирург.каб.'!I18</f>
        <v>10.375</v>
      </c>
      <c r="G113" s="696">
        <f>'КМУ хирург.каб.'!N18</f>
        <v>6.5600344379187187E-2</v>
      </c>
      <c r="H113" s="696">
        <f>'КМУ хирург.каб.'!S18</f>
        <v>8.3428557511388363E-2</v>
      </c>
      <c r="I113" s="696">
        <f>'КМУ хирург.каб.'!Y18</f>
        <v>3.4791353150744957</v>
      </c>
      <c r="J113" s="696">
        <f>'КМУ хирург.каб.'!Z18</f>
        <v>51.440834231941963</v>
      </c>
      <c r="K113" s="696">
        <f t="shared" si="37"/>
        <v>87.525859166199496</v>
      </c>
      <c r="L113" s="696">
        <f t="shared" ref="L113:L114" si="40">K113*6%</f>
        <v>5.2515515499719694</v>
      </c>
      <c r="M113" s="864">
        <f t="shared" si="38"/>
        <v>92.77741071617146</v>
      </c>
      <c r="N113" s="867"/>
      <c r="O113" s="867">
        <v>92</v>
      </c>
      <c r="P113" s="866"/>
      <c r="Q113" s="947">
        <f t="shared" ref="Q113:Q120" si="41">M113-O113</f>
        <v>0.77741071617145963</v>
      </c>
      <c r="R113" s="868">
        <f t="shared" si="21"/>
        <v>100.84501164801244</v>
      </c>
    </row>
    <row r="114" spans="1:18" ht="15.6" x14ac:dyDescent="0.3">
      <c r="A114" s="691" t="s">
        <v>2047</v>
      </c>
      <c r="B114" s="691" t="s">
        <v>2047</v>
      </c>
      <c r="C114" s="692" t="s">
        <v>1754</v>
      </c>
      <c r="D114" s="696">
        <f>'КМУ хирург.каб.'!C28</f>
        <v>21.265387714115601</v>
      </c>
      <c r="E114" s="696">
        <f t="shared" si="39"/>
        <v>4.2956083182513511</v>
      </c>
      <c r="F114" s="696">
        <f>'КМУ хирург.каб.'!I28</f>
        <v>10.375</v>
      </c>
      <c r="G114" s="696">
        <f>'КМУ хирург.каб.'!N28</f>
        <v>6.5600344379187187E-2</v>
      </c>
      <c r="H114" s="696">
        <f>'КМУ хирург.каб.'!S28</f>
        <v>8.3428557511388363E-2</v>
      </c>
      <c r="I114" s="696">
        <f>'КМУ хирург.каб.'!Y28</f>
        <v>3.4791353150744957</v>
      </c>
      <c r="J114" s="696">
        <f>'КМУ хирург.каб.'!Z28</f>
        <v>51.440834231941963</v>
      </c>
      <c r="K114" s="696">
        <f>J114+H114+G114+F114+E114+D114</f>
        <v>87.525859166199496</v>
      </c>
      <c r="L114" s="696">
        <f t="shared" si="40"/>
        <v>5.2515515499719694</v>
      </c>
      <c r="M114" s="864">
        <f t="shared" si="38"/>
        <v>92.77741071617146</v>
      </c>
      <c r="N114" s="867"/>
      <c r="O114" s="867">
        <v>92</v>
      </c>
      <c r="P114" s="866"/>
      <c r="Q114" s="947">
        <f t="shared" si="41"/>
        <v>0.77741071617145963</v>
      </c>
      <c r="R114" s="868">
        <f t="shared" si="21"/>
        <v>100.84501164801244</v>
      </c>
    </row>
    <row r="115" spans="1:18" ht="15.6" x14ac:dyDescent="0.3">
      <c r="A115" s="691" t="s">
        <v>2048</v>
      </c>
      <c r="B115" s="691" t="s">
        <v>2048</v>
      </c>
      <c r="C115" s="692" t="s">
        <v>1539</v>
      </c>
      <c r="D115" s="696">
        <f>'КМУ хирург.каб.'!C38</f>
        <v>198.48192752197664</v>
      </c>
      <c r="E115" s="696">
        <f t="shared" si="39"/>
        <v>40.09334935943928</v>
      </c>
      <c r="F115" s="696">
        <f>'КМУ хирург.каб.'!I38</f>
        <v>23.664999999999999</v>
      </c>
      <c r="G115" s="696">
        <f>'КМУ хирург.каб.'!N38</f>
        <v>0.65600344379187181</v>
      </c>
      <c r="H115" s="696">
        <f>'КМУ хирург.каб.'!S38</f>
        <v>0.62571418133541268</v>
      </c>
      <c r="I115" s="696">
        <f>'КМУ хирург.каб.'!Y38</f>
        <v>26.093514863058715</v>
      </c>
      <c r="J115" s="696">
        <f>'КМУ хирург.каб.'!Z38</f>
        <v>376.55452092484779</v>
      </c>
      <c r="K115" s="696">
        <f t="shared" si="37"/>
        <v>640.07651543139104</v>
      </c>
      <c r="L115" s="696">
        <f>K115*3%</f>
        <v>19.202295462941731</v>
      </c>
      <c r="M115" s="864">
        <f t="shared" si="38"/>
        <v>659.27881089433276</v>
      </c>
      <c r="N115" s="867"/>
      <c r="O115" s="867">
        <v>591</v>
      </c>
      <c r="P115" s="866"/>
      <c r="Q115" s="947">
        <f t="shared" si="41"/>
        <v>68.278810894332764</v>
      </c>
      <c r="R115" s="868">
        <f t="shared" si="21"/>
        <v>111.55309829007322</v>
      </c>
    </row>
    <row r="116" spans="1:18" ht="15.6" x14ac:dyDescent="0.3">
      <c r="A116" s="691" t="s">
        <v>2049</v>
      </c>
      <c r="B116" s="691" t="s">
        <v>2049</v>
      </c>
      <c r="C116" s="692" t="s">
        <v>1541</v>
      </c>
      <c r="D116" s="696">
        <f>'КМУ хирург.каб.'!C48</f>
        <v>212.65387714115602</v>
      </c>
      <c r="E116" s="696">
        <f t="shared" si="39"/>
        <v>42.95608318251351</v>
      </c>
      <c r="F116" s="696">
        <f>'КМУ хирург.каб.'!I48</f>
        <v>23.664999999999999</v>
      </c>
      <c r="G116" s="696">
        <f>'КМУ хирург.каб.'!N48</f>
        <v>0.65600344379187181</v>
      </c>
      <c r="H116" s="696">
        <f>'КМУ хирург.каб.'!S48</f>
        <v>0.83428557511388357</v>
      </c>
      <c r="I116" s="696">
        <f>'КМУ хирург.каб.'!Y48</f>
        <v>34.791353150744953</v>
      </c>
      <c r="J116" s="696">
        <f>'КМУ хирург.каб.'!Z48</f>
        <v>410.28281094194966</v>
      </c>
      <c r="K116" s="696">
        <f t="shared" si="37"/>
        <v>691.04806028452492</v>
      </c>
      <c r="L116" s="696">
        <f t="shared" ref="L116:L120" si="42">K116*3%</f>
        <v>20.731441808535745</v>
      </c>
      <c r="M116" s="864">
        <f t="shared" si="38"/>
        <v>711.77950209306061</v>
      </c>
      <c r="N116" s="867"/>
      <c r="O116" s="867">
        <v>641</v>
      </c>
      <c r="P116" s="866"/>
      <c r="Q116" s="947">
        <f t="shared" si="41"/>
        <v>70.779502093060614</v>
      </c>
      <c r="R116" s="868">
        <f t="shared" si="21"/>
        <v>111.0420440082778</v>
      </c>
    </row>
    <row r="117" spans="1:18" ht="15.6" x14ac:dyDescent="0.3">
      <c r="A117" s="691" t="s">
        <v>1998</v>
      </c>
      <c r="B117" s="691" t="s">
        <v>1998</v>
      </c>
      <c r="C117" s="692" t="s">
        <v>88</v>
      </c>
      <c r="D117" s="696">
        <f>'КМУ хирург.каб.'!C68</f>
        <v>139.99464802281219</v>
      </c>
      <c r="E117" s="696">
        <f t="shared" si="39"/>
        <v>28.278918900608058</v>
      </c>
      <c r="F117" s="863">
        <f>'КМУ хирург.каб.'!I78</f>
        <v>23.664999999999999</v>
      </c>
      <c r="G117" s="696">
        <f>'КМУ хирург.каб.'!N78</f>
        <v>0.41000215236991988</v>
      </c>
      <c r="H117" s="696">
        <f>'КМУ хирург.каб.'!S78</f>
        <v>0.62571418133541268</v>
      </c>
      <c r="I117" s="696">
        <f>'КМУ хирург.каб.'!Y78</f>
        <v>26.093514863058715</v>
      </c>
      <c r="J117" s="696">
        <f>'КМУ хирург.каб.'!Z78</f>
        <v>284.82925500351513</v>
      </c>
      <c r="K117" s="696">
        <f t="shared" si="37"/>
        <v>477.80353826064072</v>
      </c>
      <c r="L117" s="696">
        <f t="shared" si="42"/>
        <v>14.334106147819222</v>
      </c>
      <c r="M117" s="864">
        <f t="shared" si="38"/>
        <v>492.13764440845995</v>
      </c>
      <c r="N117" s="867"/>
      <c r="O117" s="867">
        <v>458</v>
      </c>
      <c r="P117" s="866"/>
      <c r="Q117" s="947">
        <f t="shared" si="41"/>
        <v>34.137644408459948</v>
      </c>
      <c r="R117" s="868">
        <f t="shared" si="21"/>
        <v>107.45363415031876</v>
      </c>
    </row>
    <row r="118" spans="1:18" ht="15.6" x14ac:dyDescent="0.3">
      <c r="A118" s="691" t="s">
        <v>1999</v>
      </c>
      <c r="B118" s="691" t="s">
        <v>1999</v>
      </c>
      <c r="C118" s="692" t="s">
        <v>86</v>
      </c>
      <c r="D118" s="696">
        <f>'КМУ хирург.каб.'!C68</f>
        <v>139.99464802281219</v>
      </c>
      <c r="E118" s="696">
        <f t="shared" si="39"/>
        <v>28.278918900608058</v>
      </c>
      <c r="F118" s="696">
        <f>'КМУ хирург.каб.'!I68</f>
        <v>23.664999999999999</v>
      </c>
      <c r="G118" s="696">
        <f>'КМУ хирург.каб.'!N68</f>
        <v>0.41000215236991988</v>
      </c>
      <c r="H118" s="696">
        <f>'КМУ хирург.каб.'!S68</f>
        <v>0.62571418133541268</v>
      </c>
      <c r="I118" s="696">
        <f>'КМУ хирург.каб.'!Y68</f>
        <v>26.093514863058715</v>
      </c>
      <c r="J118" s="696">
        <f>'КМУ хирург.каб.'!Z68</f>
        <v>284.82925500351513</v>
      </c>
      <c r="K118" s="696">
        <f>J118+H118+G118+F118+E118+D118</f>
        <v>477.80353826064072</v>
      </c>
      <c r="L118" s="696">
        <f t="shared" si="42"/>
        <v>14.334106147819222</v>
      </c>
      <c r="M118" s="864">
        <f t="shared" si="38"/>
        <v>492.13764440845995</v>
      </c>
      <c r="N118" s="867"/>
      <c r="O118" s="867">
        <v>448</v>
      </c>
      <c r="P118" s="866"/>
      <c r="Q118" s="947">
        <f t="shared" si="41"/>
        <v>44.137644408459948</v>
      </c>
      <c r="R118" s="868">
        <f t="shared" si="21"/>
        <v>109.85215276974552</v>
      </c>
    </row>
    <row r="119" spans="1:18" ht="15.6" hidden="1" x14ac:dyDescent="0.3">
      <c r="A119" s="691" t="s">
        <v>989</v>
      </c>
      <c r="B119" s="691" t="s">
        <v>989</v>
      </c>
      <c r="C119" s="692" t="s">
        <v>988</v>
      </c>
      <c r="D119" s="696">
        <f>'КМУ хирург.каб.'!C98</f>
        <v>33.667709452234185</v>
      </c>
      <c r="E119" s="696">
        <f t="shared" si="39"/>
        <v>6.8008773093513044</v>
      </c>
      <c r="F119" s="697">
        <v>6.5</v>
      </c>
      <c r="G119" s="697">
        <v>4.3099999999999996</v>
      </c>
      <c r="H119" s="697">
        <v>2.93</v>
      </c>
      <c r="I119" s="697">
        <v>9.1999999999999998E-3</v>
      </c>
      <c r="J119" s="696">
        <f>'КМУ хирург.каб.'!Z98</f>
        <v>105.29179567290153</v>
      </c>
      <c r="K119" s="696">
        <f>J119+H119+G119+F119+E119+D119</f>
        <v>159.50038243448702</v>
      </c>
      <c r="L119" s="696">
        <f t="shared" si="42"/>
        <v>4.7850114730346105</v>
      </c>
      <c r="M119" s="864">
        <f t="shared" si="38"/>
        <v>164.28539390752164</v>
      </c>
      <c r="N119" s="867"/>
      <c r="O119" s="867"/>
      <c r="P119" s="866"/>
      <c r="Q119" s="947">
        <f t="shared" si="41"/>
        <v>164.28539390752164</v>
      </c>
      <c r="R119" s="868" t="e">
        <f t="shared" si="21"/>
        <v>#DIV/0!</v>
      </c>
    </row>
    <row r="120" spans="1:18" ht="15.6" x14ac:dyDescent="0.3">
      <c r="A120" s="691" t="s">
        <v>2050</v>
      </c>
      <c r="B120" s="691" t="s">
        <v>2050</v>
      </c>
      <c r="C120" s="692" t="s">
        <v>769</v>
      </c>
      <c r="D120" s="696">
        <f>'КМУ хирург.каб.'!C88</f>
        <v>139.99464802281219</v>
      </c>
      <c r="E120" s="696">
        <f t="shared" si="39"/>
        <v>28.278918900608058</v>
      </c>
      <c r="F120" s="696">
        <f>'КМУ хирург.каб.'!I88</f>
        <v>23.664999999999999</v>
      </c>
      <c r="G120" s="696">
        <f>'КМУ хирург.каб.'!N88</f>
        <v>0.41000215236991988</v>
      </c>
      <c r="H120" s="696">
        <f>'КМУ хирург.каб.'!S88</f>
        <v>0.62571418133541268</v>
      </c>
      <c r="I120" s="696">
        <f>'КМУ хирург.каб.'!Y88</f>
        <v>26.093514863058715</v>
      </c>
      <c r="J120" s="696">
        <f>'КМУ хирург.каб.'!Z88</f>
        <v>284.82925500351513</v>
      </c>
      <c r="K120" s="696">
        <f t="shared" si="37"/>
        <v>477.80353826064072</v>
      </c>
      <c r="L120" s="696">
        <f t="shared" si="42"/>
        <v>14.334106147819222</v>
      </c>
      <c r="M120" s="864">
        <f t="shared" si="38"/>
        <v>492.13764440845995</v>
      </c>
      <c r="N120" s="867"/>
      <c r="O120" s="867">
        <v>438</v>
      </c>
      <c r="P120" s="866"/>
      <c r="Q120" s="947">
        <f t="shared" si="41"/>
        <v>54.137644408459948</v>
      </c>
      <c r="R120" s="868">
        <f t="shared" si="21"/>
        <v>112.36019278731962</v>
      </c>
    </row>
    <row r="121" spans="1:18" ht="15.6" x14ac:dyDescent="0.3">
      <c r="A121" s="958"/>
      <c r="B121" s="1158" t="s">
        <v>2225</v>
      </c>
      <c r="C121" s="1158"/>
      <c r="D121" s="1158"/>
      <c r="E121" s="696"/>
      <c r="F121" s="696"/>
      <c r="G121" s="697"/>
      <c r="H121" s="697"/>
      <c r="I121" s="697"/>
      <c r="J121" s="697"/>
      <c r="K121" s="696"/>
      <c r="L121" s="696"/>
      <c r="M121" s="864"/>
      <c r="N121" s="988"/>
      <c r="O121" s="867"/>
      <c r="P121" s="866"/>
      <c r="Q121" s="947"/>
      <c r="R121" s="868"/>
    </row>
    <row r="122" spans="1:18" ht="15.6" x14ac:dyDescent="0.3">
      <c r="A122" s="958"/>
      <c r="B122" s="691" t="s">
        <v>2226</v>
      </c>
      <c r="C122" s="692" t="s">
        <v>2228</v>
      </c>
      <c r="D122" s="696">
        <f>'КМУ рефлексотерапия'!C9</f>
        <v>67.335418904468369</v>
      </c>
      <c r="E122" s="696">
        <f t="shared" si="39"/>
        <v>13.601754618702609</v>
      </c>
      <c r="F122" s="696">
        <f>'КМУ рефлексотерапия'!I9</f>
        <v>13.059999999999999</v>
      </c>
      <c r="G122" s="696">
        <f>'КМУ рефлексотерапия'!N9</f>
        <v>0.16400086094796795</v>
      </c>
      <c r="H122" s="696">
        <f>'КМУ рефлексотерапия'!S9</f>
        <v>0.50427814153922768</v>
      </c>
      <c r="I122" s="696">
        <f>'КМУ рефлексотерапия'!Y9</f>
        <v>17.395676575372477</v>
      </c>
      <c r="J122" s="696">
        <f>'КМУ рефлексотерапия'!Z9</f>
        <v>145.70050089784706</v>
      </c>
      <c r="K122" s="696">
        <f t="shared" si="37"/>
        <v>240.36595342350523</v>
      </c>
      <c r="L122" s="696">
        <v>9.02</v>
      </c>
      <c r="M122" s="864">
        <f t="shared" ref="M122" si="43">K122+L122</f>
        <v>249.38595342350524</v>
      </c>
      <c r="N122" s="867">
        <v>249</v>
      </c>
      <c r="O122" s="867"/>
      <c r="P122" s="866"/>
      <c r="Q122" s="947"/>
      <c r="R122" s="868"/>
    </row>
    <row r="123" spans="1:18" ht="15.6" x14ac:dyDescent="0.3">
      <c r="A123" s="958"/>
      <c r="B123" s="691" t="s">
        <v>2227</v>
      </c>
      <c r="C123" s="692" t="s">
        <v>2229</v>
      </c>
      <c r="D123" s="696">
        <f>'КМУ рефлексотерапия'!C19</f>
        <v>33.667709452234185</v>
      </c>
      <c r="E123" s="696">
        <f t="shared" si="39"/>
        <v>6.8008773093513044</v>
      </c>
      <c r="F123" s="696">
        <f>'КМУ рефлексотерапия'!I19</f>
        <v>13.059999999999999</v>
      </c>
      <c r="G123" s="696">
        <f>'КМУ рефлексотерапия'!N19</f>
        <v>9.0954500468269583E-2</v>
      </c>
      <c r="H123" s="696">
        <f>'КМУ рефлексотерапия'!S19</f>
        <v>0.25213907076961384</v>
      </c>
      <c r="I123" s="696">
        <f>'КМУ рефлексотерапия'!Y19</f>
        <v>8.6978382876862383</v>
      </c>
      <c r="J123" s="696">
        <f>'КМУ рефлексотерапия'!Z19</f>
        <v>81.352118054480442</v>
      </c>
      <c r="K123" s="696">
        <f t="shared" ref="K123:K135" si="44">J123+H123+G123+F123+E123+D123</f>
        <v>135.22379838730382</v>
      </c>
      <c r="L123" s="696">
        <v>4.76</v>
      </c>
      <c r="M123" s="864">
        <f t="shared" ref="M123:M135" si="45">K123+L123</f>
        <v>139.98379838730381</v>
      </c>
      <c r="N123" s="867">
        <v>140</v>
      </c>
      <c r="O123" s="867"/>
      <c r="P123" s="866"/>
      <c r="Q123" s="947"/>
      <c r="R123" s="868"/>
    </row>
    <row r="124" spans="1:18" ht="15.6" hidden="1" x14ac:dyDescent="0.3">
      <c r="A124" s="958"/>
      <c r="B124" s="691" t="s">
        <v>2230</v>
      </c>
      <c r="C124" s="692" t="s">
        <v>2253</v>
      </c>
      <c r="D124" s="696">
        <f>'КМУ рефлексотерапия'!C29</f>
        <v>84.169273630585465</v>
      </c>
      <c r="E124" s="696">
        <f t="shared" si="39"/>
        <v>17.002193273378264</v>
      </c>
      <c r="F124" s="696">
        <f>'КМУ рефлексотерапия'!I29</f>
        <v>13.059999999999999</v>
      </c>
      <c r="G124" s="696">
        <f>'КМУ рефлексотерапия'!N29</f>
        <v>0.40411131684736357</v>
      </c>
      <c r="H124" s="696">
        <f>'КМУ рефлексотерапия'!S29</f>
        <v>11.483405763276783</v>
      </c>
      <c r="I124" s="696">
        <f>'КМУ рефлексотерапия'!Y29</f>
        <v>21.744595719215596</v>
      </c>
      <c r="J124" s="696">
        <f>'КМУ рефлексотерапия'!Z29</f>
        <v>192.25040654281526</v>
      </c>
      <c r="K124" s="696">
        <f t="shared" si="44"/>
        <v>318.36939052690315</v>
      </c>
      <c r="L124" s="696">
        <f t="shared" ref="L124:L134" si="46">K124*5%</f>
        <v>15.918469526345158</v>
      </c>
      <c r="M124" s="864">
        <f t="shared" si="45"/>
        <v>334.28786005324832</v>
      </c>
      <c r="N124" s="867"/>
      <c r="O124" s="867"/>
      <c r="P124" s="866"/>
      <c r="Q124" s="947"/>
      <c r="R124" s="868"/>
    </row>
    <row r="125" spans="1:18" ht="15.6" x14ac:dyDescent="0.3">
      <c r="A125" s="958"/>
      <c r="B125" s="691" t="s">
        <v>2232</v>
      </c>
      <c r="C125" s="692" t="s">
        <v>2254</v>
      </c>
      <c r="D125" s="696">
        <f>'КМУ рефлексотерапия'!C39</f>
        <v>67.335418904468369</v>
      </c>
      <c r="E125" s="696">
        <f t="shared" si="39"/>
        <v>13.601754618702609</v>
      </c>
      <c r="F125" s="696">
        <f>'КМУ рефлексотерапия'!I39</f>
        <v>13.059999999999999</v>
      </c>
      <c r="G125" s="696">
        <f>'КМУ рефлексотерапия'!N39</f>
        <v>0.16400086094796795</v>
      </c>
      <c r="H125" s="696">
        <f>'КМУ рефлексотерапия'!S39</f>
        <v>2.0042306911257022</v>
      </c>
      <c r="I125" s="696">
        <f>'КМУ рефлексотерапия'!Y39</f>
        <v>17.395676575372477</v>
      </c>
      <c r="J125" s="696">
        <f>'КМУ рефлексотерапия'!Z39</f>
        <v>147.65072074259555</v>
      </c>
      <c r="K125" s="696">
        <f t="shared" si="44"/>
        <v>243.8161258178402</v>
      </c>
      <c r="L125" s="696">
        <v>8.19</v>
      </c>
      <c r="M125" s="864">
        <f t="shared" si="45"/>
        <v>252.0061258178402</v>
      </c>
      <c r="N125" s="867">
        <v>252</v>
      </c>
      <c r="O125" s="867"/>
      <c r="P125" s="866"/>
      <c r="Q125" s="947"/>
      <c r="R125" s="868"/>
    </row>
    <row r="126" spans="1:18" ht="15.6" hidden="1" x14ac:dyDescent="0.3">
      <c r="A126" s="958"/>
      <c r="B126" s="691" t="s">
        <v>2233</v>
      </c>
      <c r="C126" s="692" t="s">
        <v>2255</v>
      </c>
      <c r="D126" s="696">
        <f>'КМУ рефлексотерапия'!C49</f>
        <v>50.501564178351273</v>
      </c>
      <c r="E126" s="696">
        <f t="shared" si="39"/>
        <v>10.201315964026957</v>
      </c>
      <c r="F126" s="696">
        <f>'КМУ рефлексотерапия'!I49</f>
        <v>13.059999999999999</v>
      </c>
      <c r="G126" s="696">
        <f>'КМУ рефлексотерапия'!N49</f>
        <v>0.12300064571097598</v>
      </c>
      <c r="H126" s="696">
        <f>'КМУ рефлексотерапия'!S49</f>
        <v>1.670192242604752</v>
      </c>
      <c r="I126" s="696">
        <f>'КМУ рефлексотерапия'!Y49</f>
        <v>13.046757431529358</v>
      </c>
      <c r="J126" s="696">
        <f>'КМУ рефлексотерапия'!Z49</f>
        <v>115.20030971376524</v>
      </c>
      <c r="K126" s="696">
        <f t="shared" si="44"/>
        <v>190.75638274445919</v>
      </c>
      <c r="L126" s="696">
        <f t="shared" si="46"/>
        <v>9.537819137222959</v>
      </c>
      <c r="M126" s="864">
        <f t="shared" si="45"/>
        <v>200.29420188168214</v>
      </c>
      <c r="N126" s="867"/>
      <c r="O126" s="867"/>
      <c r="P126" s="866"/>
      <c r="Q126" s="947"/>
      <c r="R126" s="868"/>
    </row>
    <row r="127" spans="1:18" ht="15.6" hidden="1" x14ac:dyDescent="0.3">
      <c r="A127" s="958"/>
      <c r="B127" s="691" t="s">
        <v>2236</v>
      </c>
      <c r="C127" s="692" t="s">
        <v>2256</v>
      </c>
      <c r="D127" s="696">
        <f>'КМУ рефлексотерапия'!C59</f>
        <v>50.501564178351273</v>
      </c>
      <c r="E127" s="696">
        <f t="shared" si="39"/>
        <v>10.201315964026957</v>
      </c>
      <c r="F127" s="696">
        <f>'КМУ рефлексотерапия'!I59</f>
        <v>13.059999999999999</v>
      </c>
      <c r="G127" s="696">
        <f>'КМУ рефлексотерапия'!N59</f>
        <v>0.12300064571097598</v>
      </c>
      <c r="H127" s="696">
        <f>'КМУ рефлексотерапия'!S59</f>
        <v>1.670192242604752</v>
      </c>
      <c r="I127" s="696">
        <f>'КМУ рефлексотерапия'!Y59</f>
        <v>13.046757431529358</v>
      </c>
      <c r="J127" s="696">
        <f>'КМУ рефлексотерапия'!Z59</f>
        <v>115.20030971376524</v>
      </c>
      <c r="K127" s="696">
        <f t="shared" si="44"/>
        <v>190.75638274445919</v>
      </c>
      <c r="L127" s="696">
        <f t="shared" si="46"/>
        <v>9.537819137222959</v>
      </c>
      <c r="M127" s="864">
        <f t="shared" si="45"/>
        <v>200.29420188168214</v>
      </c>
      <c r="N127" s="867"/>
      <c r="O127" s="867"/>
      <c r="P127" s="866"/>
      <c r="Q127" s="947"/>
      <c r="R127" s="868"/>
    </row>
    <row r="128" spans="1:18" ht="15.6" hidden="1" x14ac:dyDescent="0.3">
      <c r="A128" s="958"/>
      <c r="B128" s="989" t="str">
        <f>'КМУ рефлексотерапия'!B68</f>
        <v>А21.30.014.000</v>
      </c>
      <c r="C128" s="692" t="s">
        <v>2257</v>
      </c>
      <c r="D128" s="696">
        <f>'КМУ рефлексотерапия'!C69</f>
        <v>50.501564178351273</v>
      </c>
      <c r="E128" s="696">
        <f t="shared" si="39"/>
        <v>10.201315964026957</v>
      </c>
      <c r="F128" s="696">
        <f>'КМУ рефлексотерапия'!I69</f>
        <v>13.059999999999999</v>
      </c>
      <c r="G128" s="696">
        <f>'КМУ рефлексотерапия'!N69</f>
        <v>0.12300064571097598</v>
      </c>
      <c r="H128" s="696">
        <f>'КМУ рефлексотерапия'!S69</f>
        <v>1.670192242604752</v>
      </c>
      <c r="I128" s="696">
        <f>'КМУ рефлексотерапия'!Y69</f>
        <v>13.046757431529358</v>
      </c>
      <c r="J128" s="696">
        <f>'КМУ рефлексотерапия'!Z69</f>
        <v>115.20030971376524</v>
      </c>
      <c r="K128" s="696">
        <f t="shared" si="44"/>
        <v>190.75638274445919</v>
      </c>
      <c r="L128" s="696">
        <f t="shared" si="46"/>
        <v>9.537819137222959</v>
      </c>
      <c r="M128" s="864">
        <f t="shared" si="45"/>
        <v>200.29420188168214</v>
      </c>
      <c r="N128" s="867"/>
      <c r="O128" s="867"/>
      <c r="P128" s="866"/>
      <c r="Q128" s="947"/>
      <c r="R128" s="868"/>
    </row>
    <row r="129" spans="1:18" ht="15.6" hidden="1" x14ac:dyDescent="0.3">
      <c r="A129" s="958"/>
      <c r="B129" s="989" t="str">
        <f>'КМУ рефлексотерапия'!B78</f>
        <v>А21.30.012.000</v>
      </c>
      <c r="C129" s="692" t="s">
        <v>2258</v>
      </c>
      <c r="D129" s="696">
        <f>'КМУ рефлексотерапия'!C79</f>
        <v>84.169273630585465</v>
      </c>
      <c r="E129" s="696">
        <f t="shared" si="39"/>
        <v>17.002193273378264</v>
      </c>
      <c r="F129" s="696">
        <f>'КМУ рефлексотерапия'!I79</f>
        <v>13.059999999999999</v>
      </c>
      <c r="G129" s="696">
        <f>'КМУ рефлексотерапия'!N79</f>
        <v>0.20500107618495994</v>
      </c>
      <c r="H129" s="696">
        <f>'КМУ рефлексотерапия'!S79</f>
        <v>1.3361537940838015</v>
      </c>
      <c r="I129" s="696">
        <f>'КМУ рефлексотерапия'!Y79</f>
        <v>21.744595719215596</v>
      </c>
      <c r="J129" s="696">
        <f>'КМУ рефлексотерапия'!Z79</f>
        <v>178.79819373236427</v>
      </c>
      <c r="K129" s="696">
        <f t="shared" si="44"/>
        <v>294.57081550659677</v>
      </c>
      <c r="L129" s="696">
        <f t="shared" si="46"/>
        <v>14.72854077532984</v>
      </c>
      <c r="M129" s="864">
        <f t="shared" si="45"/>
        <v>309.29935628192663</v>
      </c>
      <c r="N129" s="867"/>
      <c r="O129" s="867"/>
      <c r="P129" s="866"/>
      <c r="Q129" s="947"/>
      <c r="R129" s="868"/>
    </row>
    <row r="130" spans="1:18" ht="15.6" x14ac:dyDescent="0.3">
      <c r="A130" s="958"/>
      <c r="B130" s="989" t="str">
        <f>'КМУ рефлексотерапия'!B88</f>
        <v>А21.30.013.000</v>
      </c>
      <c r="C130" s="692" t="s">
        <v>2259</v>
      </c>
      <c r="D130" s="696">
        <f>'КМУ рефлексотерапия'!C89</f>
        <v>67.335418904468369</v>
      </c>
      <c r="E130" s="696">
        <f t="shared" si="39"/>
        <v>13.601754618702609</v>
      </c>
      <c r="F130" s="696">
        <f>'КМУ рефлексотерапия'!I89</f>
        <v>13.059999999999999</v>
      </c>
      <c r="G130" s="696">
        <f>'КМУ рефлексотерапия'!N89</f>
        <v>0.16400086094796795</v>
      </c>
      <c r="H130" s="696">
        <f>'КМУ рефлексотерапия'!S89</f>
        <v>5.6</v>
      </c>
      <c r="I130" s="696">
        <f>'КМУ рефлексотерапия'!Y89</f>
        <v>17.395676575372477</v>
      </c>
      <c r="J130" s="696">
        <f>'КМУ рефлексотерапия'!Z89</f>
        <v>152.3258957441231</v>
      </c>
      <c r="K130" s="696">
        <f t="shared" si="44"/>
        <v>252.08707012824203</v>
      </c>
      <c r="L130" s="696">
        <v>8.6</v>
      </c>
      <c r="M130" s="864">
        <f t="shared" si="45"/>
        <v>260.68707012824206</v>
      </c>
      <c r="N130" s="867">
        <v>261</v>
      </c>
      <c r="O130" s="867"/>
      <c r="P130" s="866"/>
      <c r="Q130" s="947"/>
      <c r="R130" s="868"/>
    </row>
    <row r="131" spans="1:18" ht="15.6" x14ac:dyDescent="0.3">
      <c r="A131" s="958"/>
      <c r="B131" s="989" t="str">
        <f>'КМУ рефлексотерапия'!B98</f>
        <v>А21.30.019.003</v>
      </c>
      <c r="C131" s="692" t="s">
        <v>2260</v>
      </c>
      <c r="D131" s="696">
        <f>'КМУ рефлексотерапия'!C99</f>
        <v>67.335418904468369</v>
      </c>
      <c r="E131" s="696">
        <f t="shared" si="39"/>
        <v>13.601754618702609</v>
      </c>
      <c r="F131" s="696">
        <f>'КМУ рефлексотерапия'!I99</f>
        <v>13.059999999999999</v>
      </c>
      <c r="G131" s="696">
        <f>'КМУ рефлексотерапия'!N99</f>
        <v>0.16400086094796795</v>
      </c>
      <c r="H131" s="696">
        <f>'КМУ рефлексотерапия'!S99</f>
        <v>1.3361537940838015</v>
      </c>
      <c r="I131" s="696">
        <f>'КМУ рефлексотерапия'!Y99</f>
        <v>17.395676575372477</v>
      </c>
      <c r="J131" s="696">
        <f>'КМУ рефлексотерапия'!Z99</f>
        <v>146.78209538322116</v>
      </c>
      <c r="K131" s="696">
        <f t="shared" si="44"/>
        <v>242.27942356142393</v>
      </c>
      <c r="L131" s="696">
        <v>9.11</v>
      </c>
      <c r="M131" s="864">
        <f t="shared" si="45"/>
        <v>251.38942356142394</v>
      </c>
      <c r="N131" s="867">
        <v>251</v>
      </c>
      <c r="O131" s="867"/>
      <c r="P131" s="866"/>
      <c r="Q131" s="947"/>
      <c r="R131" s="868"/>
    </row>
    <row r="132" spans="1:18" ht="15.6" x14ac:dyDescent="0.3">
      <c r="A132" s="958"/>
      <c r="B132" s="989" t="str">
        <f>'КМУ рефлексотерапия'!B108</f>
        <v>А21.30.009.000</v>
      </c>
      <c r="C132" s="692" t="s">
        <v>2261</v>
      </c>
      <c r="D132" s="696">
        <f>'КМУ рефлексотерапия'!C109</f>
        <v>84.169273630585465</v>
      </c>
      <c r="E132" s="696">
        <f t="shared" si="39"/>
        <v>17.002193273378264</v>
      </c>
      <c r="F132" s="696">
        <f>'КМУ рефлексотерапия'!I109</f>
        <v>13.059999999999999</v>
      </c>
      <c r="G132" s="696">
        <f>'КМУ рефлексотерапия'!N109</f>
        <v>0.20500107618495994</v>
      </c>
      <c r="H132" s="696">
        <f>'КМУ рефлексотерапия'!S109</f>
        <v>0.63034767692403459</v>
      </c>
      <c r="I132" s="696">
        <f>'КМУ рефлексотерапия'!Y109</f>
        <v>21.744595719215596</v>
      </c>
      <c r="J132" s="696">
        <f>'КМУ рефлексотерапия'!Z109</f>
        <v>177.88051330533389</v>
      </c>
      <c r="K132" s="696">
        <f t="shared" si="44"/>
        <v>292.94732896240663</v>
      </c>
      <c r="L132" s="696">
        <v>9.65</v>
      </c>
      <c r="M132" s="864">
        <f t="shared" si="45"/>
        <v>302.59732896240661</v>
      </c>
      <c r="N132" s="867">
        <v>303</v>
      </c>
      <c r="O132" s="867"/>
      <c r="P132" s="866"/>
      <c r="Q132" s="947"/>
      <c r="R132" s="868"/>
    </row>
    <row r="133" spans="1:18" ht="15.6" x14ac:dyDescent="0.3">
      <c r="A133" s="958"/>
      <c r="B133" s="989" t="str">
        <f>'КМУ рефлексотерапия'!B118</f>
        <v>В01.054.007.001</v>
      </c>
      <c r="C133" s="692" t="s">
        <v>2262</v>
      </c>
      <c r="D133" s="696">
        <f>'КМУ рефлексотерапия'!C119</f>
        <v>84.169273630585465</v>
      </c>
      <c r="E133" s="696">
        <f t="shared" si="39"/>
        <v>17.002193273378264</v>
      </c>
      <c r="F133" s="696">
        <f>'КМУ рефлексотерапия'!I119</f>
        <v>13.059999999999999</v>
      </c>
      <c r="G133" s="696">
        <f>'КМУ рефлексотерапия'!N119</f>
        <v>0.20500107618495994</v>
      </c>
      <c r="H133" s="696">
        <f>'КМУ рефлексотерапия'!S119</f>
        <v>8.7358314773902563</v>
      </c>
      <c r="I133" s="696">
        <f>'КМУ рефлексотерапия'!Y119</f>
        <v>21.744595719215596</v>
      </c>
      <c r="J133" s="696">
        <f>'КМУ рефлексотерапия'!Z119</f>
        <v>188.41916358684753</v>
      </c>
      <c r="K133" s="696">
        <f t="shared" si="44"/>
        <v>311.5914630443865</v>
      </c>
      <c r="L133" s="696">
        <v>18.579999999999998</v>
      </c>
      <c r="M133" s="864">
        <f>K133+L133</f>
        <v>330.17146304438648</v>
      </c>
      <c r="N133" s="867">
        <v>330</v>
      </c>
      <c r="O133" s="867"/>
      <c r="P133" s="866"/>
      <c r="Q133" s="947"/>
      <c r="R133" s="868"/>
    </row>
    <row r="134" spans="1:18" ht="15.6" hidden="1" x14ac:dyDescent="0.3">
      <c r="A134" s="958"/>
      <c r="B134" s="989" t="str">
        <f>'КМУ рефлексотерапия'!B128</f>
        <v>А17.01.001.000</v>
      </c>
      <c r="C134" s="692" t="s">
        <v>2263</v>
      </c>
      <c r="D134" s="696">
        <f>'КМУ рефлексотерапия'!C129</f>
        <v>67.335418904468369</v>
      </c>
      <c r="E134" s="696">
        <f t="shared" si="39"/>
        <v>13.601754618702609</v>
      </c>
      <c r="F134" s="696">
        <f>'КМУ рефлексотерапия'!I129</f>
        <v>13.059999999999999</v>
      </c>
      <c r="G134" s="696">
        <f>'КМУ рефлексотерапия'!N129</f>
        <v>0.16400086094796795</v>
      </c>
      <c r="H134" s="696">
        <f>'КМУ рефлексотерапия'!S129</f>
        <v>2.1980594287092217</v>
      </c>
      <c r="I134" s="696">
        <f>'КМУ рефлексотерапия'!Y129</f>
        <v>17.395676575372477</v>
      </c>
      <c r="J134" s="696">
        <f>'КМУ рефлексотерапия'!Z129</f>
        <v>147.9027344817116</v>
      </c>
      <c r="K134" s="696">
        <f t="shared" si="44"/>
        <v>244.26196829453977</v>
      </c>
      <c r="L134" s="696">
        <f t="shared" si="46"/>
        <v>12.213098414726989</v>
      </c>
      <c r="M134" s="864">
        <f t="shared" si="45"/>
        <v>256.47506670926674</v>
      </c>
      <c r="N134" s="867"/>
      <c r="O134" s="867"/>
      <c r="P134" s="866"/>
      <c r="Q134" s="947"/>
      <c r="R134" s="868"/>
    </row>
    <row r="135" spans="1:18" ht="15.6" x14ac:dyDescent="0.3">
      <c r="A135" s="958"/>
      <c r="B135" s="989" t="str">
        <f>'КМУ рефлексотерапия'!B138</f>
        <v>А17.01.001.001</v>
      </c>
      <c r="C135" s="692" t="s">
        <v>2264</v>
      </c>
      <c r="D135" s="696">
        <f>'КМУ рефлексотерапия'!C139</f>
        <v>84.169273630585465</v>
      </c>
      <c r="E135" s="696">
        <f t="shared" si="39"/>
        <v>17.002193273378264</v>
      </c>
      <c r="F135" s="696">
        <f>'КМУ рефлексотерапия'!I139</f>
        <v>19.86</v>
      </c>
      <c r="G135" s="696">
        <f>'КМУ рефлексотерапия'!N139</f>
        <v>0.20500107618495994</v>
      </c>
      <c r="H135" s="696">
        <f>'КМУ рефлексотерапия'!S139</f>
        <v>2.7475742858865271</v>
      </c>
      <c r="I135" s="696">
        <f>'КМУ рефлексотерапия'!Y139</f>
        <v>21.744595719215596</v>
      </c>
      <c r="J135" s="696">
        <f>'КМУ рефлексотерапия'!Z139</f>
        <v>189.47458159616906</v>
      </c>
      <c r="K135" s="696">
        <f t="shared" si="44"/>
        <v>313.45862386220426</v>
      </c>
      <c r="L135" s="696">
        <v>10.67</v>
      </c>
      <c r="M135" s="864">
        <f t="shared" si="45"/>
        <v>324.12862386220428</v>
      </c>
      <c r="N135" s="867">
        <v>324</v>
      </c>
      <c r="O135" s="867"/>
      <c r="P135" s="866"/>
      <c r="Q135" s="947"/>
      <c r="R135" s="868"/>
    </row>
    <row r="136" spans="1:18" ht="15.6" hidden="1" x14ac:dyDescent="0.3">
      <c r="A136" s="958"/>
      <c r="B136" s="958"/>
      <c r="C136" s="985"/>
      <c r="D136" s="986"/>
      <c r="E136" s="986"/>
      <c r="F136" s="986"/>
      <c r="G136" s="986"/>
      <c r="H136" s="986"/>
      <c r="I136" s="986"/>
      <c r="J136" s="986"/>
      <c r="K136" s="986"/>
      <c r="L136" s="986"/>
      <c r="M136" s="987"/>
      <c r="N136" s="867"/>
      <c r="O136" s="867"/>
      <c r="P136" s="866"/>
      <c r="Q136" s="947"/>
      <c r="R136" s="868"/>
    </row>
    <row r="137" spans="1:18" ht="15.6" hidden="1" x14ac:dyDescent="0.3">
      <c r="A137" s="958"/>
      <c r="B137" s="958"/>
      <c r="C137" s="985"/>
      <c r="D137" s="986"/>
      <c r="E137" s="986"/>
      <c r="F137" s="986"/>
      <c r="G137" s="986"/>
      <c r="H137" s="986"/>
      <c r="I137" s="986"/>
      <c r="J137" s="986"/>
      <c r="K137" s="986"/>
      <c r="L137" s="986"/>
      <c r="M137" s="987"/>
      <c r="N137" s="867"/>
      <c r="O137" s="867"/>
      <c r="P137" s="866"/>
      <c r="Q137" s="947"/>
      <c r="R137" s="868"/>
    </row>
    <row r="138" spans="1:18" ht="15.6" hidden="1" x14ac:dyDescent="0.3">
      <c r="A138" s="958"/>
      <c r="B138" s="958"/>
      <c r="C138" s="985"/>
      <c r="D138" s="986"/>
      <c r="E138" s="986"/>
      <c r="F138" s="986"/>
      <c r="G138" s="986"/>
      <c r="H138" s="986"/>
      <c r="I138" s="986"/>
      <c r="J138" s="986"/>
      <c r="K138" s="986"/>
      <c r="L138" s="986"/>
      <c r="M138" s="987"/>
      <c r="N138" s="867"/>
      <c r="O138" s="867"/>
      <c r="P138" s="866"/>
      <c r="Q138" s="947"/>
      <c r="R138" s="868"/>
    </row>
    <row r="139" spans="1:18" ht="15.6" hidden="1" x14ac:dyDescent="0.3">
      <c r="A139" s="958"/>
      <c r="B139" s="958"/>
      <c r="C139" s="985"/>
      <c r="D139" s="986"/>
      <c r="E139" s="986"/>
      <c r="F139" s="986"/>
      <c r="G139" s="986"/>
      <c r="H139" s="986"/>
      <c r="I139" s="986"/>
      <c r="J139" s="986"/>
      <c r="K139" s="986"/>
      <c r="L139" s="986"/>
      <c r="M139" s="987"/>
      <c r="N139" s="867"/>
      <c r="O139" s="867"/>
      <c r="P139" s="866"/>
      <c r="Q139" s="947"/>
      <c r="R139" s="868"/>
    </row>
    <row r="140" spans="1:18" ht="15.6" hidden="1" x14ac:dyDescent="0.3">
      <c r="A140" s="958"/>
      <c r="B140" s="958"/>
      <c r="C140" s="985"/>
      <c r="D140" s="986"/>
      <c r="E140" s="986"/>
      <c r="F140" s="986"/>
      <c r="G140" s="986"/>
      <c r="H140" s="986"/>
      <c r="I140" s="986"/>
      <c r="J140" s="986"/>
      <c r="K140" s="986"/>
      <c r="L140" s="986"/>
      <c r="M140" s="987"/>
      <c r="N140" s="867"/>
      <c r="O140" s="867"/>
      <c r="P140" s="866"/>
      <c r="Q140" s="947"/>
      <c r="R140" s="868"/>
    </row>
    <row r="141" spans="1:18" ht="32.25" customHeight="1" x14ac:dyDescent="0.3">
      <c r="A141" s="1172" t="s">
        <v>623</v>
      </c>
      <c r="B141" s="1172"/>
      <c r="C141" s="1172"/>
      <c r="D141" s="966"/>
      <c r="E141" s="967"/>
      <c r="F141" s="966"/>
      <c r="G141" s="966"/>
      <c r="H141" s="966"/>
      <c r="I141" s="967"/>
      <c r="J141" s="967"/>
      <c r="K141" s="967"/>
      <c r="L141" s="967"/>
      <c r="M141" s="966"/>
      <c r="N141" s="867"/>
      <c r="O141" s="867"/>
      <c r="P141" s="866"/>
      <c r="Q141" s="964"/>
      <c r="R141" s="868"/>
    </row>
    <row r="142" spans="1:18" ht="21.9" customHeight="1" x14ac:dyDescent="0.3">
      <c r="A142" s="1175" t="s">
        <v>1561</v>
      </c>
      <c r="B142" s="1175"/>
      <c r="C142" s="1175"/>
      <c r="D142" s="1175"/>
      <c r="E142" s="1175"/>
      <c r="F142" s="1175"/>
      <c r="G142" s="1175"/>
      <c r="H142" s="1175"/>
      <c r="I142" s="1175"/>
      <c r="J142" s="1175"/>
      <c r="K142" s="1175"/>
      <c r="L142" s="838"/>
      <c r="M142" s="838"/>
      <c r="N142" s="867"/>
      <c r="O142" s="867"/>
      <c r="P142" s="866"/>
      <c r="R142" s="868"/>
    </row>
    <row r="143" spans="1:18" ht="15.6" x14ac:dyDescent="0.3">
      <c r="A143" s="689" t="s">
        <v>1802</v>
      </c>
      <c r="B143" s="689" t="s">
        <v>1802</v>
      </c>
      <c r="C143" s="692" t="s">
        <v>1804</v>
      </c>
      <c r="D143" s="696">
        <f>'КМУ стом.'!C11</f>
        <v>75.581101689491604</v>
      </c>
      <c r="E143" s="696">
        <f>D143*20.2%</f>
        <v>15.267382541277303</v>
      </c>
      <c r="F143" s="696">
        <f>'КМУ стом.'!I11</f>
        <v>16.0517</v>
      </c>
      <c r="G143" s="696">
        <f>'КМУ стом.'!N11</f>
        <v>9.7177053508634495E-2</v>
      </c>
      <c r="H143" s="696">
        <f>'КМУ стом.'!S11</f>
        <v>4.1503124387477399</v>
      </c>
      <c r="I143" s="696">
        <f>'КМУ стом.'!Y11</f>
        <v>10.307632433223615</v>
      </c>
      <c r="J143" s="696">
        <f>'КМУ стом.'!Z11</f>
        <v>157.91469428897693</v>
      </c>
      <c r="K143" s="696">
        <f>J143+H143+G143+F143+E143+D143</f>
        <v>269.0623680120022</v>
      </c>
      <c r="L143" s="946">
        <f>K143*12%</f>
        <v>32.287484161440261</v>
      </c>
      <c r="M143" s="952">
        <f t="shared" ref="M143:M164" si="47">K143+L143</f>
        <v>301.34985217344246</v>
      </c>
      <c r="N143" s="867"/>
      <c r="O143" s="867">
        <v>296</v>
      </c>
      <c r="P143" s="866"/>
      <c r="R143" s="868">
        <f t="shared" si="21"/>
        <v>101.80738249102785</v>
      </c>
    </row>
    <row r="144" spans="1:18" ht="15.6" x14ac:dyDescent="0.3">
      <c r="A144" s="689" t="s">
        <v>1803</v>
      </c>
      <c r="B144" s="689" t="s">
        <v>1803</v>
      </c>
      <c r="C144" s="692" t="s">
        <v>1805</v>
      </c>
      <c r="D144" s="696">
        <f>'КМУ стом.'!C21</f>
        <v>42.909355545469502</v>
      </c>
      <c r="E144" s="696">
        <f t="shared" ref="E144:E164" si="48">D144*20.2%</f>
        <v>8.6676898201848385</v>
      </c>
      <c r="F144" s="696">
        <f>'КМУ стом.'!I21</f>
        <v>16.0517</v>
      </c>
      <c r="G144" s="696">
        <f>'КМУ стом.'!N21</f>
        <v>9.7177053508634495E-2</v>
      </c>
      <c r="H144" s="696">
        <f>'КМУ стом.'!S21</f>
        <v>4.1503124387477399</v>
      </c>
      <c r="I144" s="696">
        <f>'КМУ стом.'!Y21</f>
        <v>10.307632433223615</v>
      </c>
      <c r="J144" s="696">
        <f>'КМУ стом.'!Z21</f>
        <v>106.85445279821236</v>
      </c>
      <c r="K144" s="696">
        <f>J144+H144+G144+F144+E144+D144</f>
        <v>178.73068765612308</v>
      </c>
      <c r="L144" s="946">
        <f>K144*17%</f>
        <v>30.384216901540928</v>
      </c>
      <c r="M144" s="952">
        <f t="shared" si="47"/>
        <v>209.114904557664</v>
      </c>
      <c r="N144" s="867"/>
      <c r="O144" s="867">
        <v>206</v>
      </c>
      <c r="P144" s="866"/>
      <c r="R144" s="868">
        <f t="shared" si="21"/>
        <v>101.51208959109903</v>
      </c>
    </row>
    <row r="145" spans="1:18" ht="15.6" x14ac:dyDescent="0.3">
      <c r="A145" s="689" t="s">
        <v>1074</v>
      </c>
      <c r="B145" s="689" t="s">
        <v>1813</v>
      </c>
      <c r="C145" s="692" t="s">
        <v>1812</v>
      </c>
      <c r="D145" s="696">
        <f>'КМУ стом.'!C91</f>
        <v>32.570063464488328</v>
      </c>
      <c r="E145" s="696">
        <f t="shared" si="48"/>
        <v>6.5791528198266418</v>
      </c>
      <c r="F145" s="863">
        <f>'КМУ стом.'!I91</f>
        <v>91.161699999999996</v>
      </c>
      <c r="G145" s="696">
        <f>'КМУ стом.'!N91</f>
        <v>9.7177053508634495E-2</v>
      </c>
      <c r="H145" s="696">
        <f>'КМУ стом.'!S91</f>
        <v>4.1503124387477399</v>
      </c>
      <c r="I145" s="696">
        <f>'КМУ стом.'!Y91</f>
        <v>10.307632433223615</v>
      </c>
      <c r="J145" s="696">
        <f>'КМУ стом.'!Z91</f>
        <v>188.35303998431377</v>
      </c>
      <c r="K145" s="696">
        <f>J145+H145+G145+F145+E145+D145</f>
        <v>322.9114457608851</v>
      </c>
      <c r="L145" s="946">
        <f>K145*12%</f>
        <v>38.749373491306208</v>
      </c>
      <c r="M145" s="952">
        <f t="shared" si="47"/>
        <v>361.66081925219129</v>
      </c>
      <c r="N145" s="867"/>
      <c r="O145" s="867">
        <v>338</v>
      </c>
      <c r="P145" s="866"/>
      <c r="R145" s="868">
        <f t="shared" si="21"/>
        <v>107.00024238230512</v>
      </c>
    </row>
    <row r="146" spans="1:18" ht="15.6" x14ac:dyDescent="0.3">
      <c r="A146" s="689" t="s">
        <v>1813</v>
      </c>
      <c r="B146" s="689" t="s">
        <v>1807</v>
      </c>
      <c r="C146" s="692" t="s">
        <v>1565</v>
      </c>
      <c r="D146" s="696">
        <f>'КМУ стом.'!C71</f>
        <v>28.523058456763927</v>
      </c>
      <c r="E146" s="696">
        <f t="shared" si="48"/>
        <v>5.761657808266313</v>
      </c>
      <c r="F146" s="696">
        <f>'КМУ стом.'!I71</f>
        <v>19.861699999999999</v>
      </c>
      <c r="G146" s="696">
        <f>'КМУ стом.'!N71</f>
        <v>9.7177053508634495E-2</v>
      </c>
      <c r="H146" s="696">
        <f>'КМУ стом.'!S71</f>
        <v>4.1503124387477399</v>
      </c>
      <c r="I146" s="696">
        <f>'КМУ стом.'!Y71</f>
        <v>10.307632433223615</v>
      </c>
      <c r="J146" s="696">
        <f>'КМУ стом.'!Z71</f>
        <v>89.324894431372002</v>
      </c>
      <c r="K146" s="696">
        <f>J146+H146+G146+F146+E146+D146</f>
        <v>147.71880018865861</v>
      </c>
      <c r="L146" s="946">
        <f t="shared" ref="L146:L164" si="49">K146*12%</f>
        <v>17.726256022639031</v>
      </c>
      <c r="M146" s="952">
        <f t="shared" si="47"/>
        <v>165.44505621129764</v>
      </c>
      <c r="N146" s="867"/>
      <c r="O146" s="867">
        <v>156</v>
      </c>
      <c r="P146" s="866"/>
      <c r="R146" s="868">
        <f t="shared" si="21"/>
        <v>106.05452321237027</v>
      </c>
    </row>
    <row r="147" spans="1:18" ht="15" hidden="1" customHeight="1" x14ac:dyDescent="0.3">
      <c r="A147" s="689" t="s">
        <v>1807</v>
      </c>
      <c r="B147" s="689"/>
      <c r="C147" s="692"/>
      <c r="D147" s="696">
        <f>'КМУ стом.'!C71</f>
        <v>28.523058456763927</v>
      </c>
      <c r="E147" s="696">
        <f t="shared" si="48"/>
        <v>5.761657808266313</v>
      </c>
      <c r="F147" s="697">
        <v>9.34</v>
      </c>
      <c r="G147" s="697">
        <v>4.42</v>
      </c>
      <c r="H147" s="697">
        <v>8.19</v>
      </c>
      <c r="I147" s="697">
        <v>0.01</v>
      </c>
      <c r="J147" s="696">
        <f>'КМУ стом.'!Z71</f>
        <v>89.324894431372002</v>
      </c>
      <c r="K147" s="696">
        <f t="shared" ref="K147:K164" si="50">J147+H147+G147+F147+E147+D147</f>
        <v>145.55961069640225</v>
      </c>
      <c r="L147" s="946">
        <f t="shared" si="49"/>
        <v>17.467153283568269</v>
      </c>
      <c r="M147" s="952">
        <f t="shared" si="47"/>
        <v>163.02676397997053</v>
      </c>
      <c r="N147" s="867"/>
      <c r="O147" s="867"/>
      <c r="P147" s="866"/>
      <c r="R147" s="868" t="e">
        <f t="shared" si="21"/>
        <v>#DIV/0!</v>
      </c>
    </row>
    <row r="148" spans="1:18" ht="15.6" x14ac:dyDescent="0.3">
      <c r="A148" s="689" t="s">
        <v>1525</v>
      </c>
      <c r="B148" s="689" t="s">
        <v>1814</v>
      </c>
      <c r="C148" s="692" t="s">
        <v>1815</v>
      </c>
      <c r="D148" s="696">
        <f>'КМУ стом.'!C101</f>
        <v>53.636694431836872</v>
      </c>
      <c r="E148" s="696">
        <f t="shared" si="48"/>
        <v>10.834612275231047</v>
      </c>
      <c r="F148" s="696">
        <f>'КМУ стом.'!I101</f>
        <v>89.851699999999994</v>
      </c>
      <c r="G148" s="696">
        <f>'КМУ стом.'!N101</f>
        <v>9.7177053508634495E-2</v>
      </c>
      <c r="H148" s="696">
        <f>'КМУ стом.'!S101</f>
        <v>4.1503124387477399</v>
      </c>
      <c r="I148" s="696">
        <f>'КМУ стом.'!Y101</f>
        <v>10.307632433223615</v>
      </c>
      <c r="J148" s="696">
        <f>'КМУ стом.'!Z101</f>
        <v>219.57326443025258</v>
      </c>
      <c r="K148" s="696">
        <f t="shared" si="50"/>
        <v>378.14376062957683</v>
      </c>
      <c r="L148" s="946">
        <f t="shared" si="49"/>
        <v>45.37725127554922</v>
      </c>
      <c r="M148" s="952">
        <f t="shared" si="47"/>
        <v>423.52101190512604</v>
      </c>
      <c r="N148" s="867"/>
      <c r="O148" s="867">
        <v>392</v>
      </c>
      <c r="P148" s="866"/>
      <c r="R148" s="868">
        <f t="shared" si="21"/>
        <v>108.0410744655934</v>
      </c>
    </row>
    <row r="149" spans="1:18" ht="15.6" x14ac:dyDescent="0.3">
      <c r="A149" s="689" t="s">
        <v>1814</v>
      </c>
      <c r="B149" s="689" t="s">
        <v>1808</v>
      </c>
      <c r="C149" s="692" t="s">
        <v>1809</v>
      </c>
      <c r="D149" s="696">
        <f>'КМУ стом.'!C177</f>
        <v>15.846143587091071</v>
      </c>
      <c r="E149" s="696">
        <f t="shared" si="48"/>
        <v>3.2009210045923959</v>
      </c>
      <c r="F149" s="696">
        <f>'КМУ стом.'!I177</f>
        <v>40.551699999999997</v>
      </c>
      <c r="G149" s="696">
        <f>'КМУ стом.'!N177</f>
        <v>9.7177053508634495E-2</v>
      </c>
      <c r="H149" s="696">
        <f>'КМУ стом.'!S177</f>
        <v>4.1503124387477399</v>
      </c>
      <c r="I149" s="696">
        <f>'КМУ стом.'!Y177</f>
        <v>10.307632433223615</v>
      </c>
      <c r="J149" s="696">
        <f>'КМУ стом.'!Z177</f>
        <v>96.413970622516729</v>
      </c>
      <c r="K149" s="696">
        <f t="shared" si="50"/>
        <v>160.26022470645654</v>
      </c>
      <c r="L149" s="946">
        <f t="shared" si="49"/>
        <v>19.231226964774784</v>
      </c>
      <c r="M149" s="952">
        <f t="shared" si="47"/>
        <v>179.49145167123132</v>
      </c>
      <c r="N149" s="867"/>
      <c r="O149" s="867">
        <v>171</v>
      </c>
      <c r="P149" s="866"/>
      <c r="R149" s="868">
        <f t="shared" si="21"/>
        <v>104.96576121124639</v>
      </c>
    </row>
    <row r="150" spans="1:18" ht="15.6" x14ac:dyDescent="0.3">
      <c r="A150" s="689" t="s">
        <v>1808</v>
      </c>
      <c r="B150" s="689" t="s">
        <v>2067</v>
      </c>
      <c r="C150" s="692" t="s">
        <v>2068</v>
      </c>
      <c r="D150" s="696">
        <f>'КМУ стом.'!C131</f>
        <v>33.008951609641429</v>
      </c>
      <c r="E150" s="696">
        <f t="shared" si="48"/>
        <v>6.6678082251475681</v>
      </c>
      <c r="F150" s="696">
        <f>'КМУ стом.'!I131</f>
        <v>13.9542</v>
      </c>
      <c r="G150" s="696">
        <f>'КМУ стом.'!N131</f>
        <v>9.7177053508634495E-2</v>
      </c>
      <c r="H150" s="696">
        <f>'КМУ стом.'!S131</f>
        <v>4.1503124387477399</v>
      </c>
      <c r="I150" s="696">
        <f>'КМУ стом.'!Y131</f>
        <v>10.307632433223615</v>
      </c>
      <c r="J150" s="696">
        <f>'КМУ стом.'!Z131</f>
        <v>88.654704324600402</v>
      </c>
      <c r="K150" s="696">
        <f t="shared" si="50"/>
        <v>146.53315365164576</v>
      </c>
      <c r="L150" s="946">
        <f t="shared" si="49"/>
        <v>17.583978438197491</v>
      </c>
      <c r="M150" s="952">
        <f t="shared" si="47"/>
        <v>164.11713208984327</v>
      </c>
      <c r="N150" s="867"/>
      <c r="O150" s="867">
        <v>183</v>
      </c>
      <c r="P150" s="866"/>
      <c r="R150" s="868">
        <f t="shared" si="21"/>
        <v>89.681492945269554</v>
      </c>
    </row>
    <row r="151" spans="1:18" ht="15.6" hidden="1" x14ac:dyDescent="0.3">
      <c r="A151" s="689" t="s">
        <v>1079</v>
      </c>
      <c r="B151" s="689"/>
      <c r="C151" s="692"/>
      <c r="D151" s="696">
        <f>'КМУ стом.'!C141</f>
        <v>53.636694431836872</v>
      </c>
      <c r="E151" s="696">
        <f t="shared" si="48"/>
        <v>10.834612275231047</v>
      </c>
      <c r="F151" s="697">
        <v>8.0299999999999994</v>
      </c>
      <c r="G151" s="697">
        <v>4.42</v>
      </c>
      <c r="H151" s="697">
        <v>8.19</v>
      </c>
      <c r="I151" s="697">
        <v>0.01</v>
      </c>
      <c r="J151" s="696">
        <f>'КМУ стом.'!Z141</f>
        <v>116.74098824168945</v>
      </c>
      <c r="K151" s="696">
        <f t="shared" si="50"/>
        <v>201.85229494875736</v>
      </c>
      <c r="L151" s="946">
        <f t="shared" si="49"/>
        <v>24.222275393850882</v>
      </c>
      <c r="M151" s="952">
        <f t="shared" si="47"/>
        <v>226.07457034260824</v>
      </c>
      <c r="N151" s="867"/>
      <c r="O151" s="867"/>
      <c r="P151" s="866"/>
      <c r="R151" s="868" t="e">
        <f t="shared" si="21"/>
        <v>#DIV/0!</v>
      </c>
    </row>
    <row r="152" spans="1:18" ht="15.6" x14ac:dyDescent="0.3">
      <c r="A152" s="689" t="s">
        <v>1080</v>
      </c>
      <c r="B152" s="689" t="s">
        <v>1843</v>
      </c>
      <c r="C152" s="698" t="s">
        <v>1842</v>
      </c>
      <c r="D152" s="696">
        <f>'КМУ стом.'!C51</f>
        <v>32.570063464488328</v>
      </c>
      <c r="E152" s="696">
        <f t="shared" si="48"/>
        <v>6.5791528198266418</v>
      </c>
      <c r="F152" s="696">
        <f>'КМУ стом.'!I51</f>
        <v>16.0517</v>
      </c>
      <c r="G152" s="696">
        <f>'КМУ стом.'!N51</f>
        <v>9.7177053508634495E-2</v>
      </c>
      <c r="H152" s="696">
        <f>'КМУ стом.'!S51</f>
        <v>4.1503124387477399</v>
      </c>
      <c r="I152" s="696">
        <f>'КМУ стом.'!Y51</f>
        <v>10.307632433223615</v>
      </c>
      <c r="J152" s="696">
        <f>'КМУ стом.'!Z51</f>
        <v>90.695942378497861</v>
      </c>
      <c r="K152" s="696">
        <f t="shared" si="50"/>
        <v>150.14434815506922</v>
      </c>
      <c r="L152" s="946">
        <f t="shared" si="49"/>
        <v>18.017321778608306</v>
      </c>
      <c r="M152" s="952">
        <f t="shared" si="47"/>
        <v>168.16166993367753</v>
      </c>
      <c r="N152" s="867"/>
      <c r="O152" s="867">
        <v>158</v>
      </c>
      <c r="P152" s="866"/>
      <c r="R152" s="868">
        <f t="shared" si="21"/>
        <v>106.43143666688451</v>
      </c>
    </row>
    <row r="153" spans="1:18" ht="15.6" x14ac:dyDescent="0.3">
      <c r="A153" s="689" t="s">
        <v>1843</v>
      </c>
      <c r="B153" s="689" t="s">
        <v>1811</v>
      </c>
      <c r="C153" s="692" t="s">
        <v>1008</v>
      </c>
      <c r="D153" s="696">
        <f>'КМУ стом.'!C31</f>
        <v>42.664490803009507</v>
      </c>
      <c r="E153" s="696">
        <f t="shared" si="48"/>
        <v>8.6182271422079193</v>
      </c>
      <c r="F153" s="696">
        <f>'КМУ стом.'!I31</f>
        <v>8.0936000000000003</v>
      </c>
      <c r="G153" s="696">
        <f>'КМУ стом.'!N31</f>
        <v>9.7177053508634495E-2</v>
      </c>
      <c r="H153" s="696">
        <f>'КМУ стом.'!S31</f>
        <v>4.1503124387477399</v>
      </c>
      <c r="I153" s="696">
        <f>'КМУ стом.'!Y31</f>
        <v>10.307632433223615</v>
      </c>
      <c r="J153" s="696">
        <f>'КМУ стом.'!Z31</f>
        <v>96.124748230478119</v>
      </c>
      <c r="K153" s="696">
        <f t="shared" si="50"/>
        <v>159.7485556679519</v>
      </c>
      <c r="L153" s="946">
        <f t="shared" si="49"/>
        <v>19.169826680154227</v>
      </c>
      <c r="M153" s="952">
        <f t="shared" si="47"/>
        <v>178.91838234810612</v>
      </c>
      <c r="N153" s="867"/>
      <c r="O153" s="867">
        <v>167</v>
      </c>
      <c r="P153" s="866"/>
      <c r="R153" s="868">
        <f t="shared" si="21"/>
        <v>107.13675589706952</v>
      </c>
    </row>
    <row r="154" spans="1:18" ht="15.6" x14ac:dyDescent="0.3">
      <c r="A154" s="689" t="s">
        <v>1811</v>
      </c>
      <c r="B154" s="689" t="s">
        <v>2069</v>
      </c>
      <c r="C154" s="692" t="s">
        <v>2070</v>
      </c>
      <c r="D154" s="696">
        <f>'КМУ стом.'!C196</f>
        <v>31.692287174182141</v>
      </c>
      <c r="E154" s="696">
        <f t="shared" si="48"/>
        <v>6.4018420091847918</v>
      </c>
      <c r="F154" s="696">
        <f>'КМУ стом.'!I196</f>
        <v>40.551700000000004</v>
      </c>
      <c r="G154" s="696">
        <f>'КМУ стом.'!N196</f>
        <v>9.7177053508634495E-2</v>
      </c>
      <c r="H154" s="696">
        <f>'КМУ стом.'!S196</f>
        <v>4.1503124387477399</v>
      </c>
      <c r="I154" s="696">
        <f>'КМУ стом.'!Y196</f>
        <v>10.307632433223615</v>
      </c>
      <c r="J154" s="696">
        <f>'КМУ стом.'!Z196</f>
        <v>121.17872958849081</v>
      </c>
      <c r="K154" s="696">
        <f t="shared" si="50"/>
        <v>204.07204826411413</v>
      </c>
      <c r="L154" s="946">
        <f t="shared" si="49"/>
        <v>24.488645791693695</v>
      </c>
      <c r="M154" s="952">
        <f t="shared" si="47"/>
        <v>228.56069405580783</v>
      </c>
      <c r="N154" s="867"/>
      <c r="O154" s="867">
        <v>214</v>
      </c>
      <c r="P154" s="866"/>
      <c r="R154" s="868">
        <f t="shared" si="21"/>
        <v>106.80406264290086</v>
      </c>
    </row>
    <row r="155" spans="1:18" ht="15.6" hidden="1" x14ac:dyDescent="0.3">
      <c r="A155" s="689" t="s">
        <v>1083</v>
      </c>
      <c r="B155" s="689"/>
      <c r="C155" s="692"/>
      <c r="D155" s="696">
        <f>'КМУ стом.'!C187</f>
        <v>126.76914869672856</v>
      </c>
      <c r="E155" s="696">
        <f t="shared" si="48"/>
        <v>25.607368036739167</v>
      </c>
      <c r="F155" s="697">
        <v>11.03</v>
      </c>
      <c r="G155" s="697">
        <v>4.42</v>
      </c>
      <c r="H155" s="697">
        <v>8.19</v>
      </c>
      <c r="I155" s="697">
        <v>0.01</v>
      </c>
      <c r="J155" s="696">
        <f>'КМУ стом.'!Z187</f>
        <v>278.29608308364504</v>
      </c>
      <c r="K155" s="696">
        <f t="shared" si="50"/>
        <v>454.31259981711275</v>
      </c>
      <c r="L155" s="946">
        <f t="shared" si="49"/>
        <v>54.517511978053527</v>
      </c>
      <c r="M155" s="952">
        <f t="shared" si="47"/>
        <v>508.83011179516626</v>
      </c>
      <c r="N155" s="867"/>
      <c r="O155" s="867"/>
      <c r="P155" s="866"/>
      <c r="R155" s="868" t="e">
        <f t="shared" si="21"/>
        <v>#DIV/0!</v>
      </c>
    </row>
    <row r="156" spans="1:18" ht="15.6" hidden="1" x14ac:dyDescent="0.3">
      <c r="A156" s="689" t="s">
        <v>1084</v>
      </c>
      <c r="B156" s="689"/>
      <c r="C156" s="692"/>
      <c r="D156" s="696">
        <f>'КМУ стом.'!C196</f>
        <v>31.692287174182141</v>
      </c>
      <c r="E156" s="696">
        <f t="shared" si="48"/>
        <v>6.4018420091847918</v>
      </c>
      <c r="F156" s="697">
        <v>25.43</v>
      </c>
      <c r="G156" s="697">
        <v>4.42</v>
      </c>
      <c r="H156" s="697">
        <v>8.19</v>
      </c>
      <c r="I156" s="697">
        <v>0.01</v>
      </c>
      <c r="J156" s="696">
        <f>'КМУ стом.'!Z196</f>
        <v>121.17872958849081</v>
      </c>
      <c r="K156" s="696">
        <f t="shared" si="50"/>
        <v>197.31285877185775</v>
      </c>
      <c r="L156" s="946">
        <f t="shared" si="49"/>
        <v>23.67754305262293</v>
      </c>
      <c r="M156" s="952">
        <f t="shared" si="47"/>
        <v>220.99040182448067</v>
      </c>
      <c r="N156" s="867"/>
      <c r="O156" s="867"/>
      <c r="P156" s="866"/>
      <c r="R156" s="868" t="e">
        <f t="shared" si="21"/>
        <v>#DIV/0!</v>
      </c>
    </row>
    <row r="157" spans="1:18" ht="15.6" hidden="1" x14ac:dyDescent="0.3">
      <c r="A157" s="689" t="s">
        <v>1085</v>
      </c>
      <c r="B157" s="689"/>
      <c r="C157" s="692"/>
      <c r="D157" s="696">
        <f>'КМУ стом.'!C41</f>
        <v>42.664490803009507</v>
      </c>
      <c r="E157" s="696">
        <f t="shared" si="48"/>
        <v>8.6182271422079193</v>
      </c>
      <c r="F157" s="697">
        <v>10.85</v>
      </c>
      <c r="G157" s="697">
        <v>4.42</v>
      </c>
      <c r="H157" s="697">
        <v>8.19</v>
      </c>
      <c r="I157" s="697">
        <v>0.01</v>
      </c>
      <c r="J157" s="696">
        <f>'КМУ стом.'!Z41</f>
        <v>109.28754688567777</v>
      </c>
      <c r="K157" s="696">
        <f t="shared" si="50"/>
        <v>184.03026483089519</v>
      </c>
      <c r="L157" s="946">
        <f t="shared" si="49"/>
        <v>22.083631779707421</v>
      </c>
      <c r="M157" s="952">
        <f t="shared" si="47"/>
        <v>206.11389661060261</v>
      </c>
      <c r="N157" s="867"/>
      <c r="O157" s="867"/>
      <c r="P157" s="866"/>
      <c r="R157" s="868" t="e">
        <f t="shared" si="21"/>
        <v>#DIV/0!</v>
      </c>
    </row>
    <row r="158" spans="1:18" ht="15.6" hidden="1" x14ac:dyDescent="0.3">
      <c r="A158" s="689" t="s">
        <v>1086</v>
      </c>
      <c r="B158" s="689"/>
      <c r="C158" s="692"/>
      <c r="D158" s="696">
        <f>'КМУ стом.'!C61</f>
        <v>42.664490803009507</v>
      </c>
      <c r="E158" s="696">
        <f t="shared" si="48"/>
        <v>8.6182271422079193</v>
      </c>
      <c r="F158" s="697">
        <v>8.0299999999999994</v>
      </c>
      <c r="G158" s="697">
        <v>4.42</v>
      </c>
      <c r="H158" s="697">
        <v>8.19</v>
      </c>
      <c r="I158" s="697">
        <v>0.01</v>
      </c>
      <c r="J158" s="696">
        <f>'КМУ стом.'!Z61</f>
        <v>103.95677734521915</v>
      </c>
      <c r="K158" s="696">
        <f t="shared" si="50"/>
        <v>175.87949529043658</v>
      </c>
      <c r="L158" s="946">
        <f t="shared" si="49"/>
        <v>21.105539434852389</v>
      </c>
      <c r="M158" s="952">
        <f t="shared" si="47"/>
        <v>196.98503472528898</v>
      </c>
      <c r="N158" s="867"/>
      <c r="O158" s="867"/>
      <c r="P158" s="866"/>
      <c r="R158" s="868" t="e">
        <f t="shared" si="21"/>
        <v>#DIV/0!</v>
      </c>
    </row>
    <row r="159" spans="1:18" ht="15.6" x14ac:dyDescent="0.3">
      <c r="A159" s="689" t="s">
        <v>1087</v>
      </c>
      <c r="B159" s="689" t="s">
        <v>2071</v>
      </c>
      <c r="C159" s="692" t="s">
        <v>2072</v>
      </c>
      <c r="D159" s="696">
        <f>'КМУ стом.'!C159</f>
        <v>32.131175319335235</v>
      </c>
      <c r="E159" s="696">
        <f t="shared" si="48"/>
        <v>6.4904974145057173</v>
      </c>
      <c r="F159" s="696">
        <f>'КМУ стом.'!I159</f>
        <v>16.202400000000001</v>
      </c>
      <c r="G159" s="696">
        <f>'КМУ стом.'!N159</f>
        <v>9.7177053508634495E-2</v>
      </c>
      <c r="H159" s="696">
        <f>'КМУ стом.'!S159</f>
        <v>4.1503124387477399</v>
      </c>
      <c r="I159" s="696">
        <f>'КМУ стом.'!Y159</f>
        <v>10.307632433223615</v>
      </c>
      <c r="J159" s="696">
        <f>'КМУ стом.'!Z159</f>
        <v>90.205975032062454</v>
      </c>
      <c r="K159" s="696">
        <f t="shared" si="50"/>
        <v>149.27753725815978</v>
      </c>
      <c r="L159" s="946">
        <f t="shared" si="49"/>
        <v>17.913304470979174</v>
      </c>
      <c r="M159" s="952">
        <f t="shared" si="47"/>
        <v>167.19084172913895</v>
      </c>
      <c r="N159" s="867"/>
      <c r="O159" s="867">
        <v>157</v>
      </c>
      <c r="P159" s="866"/>
      <c r="R159" s="868">
        <f t="shared" si="21"/>
        <v>106.49098199308213</v>
      </c>
    </row>
    <row r="160" spans="1:18" ht="15.6" hidden="1" x14ac:dyDescent="0.3">
      <c r="A160" s="689" t="s">
        <v>1088</v>
      </c>
      <c r="B160" s="689"/>
      <c r="C160" s="692"/>
      <c r="D160" s="696">
        <f>'КМУ стом.'!C159</f>
        <v>32.131175319335235</v>
      </c>
      <c r="E160" s="696">
        <f t="shared" si="48"/>
        <v>6.4904974145057173</v>
      </c>
      <c r="F160" s="697">
        <v>8.0299999999999994</v>
      </c>
      <c r="G160" s="697">
        <v>4.42</v>
      </c>
      <c r="H160" s="697">
        <v>8.19</v>
      </c>
      <c r="I160" s="697">
        <v>0.01</v>
      </c>
      <c r="J160" s="696">
        <f>'КМУ стом.'!Z159</f>
        <v>90.205975032062454</v>
      </c>
      <c r="K160" s="696">
        <f t="shared" si="50"/>
        <v>149.46764776590339</v>
      </c>
      <c r="L160" s="946">
        <f t="shared" si="49"/>
        <v>17.936117731908407</v>
      </c>
      <c r="M160" s="952">
        <f t="shared" si="47"/>
        <v>167.4037654978118</v>
      </c>
      <c r="N160" s="867"/>
      <c r="O160" s="867"/>
      <c r="P160" s="866"/>
      <c r="R160" s="868" t="e">
        <f t="shared" si="21"/>
        <v>#DIV/0!</v>
      </c>
    </row>
    <row r="161" spans="1:18" ht="15.6" x14ac:dyDescent="0.3">
      <c r="A161" s="689" t="s">
        <v>1089</v>
      </c>
      <c r="B161" s="689" t="s">
        <v>1856</v>
      </c>
      <c r="C161" s="698" t="s">
        <v>1855</v>
      </c>
      <c r="D161" s="696">
        <f>'КМУ стом.'!C111</f>
        <v>53.636694431836872</v>
      </c>
      <c r="E161" s="696">
        <f t="shared" si="48"/>
        <v>10.834612275231047</v>
      </c>
      <c r="F161" s="696">
        <f>'КМУ стом.'!I111</f>
        <v>16.1997</v>
      </c>
      <c r="G161" s="696">
        <f>G159</f>
        <v>9.7177053508634495E-2</v>
      </c>
      <c r="H161" s="696">
        <f>H159</f>
        <v>4.1503124387477399</v>
      </c>
      <c r="I161" s="696">
        <f>I159</f>
        <v>10.307632433223615</v>
      </c>
      <c r="J161" s="696">
        <f>'КМУ стом.'!Z111</f>
        <v>121.29684591724236</v>
      </c>
      <c r="K161" s="696">
        <f t="shared" si="50"/>
        <v>206.21534211656666</v>
      </c>
      <c r="L161" s="946">
        <f t="shared" si="49"/>
        <v>24.745841053987998</v>
      </c>
      <c r="M161" s="952">
        <f t="shared" si="47"/>
        <v>230.96118317055465</v>
      </c>
      <c r="N161" s="867"/>
      <c r="O161" s="867">
        <v>216</v>
      </c>
      <c r="P161" s="866"/>
      <c r="R161" s="868">
        <f t="shared" si="21"/>
        <v>106.9264736900716</v>
      </c>
    </row>
    <row r="162" spans="1:18" ht="15.6" x14ac:dyDescent="0.3">
      <c r="A162" s="689" t="s">
        <v>1856</v>
      </c>
      <c r="B162" s="689" t="s">
        <v>2057</v>
      </c>
      <c r="C162" s="692" t="s">
        <v>1519</v>
      </c>
      <c r="D162" s="696">
        <f>'КМУ стом.'!C121</f>
        <v>53.636694431836872</v>
      </c>
      <c r="E162" s="696">
        <f t="shared" si="48"/>
        <v>10.834612275231047</v>
      </c>
      <c r="F162" s="696">
        <f>'КМУ стом.'!I121</f>
        <v>16.0517</v>
      </c>
      <c r="G162" s="696">
        <f>G161</f>
        <v>9.7177053508634495E-2</v>
      </c>
      <c r="H162" s="696">
        <f>H161</f>
        <v>4.1503124387477399</v>
      </c>
      <c r="I162" s="696">
        <f>I161</f>
        <v>10.307632433223615</v>
      </c>
      <c r="J162" s="696">
        <f>'КМУ стом.'!Z121</f>
        <v>121.10441813870872</v>
      </c>
      <c r="K162" s="696">
        <f t="shared" si="50"/>
        <v>205.87491433803302</v>
      </c>
      <c r="L162" s="946">
        <f t="shared" si="49"/>
        <v>24.704989720563962</v>
      </c>
      <c r="M162" s="952">
        <f t="shared" si="47"/>
        <v>230.57990405859698</v>
      </c>
      <c r="N162" s="867"/>
      <c r="O162" s="867">
        <v>216</v>
      </c>
      <c r="P162" s="866"/>
      <c r="R162" s="868">
        <f t="shared" ref="R162:R225" si="51">M162/O162*100</f>
        <v>106.74995558268378</v>
      </c>
    </row>
    <row r="163" spans="1:18" ht="15.6" x14ac:dyDescent="0.3">
      <c r="A163" s="689" t="s">
        <v>1091</v>
      </c>
      <c r="B163" s="689" t="s">
        <v>2065</v>
      </c>
      <c r="C163" s="692" t="s">
        <v>2066</v>
      </c>
      <c r="D163" s="696">
        <f>'КМУ стом.'!C224</f>
        <v>32.131175319335235</v>
      </c>
      <c r="E163" s="696">
        <f t="shared" si="48"/>
        <v>6.4904974145057173</v>
      </c>
      <c r="F163" s="696">
        <f>'КМУ стом.'!I224</f>
        <v>16.0517</v>
      </c>
      <c r="G163" s="696">
        <f t="shared" ref="G163:G164" si="52">G161</f>
        <v>9.7177053508634495E-2</v>
      </c>
      <c r="H163" s="696">
        <f t="shared" ref="H163:I163" si="53">H161</f>
        <v>4.1503124387477399</v>
      </c>
      <c r="I163" s="696">
        <f t="shared" si="53"/>
        <v>10.307632433223615</v>
      </c>
      <c r="J163" s="696">
        <f>'КМУ стом.'!Z224</f>
        <v>87.495042183469181</v>
      </c>
      <c r="K163" s="696">
        <f t="shared" si="50"/>
        <v>146.41590440956651</v>
      </c>
      <c r="L163" s="946">
        <f t="shared" si="49"/>
        <v>17.56990852914798</v>
      </c>
      <c r="M163" s="952">
        <f t="shared" si="47"/>
        <v>163.9858129387145</v>
      </c>
      <c r="N163" s="867"/>
      <c r="O163" s="867">
        <v>157</v>
      </c>
      <c r="P163" s="866"/>
      <c r="R163" s="868">
        <f t="shared" si="51"/>
        <v>104.44956238134682</v>
      </c>
    </row>
    <row r="164" spans="1:18" ht="15.6" x14ac:dyDescent="0.3">
      <c r="A164" s="689" t="s">
        <v>1092</v>
      </c>
      <c r="B164" s="689" t="s">
        <v>1818</v>
      </c>
      <c r="C164" s="692" t="s">
        <v>1574</v>
      </c>
      <c r="D164" s="696">
        <f>'КМУ стом.'!C215</f>
        <v>43.888814515309463</v>
      </c>
      <c r="E164" s="696">
        <f t="shared" si="48"/>
        <v>8.8655405320925116</v>
      </c>
      <c r="F164" s="696">
        <f>'КМУ стом.'!I215</f>
        <v>18.307700000000001</v>
      </c>
      <c r="G164" s="696">
        <f t="shared" si="52"/>
        <v>9.7177053508634495E-2</v>
      </c>
      <c r="H164" s="696">
        <f t="shared" ref="H164:I164" si="54">H162</f>
        <v>4.1503124387477399</v>
      </c>
      <c r="I164" s="696">
        <f t="shared" si="54"/>
        <v>10.307632433223615</v>
      </c>
      <c r="J164" s="696">
        <f>'КМУ стом.'!Z215</f>
        <v>108.8034052286847</v>
      </c>
      <c r="K164" s="696">
        <f t="shared" si="50"/>
        <v>184.11294976834307</v>
      </c>
      <c r="L164" s="946">
        <f t="shared" si="49"/>
        <v>22.093553972201168</v>
      </c>
      <c r="M164" s="952">
        <f t="shared" si="47"/>
        <v>206.20650374054424</v>
      </c>
      <c r="N164" s="867"/>
      <c r="O164" s="867">
        <v>194</v>
      </c>
      <c r="P164" s="866"/>
      <c r="R164" s="868">
        <f t="shared" si="51"/>
        <v>106.29201223739393</v>
      </c>
    </row>
    <row r="165" spans="1:18" ht="15.6" x14ac:dyDescent="0.3">
      <c r="A165" s="1173" t="s">
        <v>1576</v>
      </c>
      <c r="B165" s="1174"/>
      <c r="C165" s="1174"/>
      <c r="D165" s="1174"/>
      <c r="E165" s="1174"/>
      <c r="F165" s="1174"/>
      <c r="G165" s="1174"/>
      <c r="H165" s="1174"/>
      <c r="I165" s="1174"/>
      <c r="J165" s="1174"/>
      <c r="K165" s="1174"/>
      <c r="L165" s="838"/>
      <c r="M165" s="838"/>
      <c r="N165" s="867"/>
      <c r="O165" s="867"/>
      <c r="P165" s="866"/>
      <c r="Q165" s="964"/>
      <c r="R165" s="868"/>
    </row>
    <row r="166" spans="1:18" ht="15.6" x14ac:dyDescent="0.3">
      <c r="A166" s="688" t="s">
        <v>1863</v>
      </c>
      <c r="B166" s="689" t="s">
        <v>1863</v>
      </c>
      <c r="C166" s="688" t="s">
        <v>1864</v>
      </c>
      <c r="D166" s="696">
        <f>'КМУ стом.'!C696</f>
        <v>190.15372304509285</v>
      </c>
      <c r="E166" s="696">
        <f>D166*20.2%</f>
        <v>38.411052055108755</v>
      </c>
      <c r="F166" s="696">
        <f>'КМУ стом.'!I696</f>
        <v>23.645</v>
      </c>
      <c r="G166" s="696">
        <f>G164</f>
        <v>9.7177053508634495E-2</v>
      </c>
      <c r="H166" s="696">
        <f t="shared" ref="H166:I166" si="55">H164</f>
        <v>4.1503124387477399</v>
      </c>
      <c r="I166" s="696">
        <f t="shared" si="55"/>
        <v>10.307632433223615</v>
      </c>
      <c r="J166" s="696">
        <f>'КМУ стом.'!Z696</f>
        <v>346.84443598245815</v>
      </c>
      <c r="K166" s="696">
        <f t="shared" ref="K166:K179" si="56">J166+H166+G166+F166+E166+D166</f>
        <v>603.30170057491614</v>
      </c>
      <c r="L166" s="863">
        <f>K166*8%</f>
        <v>48.26413604599329</v>
      </c>
      <c r="M166" s="952">
        <f t="shared" ref="M166:M197" si="57">K166+L166</f>
        <v>651.56583662090941</v>
      </c>
      <c r="N166" s="867"/>
      <c r="O166" s="867">
        <v>591</v>
      </c>
      <c r="P166" s="866"/>
      <c r="R166" s="868">
        <f t="shared" si="51"/>
        <v>110.2480265009999</v>
      </c>
    </row>
    <row r="167" spans="1:18" ht="15.6" x14ac:dyDescent="0.3">
      <c r="A167" s="688" t="s">
        <v>1862</v>
      </c>
      <c r="B167" s="689" t="s">
        <v>1862</v>
      </c>
      <c r="C167" s="688" t="s">
        <v>1551</v>
      </c>
      <c r="D167" s="696">
        <f>'КМУ стом.'!C686</f>
        <v>126.76914869672856</v>
      </c>
      <c r="E167" s="696">
        <f t="shared" ref="E167:E228" si="58">D167*20.2%</f>
        <v>25.607368036739167</v>
      </c>
      <c r="F167" s="696">
        <f>'КМУ стом.'!I686</f>
        <v>16.3477</v>
      </c>
      <c r="G167" s="696">
        <f>G166</f>
        <v>9.7177053508634495E-2</v>
      </c>
      <c r="H167" s="696">
        <f t="shared" ref="H167:I168" si="59">H166</f>
        <v>4.1503124387477399</v>
      </c>
      <c r="I167" s="696">
        <f t="shared" si="59"/>
        <v>10.307632433223615</v>
      </c>
      <c r="J167" s="696">
        <f>'КМУ стом.'!Z686</f>
        <v>235.78254590464132</v>
      </c>
      <c r="K167" s="696">
        <f t="shared" si="56"/>
        <v>408.75425213036539</v>
      </c>
      <c r="L167" s="863">
        <f t="shared" ref="L167:L193" si="60">K167*8%</f>
        <v>32.700340170429229</v>
      </c>
      <c r="M167" s="952">
        <f t="shared" si="57"/>
        <v>441.45459230079462</v>
      </c>
      <c r="N167" s="867"/>
      <c r="O167" s="867">
        <v>408</v>
      </c>
      <c r="P167" s="866"/>
      <c r="R167" s="868">
        <f t="shared" si="51"/>
        <v>108.19965497568495</v>
      </c>
    </row>
    <row r="168" spans="1:18" ht="15.6" x14ac:dyDescent="0.3">
      <c r="A168" s="688" t="s">
        <v>1858</v>
      </c>
      <c r="B168" s="689" t="s">
        <v>1858</v>
      </c>
      <c r="C168" s="692" t="s">
        <v>1857</v>
      </c>
      <c r="D168" s="696">
        <f>'КМУ стом.'!C866</f>
        <v>31.692287174182141</v>
      </c>
      <c r="E168" s="696">
        <f t="shared" si="58"/>
        <v>6.4018420091847918</v>
      </c>
      <c r="F168" s="696">
        <f>'КМУ стом.'!I866</f>
        <v>16.984999999999999</v>
      </c>
      <c r="G168" s="696">
        <f>G167</f>
        <v>9.7177053508634495E-2</v>
      </c>
      <c r="H168" s="696">
        <f t="shared" si="59"/>
        <v>4.1503124387477399</v>
      </c>
      <c r="I168" s="696">
        <f t="shared" si="59"/>
        <v>10.307632433223615</v>
      </c>
      <c r="J168" s="696">
        <f>'КМУ стом.'!Z866</f>
        <v>88.022601725414958</v>
      </c>
      <c r="K168" s="696">
        <f t="shared" si="56"/>
        <v>147.34922040103828</v>
      </c>
      <c r="L168" s="863">
        <f t="shared" si="60"/>
        <v>11.787937632083063</v>
      </c>
      <c r="M168" s="952">
        <f t="shared" si="57"/>
        <v>159.13715803312135</v>
      </c>
      <c r="N168" s="867"/>
      <c r="O168" s="867">
        <v>148</v>
      </c>
      <c r="P168" s="866"/>
      <c r="R168" s="868">
        <f t="shared" si="51"/>
        <v>107.52510677913605</v>
      </c>
    </row>
    <row r="169" spans="1:18" ht="15.6" x14ac:dyDescent="0.3">
      <c r="A169" s="688" t="s">
        <v>1865</v>
      </c>
      <c r="B169" s="689" t="s">
        <v>1865</v>
      </c>
      <c r="C169" s="692" t="s">
        <v>1705</v>
      </c>
      <c r="D169" s="696">
        <f>'КМУ стом.'!C776</f>
        <v>126.76914869672856</v>
      </c>
      <c r="E169" s="696">
        <f t="shared" si="58"/>
        <v>25.607368036739167</v>
      </c>
      <c r="F169" s="696">
        <f>'КМУ стом.'!I776</f>
        <v>15.985099999999999</v>
      </c>
      <c r="G169" s="696">
        <f>G168</f>
        <v>9.7177053508634495E-2</v>
      </c>
      <c r="H169" s="696">
        <f t="shared" ref="H169:H174" si="61">H168</f>
        <v>4.1503124387477399</v>
      </c>
      <c r="I169" s="696">
        <f t="shared" ref="I169:I174" si="62">I168</f>
        <v>10.307632433223615</v>
      </c>
      <c r="J169" s="696">
        <f>'КМУ стом.'!Z776</f>
        <v>235.31109784723392</v>
      </c>
      <c r="K169" s="696">
        <f t="shared" si="56"/>
        <v>407.92020407295803</v>
      </c>
      <c r="L169" s="863">
        <f t="shared" si="60"/>
        <v>32.633616325836641</v>
      </c>
      <c r="M169" s="952">
        <f t="shared" si="57"/>
        <v>440.55382039879464</v>
      </c>
      <c r="N169" s="867"/>
      <c r="O169" s="867">
        <v>407</v>
      </c>
      <c r="P169" s="866"/>
      <c r="R169" s="868">
        <f t="shared" si="51"/>
        <v>108.24418191616576</v>
      </c>
    </row>
    <row r="170" spans="1:18" ht="15.6" x14ac:dyDescent="0.3">
      <c r="A170" s="688" t="s">
        <v>1860</v>
      </c>
      <c r="B170" s="689" t="s">
        <v>1860</v>
      </c>
      <c r="C170" s="692" t="s">
        <v>1859</v>
      </c>
      <c r="D170" s="696">
        <f>'КМУ стом.'!C255</f>
        <v>109.22296484697922</v>
      </c>
      <c r="E170" s="696">
        <f t="shared" si="58"/>
        <v>22.063038899089801</v>
      </c>
      <c r="F170" s="696">
        <f>'КМУ стом.'!I255</f>
        <v>76.524699999999996</v>
      </c>
      <c r="G170" s="696">
        <f t="shared" ref="G170:G174" si="63">G169</f>
        <v>9.7177053508634495E-2</v>
      </c>
      <c r="H170" s="696">
        <f t="shared" si="61"/>
        <v>4.1503124387477399</v>
      </c>
      <c r="I170" s="696">
        <f t="shared" si="62"/>
        <v>10.307632433223615</v>
      </c>
      <c r="J170" s="696">
        <f>'КМУ стом.'!Z255</f>
        <v>288.82901671568891</v>
      </c>
      <c r="K170" s="696">
        <f t="shared" si="56"/>
        <v>500.88720995401428</v>
      </c>
      <c r="L170" s="863">
        <f t="shared" si="60"/>
        <v>40.070976796321141</v>
      </c>
      <c r="M170" s="952">
        <f t="shared" si="57"/>
        <v>540.95818675033547</v>
      </c>
      <c r="N170" s="867"/>
      <c r="O170" s="867">
        <v>494</v>
      </c>
      <c r="P170" s="866"/>
      <c r="R170" s="868">
        <f t="shared" si="51"/>
        <v>109.50570581990597</v>
      </c>
    </row>
    <row r="171" spans="1:18" ht="15.6" hidden="1" x14ac:dyDescent="0.3">
      <c r="A171" s="688" t="s">
        <v>1098</v>
      </c>
      <c r="B171" s="689" t="s">
        <v>1098</v>
      </c>
      <c r="C171" s="692" t="s">
        <v>131</v>
      </c>
      <c r="D171" s="696">
        <f>'КМУ стом.'!C245</f>
        <v>63.384574348364282</v>
      </c>
      <c r="E171" s="696">
        <f t="shared" si="58"/>
        <v>12.803684018369584</v>
      </c>
      <c r="F171" s="697">
        <v>12.13</v>
      </c>
      <c r="G171" s="696">
        <f t="shared" si="63"/>
        <v>9.7177053508634495E-2</v>
      </c>
      <c r="H171" s="696">
        <f t="shared" si="61"/>
        <v>4.1503124387477399</v>
      </c>
      <c r="I171" s="696">
        <f t="shared" si="62"/>
        <v>10.307632433223615</v>
      </c>
      <c r="J171" s="696">
        <f>'КМУ стом.'!Z245</f>
        <v>143.89287499758473</v>
      </c>
      <c r="K171" s="696">
        <f t="shared" si="56"/>
        <v>236.45862285657495</v>
      </c>
      <c r="L171" s="863">
        <f t="shared" si="60"/>
        <v>18.916689828525996</v>
      </c>
      <c r="M171" s="952">
        <f t="shared" si="57"/>
        <v>255.37531268510094</v>
      </c>
      <c r="N171" s="867"/>
      <c r="O171" s="867"/>
      <c r="P171" s="866"/>
      <c r="R171" s="868" t="e">
        <f t="shared" si="51"/>
        <v>#DIV/0!</v>
      </c>
    </row>
    <row r="172" spans="1:18" ht="15.6" x14ac:dyDescent="0.3">
      <c r="A172" s="688" t="s">
        <v>1819</v>
      </c>
      <c r="B172" s="689" t="s">
        <v>1819</v>
      </c>
      <c r="C172" s="692" t="s">
        <v>140</v>
      </c>
      <c r="D172" s="696">
        <f>'КМУ стом.'!C576</f>
        <v>273.03405722651195</v>
      </c>
      <c r="E172" s="696">
        <f t="shared" si="58"/>
        <v>55.152879559755412</v>
      </c>
      <c r="F172" s="696">
        <f>'КМУ стом.'!I576</f>
        <v>39.677700000000002</v>
      </c>
      <c r="G172" s="696">
        <f t="shared" si="63"/>
        <v>9.7177053508634495E-2</v>
      </c>
      <c r="H172" s="696">
        <f t="shared" si="61"/>
        <v>4.1503124387477399</v>
      </c>
      <c r="I172" s="696">
        <f t="shared" si="62"/>
        <v>10.307632433223615</v>
      </c>
      <c r="J172" s="696">
        <f>'КМУ стом.'!Z576</f>
        <v>496.92917063795471</v>
      </c>
      <c r="K172" s="696">
        <f t="shared" si="56"/>
        <v>869.04129691647836</v>
      </c>
      <c r="L172" s="863">
        <f>K172*5%</f>
        <v>43.452064845823919</v>
      </c>
      <c r="M172" s="952">
        <f t="shared" si="57"/>
        <v>912.49336176230224</v>
      </c>
      <c r="N172" s="867"/>
      <c r="O172" s="867">
        <v>842</v>
      </c>
      <c r="P172" s="866"/>
      <c r="R172" s="868">
        <f t="shared" si="51"/>
        <v>108.37213322592663</v>
      </c>
    </row>
    <row r="173" spans="1:18" ht="15.6" x14ac:dyDescent="0.3">
      <c r="A173" s="688" t="s">
        <v>1100</v>
      </c>
      <c r="B173" s="689" t="s">
        <v>2059</v>
      </c>
      <c r="C173" s="692" t="s">
        <v>2060</v>
      </c>
      <c r="D173" s="696">
        <f>'КМУ стом.'!C726</f>
        <v>110.92300510963749</v>
      </c>
      <c r="E173" s="696">
        <f t="shared" si="58"/>
        <v>22.406447032146772</v>
      </c>
      <c r="F173" s="696">
        <f>'КМУ стом.'!I726</f>
        <v>16.372</v>
      </c>
      <c r="G173" s="696">
        <f t="shared" si="63"/>
        <v>9.7177053508634495E-2</v>
      </c>
      <c r="H173" s="696">
        <f t="shared" si="61"/>
        <v>4.1503124387477399</v>
      </c>
      <c r="I173" s="696">
        <f t="shared" si="62"/>
        <v>10.307632433223615</v>
      </c>
      <c r="J173" s="696">
        <f>'КМУ стом.'!Z726</f>
        <v>211.04938149960216</v>
      </c>
      <c r="K173" s="696">
        <f t="shared" si="56"/>
        <v>364.99832313364277</v>
      </c>
      <c r="L173" s="863">
        <f t="shared" si="60"/>
        <v>29.199865850691424</v>
      </c>
      <c r="M173" s="952">
        <f t="shared" si="57"/>
        <v>394.19818898433419</v>
      </c>
      <c r="N173" s="867"/>
      <c r="O173" s="867">
        <v>365</v>
      </c>
      <c r="P173" s="866"/>
      <c r="R173" s="868">
        <f t="shared" si="51"/>
        <v>107.99950383132443</v>
      </c>
    </row>
    <row r="174" spans="1:18" ht="24" customHeight="1" x14ac:dyDescent="0.3">
      <c r="A174" s="688" t="s">
        <v>1888</v>
      </c>
      <c r="B174" s="689" t="s">
        <v>1888</v>
      </c>
      <c r="C174" s="692" t="s">
        <v>1887</v>
      </c>
      <c r="D174" s="696">
        <f>'КМУ стом.'!C806</f>
        <v>73.132454264891692</v>
      </c>
      <c r="E174" s="696">
        <f t="shared" si="58"/>
        <v>14.772755761508121</v>
      </c>
      <c r="F174" s="696">
        <f>'КМУ стом.'!I806</f>
        <v>19.975999999999999</v>
      </c>
      <c r="G174" s="696">
        <f t="shared" si="63"/>
        <v>9.7177053508634495E-2</v>
      </c>
      <c r="H174" s="696">
        <f t="shared" si="61"/>
        <v>4.1503124387477399</v>
      </c>
      <c r="I174" s="696">
        <f t="shared" si="62"/>
        <v>10.307632433223615</v>
      </c>
      <c r="J174" s="696">
        <f>'КМУ стом.'!Z806</f>
        <v>156.67521739148137</v>
      </c>
      <c r="K174" s="696">
        <f t="shared" si="56"/>
        <v>268.80391691013756</v>
      </c>
      <c r="L174" s="863">
        <f t="shared" si="60"/>
        <v>21.504313352811007</v>
      </c>
      <c r="M174" s="952">
        <f t="shared" si="57"/>
        <v>290.30823026294854</v>
      </c>
      <c r="N174" s="867"/>
      <c r="O174" s="867">
        <v>265</v>
      </c>
      <c r="P174" s="866"/>
      <c r="R174" s="868">
        <f t="shared" si="51"/>
        <v>109.55027557092399</v>
      </c>
    </row>
    <row r="175" spans="1:18" ht="27.6" hidden="1" x14ac:dyDescent="0.3">
      <c r="A175" s="688" t="s">
        <v>1102</v>
      </c>
      <c r="B175" s="689" t="s">
        <v>1102</v>
      </c>
      <c r="C175" s="692" t="s">
        <v>881</v>
      </c>
      <c r="D175" s="696">
        <f>'КМУ стом.'!C497</f>
        <v>633.84574348364276</v>
      </c>
      <c r="E175" s="696">
        <f t="shared" si="58"/>
        <v>128.03684018369583</v>
      </c>
      <c r="F175" s="697">
        <v>12.13</v>
      </c>
      <c r="G175" s="696">
        <f t="shared" ref="G175:G201" si="64">G174</f>
        <v>9.7177053508634495E-2</v>
      </c>
      <c r="H175" s="696">
        <f t="shared" ref="H175:H201" si="65">H174</f>
        <v>4.1503124387477399</v>
      </c>
      <c r="I175" s="696">
        <f t="shared" ref="I175:I201" si="66">I174</f>
        <v>10.307632433223615</v>
      </c>
      <c r="J175" s="696">
        <f>'КМУ стом.'!Z497</f>
        <v>1080.5407107126305</v>
      </c>
      <c r="K175" s="696">
        <f>J175+H175+G175+F175+E175+D175</f>
        <v>1858.8007838722256</v>
      </c>
      <c r="L175" s="863">
        <f t="shared" si="60"/>
        <v>148.70406270977804</v>
      </c>
      <c r="M175" s="952">
        <f t="shared" si="57"/>
        <v>2007.5048465820037</v>
      </c>
      <c r="N175" s="867"/>
      <c r="O175" s="867"/>
      <c r="P175" s="866"/>
      <c r="R175" s="868" t="e">
        <f t="shared" si="51"/>
        <v>#DIV/0!</v>
      </c>
    </row>
    <row r="176" spans="1:18" ht="15.6" hidden="1" x14ac:dyDescent="0.3">
      <c r="A176" s="688" t="s">
        <v>1103</v>
      </c>
      <c r="B176" s="689" t="s">
        <v>1103</v>
      </c>
      <c r="C176" s="692" t="s">
        <v>884</v>
      </c>
      <c r="D176" s="696">
        <f>'КМУ стом.'!C537</f>
        <v>697.23031783200713</v>
      </c>
      <c r="E176" s="696">
        <f t="shared" si="58"/>
        <v>140.84052420206544</v>
      </c>
      <c r="F176" s="697">
        <v>52.97</v>
      </c>
      <c r="G176" s="696">
        <f t="shared" si="64"/>
        <v>9.7177053508634495E-2</v>
      </c>
      <c r="H176" s="696">
        <f t="shared" si="65"/>
        <v>4.1503124387477399</v>
      </c>
      <c r="I176" s="696">
        <f t="shared" si="66"/>
        <v>10.307632433223615</v>
      </c>
      <c r="J176" s="696">
        <f>'КМУ стом.'!Z537</f>
        <v>1249.424246317762</v>
      </c>
      <c r="K176" s="696">
        <f t="shared" si="56"/>
        <v>2144.7125778440909</v>
      </c>
      <c r="L176" s="863">
        <f t="shared" si="60"/>
        <v>171.57700622752728</v>
      </c>
      <c r="M176" s="952">
        <f t="shared" si="57"/>
        <v>2316.2895840716183</v>
      </c>
      <c r="N176" s="867"/>
      <c r="O176" s="867"/>
      <c r="P176" s="866"/>
      <c r="R176" s="868" t="e">
        <f t="shared" si="51"/>
        <v>#DIV/0!</v>
      </c>
    </row>
    <row r="177" spans="1:18" ht="27.6" hidden="1" x14ac:dyDescent="0.3">
      <c r="A177" s="688" t="s">
        <v>1104</v>
      </c>
      <c r="B177" s="689" t="s">
        <v>1104</v>
      </c>
      <c r="C177" s="692" t="s">
        <v>882</v>
      </c>
      <c r="D177" s="696">
        <f>'КМУ стом.'!C511</f>
        <v>887.38404087709989</v>
      </c>
      <c r="E177" s="696">
        <f t="shared" si="58"/>
        <v>179.25157625717418</v>
      </c>
      <c r="F177" s="697">
        <v>12.13</v>
      </c>
      <c r="G177" s="696">
        <f t="shared" si="64"/>
        <v>9.7177053508634495E-2</v>
      </c>
      <c r="H177" s="696">
        <f t="shared" si="65"/>
        <v>4.1503124387477399</v>
      </c>
      <c r="I177" s="696">
        <f t="shared" si="66"/>
        <v>10.307632433223615</v>
      </c>
      <c r="J177" s="696">
        <f>'КМУ стом.'!Z511</f>
        <v>1485.7351473715719</v>
      </c>
      <c r="K177" s="696">
        <f t="shared" si="56"/>
        <v>2568.7482539981024</v>
      </c>
      <c r="L177" s="863">
        <f t="shared" si="60"/>
        <v>205.49986031984821</v>
      </c>
      <c r="M177" s="952">
        <f t="shared" si="57"/>
        <v>2774.2481143179507</v>
      </c>
      <c r="N177" s="867"/>
      <c r="O177" s="867"/>
      <c r="P177" s="866"/>
      <c r="R177" s="868" t="e">
        <f t="shared" si="51"/>
        <v>#DIV/0!</v>
      </c>
    </row>
    <row r="178" spans="1:18" ht="15.6" hidden="1" x14ac:dyDescent="0.3">
      <c r="A178" s="688" t="s">
        <v>1105</v>
      </c>
      <c r="B178" s="689" t="s">
        <v>1105</v>
      </c>
      <c r="C178" s="692" t="s">
        <v>885</v>
      </c>
      <c r="D178" s="696">
        <f>'КМУ стом.'!C550</f>
        <v>950.76861522546415</v>
      </c>
      <c r="E178" s="696">
        <f t="shared" si="58"/>
        <v>192.05526027554373</v>
      </c>
      <c r="F178" s="697">
        <v>52.97</v>
      </c>
      <c r="G178" s="696">
        <f t="shared" si="64"/>
        <v>9.7177053508634495E-2</v>
      </c>
      <c r="H178" s="696">
        <f t="shared" si="65"/>
        <v>4.1503124387477399</v>
      </c>
      <c r="I178" s="696">
        <f t="shared" si="66"/>
        <v>10.307632433223615</v>
      </c>
      <c r="J178" s="696">
        <f>'КМУ стом.'!Z550</f>
        <v>1679.0447890861617</v>
      </c>
      <c r="K178" s="696">
        <f t="shared" si="56"/>
        <v>2879.0861540794258</v>
      </c>
      <c r="L178" s="863">
        <f t="shared" si="60"/>
        <v>230.32689232635406</v>
      </c>
      <c r="M178" s="952">
        <f t="shared" si="57"/>
        <v>3109.4130464057798</v>
      </c>
      <c r="N178" s="948"/>
      <c r="O178" s="867"/>
      <c r="P178" s="866"/>
      <c r="R178" s="868" t="e">
        <f t="shared" si="51"/>
        <v>#DIV/0!</v>
      </c>
    </row>
    <row r="179" spans="1:18" ht="27" hidden="1" customHeight="1" x14ac:dyDescent="0.3">
      <c r="A179" s="688" t="s">
        <v>1106</v>
      </c>
      <c r="B179" s="689" t="s">
        <v>1106</v>
      </c>
      <c r="C179" s="692" t="s">
        <v>883</v>
      </c>
      <c r="D179" s="696">
        <f>'КМУ стом.'!C524</f>
        <v>1140.9223382705572</v>
      </c>
      <c r="E179" s="696">
        <f t="shared" si="58"/>
        <v>230.46631233065256</v>
      </c>
      <c r="F179" s="697">
        <v>12.13</v>
      </c>
      <c r="G179" s="696">
        <f t="shared" si="64"/>
        <v>9.7177053508634495E-2</v>
      </c>
      <c r="H179" s="696">
        <f t="shared" si="65"/>
        <v>4.1503124387477399</v>
      </c>
      <c r="I179" s="696">
        <f t="shared" si="66"/>
        <v>10.307632433223615</v>
      </c>
      <c r="J179" s="696">
        <f>'КМУ стом.'!Z524</f>
        <v>1873.0129976238013</v>
      </c>
      <c r="K179" s="696">
        <f t="shared" si="56"/>
        <v>3260.7791377172675</v>
      </c>
      <c r="L179" s="863">
        <f t="shared" si="60"/>
        <v>260.86233101738139</v>
      </c>
      <c r="M179" s="952">
        <f t="shared" si="57"/>
        <v>3521.6414687346487</v>
      </c>
      <c r="N179" s="865"/>
      <c r="P179" s="866"/>
      <c r="R179" s="868" t="e">
        <f t="shared" si="51"/>
        <v>#DIV/0!</v>
      </c>
    </row>
    <row r="180" spans="1:18" ht="15.6" hidden="1" x14ac:dyDescent="0.3">
      <c r="A180" s="688" t="s">
        <v>1107</v>
      </c>
      <c r="B180" s="689" t="s">
        <v>1107</v>
      </c>
      <c r="C180" s="692" t="s">
        <v>886</v>
      </c>
      <c r="D180" s="696">
        <f>'КМУ стом.'!C563</f>
        <v>1204.3069126189214</v>
      </c>
      <c r="E180" s="696">
        <f t="shared" si="58"/>
        <v>243.26999634902211</v>
      </c>
      <c r="F180" s="697">
        <v>52.97</v>
      </c>
      <c r="G180" s="696">
        <f t="shared" si="64"/>
        <v>9.7177053508634495E-2</v>
      </c>
      <c r="H180" s="696">
        <f t="shared" si="65"/>
        <v>4.1503124387477399</v>
      </c>
      <c r="I180" s="696">
        <f t="shared" si="66"/>
        <v>10.307632433223615</v>
      </c>
      <c r="J180" s="696">
        <f>'КМУ стом.'!Z563</f>
        <v>2108.5787393542219</v>
      </c>
      <c r="K180" s="696">
        <f t="shared" ref="K180:K228" si="67">J180+H180+G180+F180+E180+D180</f>
        <v>3613.3731378144221</v>
      </c>
      <c r="L180" s="863">
        <f t="shared" si="60"/>
        <v>289.06985102515375</v>
      </c>
      <c r="M180" s="952">
        <f t="shared" si="57"/>
        <v>3902.4429888395757</v>
      </c>
      <c r="N180" s="865"/>
      <c r="P180" s="866"/>
      <c r="R180" s="868" t="e">
        <f t="shared" si="51"/>
        <v>#DIV/0!</v>
      </c>
    </row>
    <row r="181" spans="1:18" ht="15.6" x14ac:dyDescent="0.3">
      <c r="A181" s="688" t="s">
        <v>1820</v>
      </c>
      <c r="B181" s="689" t="s">
        <v>1820</v>
      </c>
      <c r="C181" s="692" t="s">
        <v>1591</v>
      </c>
      <c r="D181" s="696">
        <f>'КМУ стом.'!C816</f>
        <v>31.692287174182141</v>
      </c>
      <c r="E181" s="696">
        <f t="shared" si="58"/>
        <v>6.4018420091847918</v>
      </c>
      <c r="F181" s="696">
        <f>'КМУ стом.'!I816</f>
        <v>14.872</v>
      </c>
      <c r="G181" s="696">
        <f t="shared" si="64"/>
        <v>9.7177053508634495E-2</v>
      </c>
      <c r="H181" s="696">
        <f t="shared" si="65"/>
        <v>4.1503124387477399</v>
      </c>
      <c r="I181" s="696">
        <f t="shared" si="66"/>
        <v>10.307632433223615</v>
      </c>
      <c r="J181" s="696">
        <f>'КМУ стом.'!Z816</f>
        <v>85.275305130539593</v>
      </c>
      <c r="K181" s="696">
        <f t="shared" si="67"/>
        <v>142.48892380616292</v>
      </c>
      <c r="L181" s="863">
        <f t="shared" si="60"/>
        <v>11.399113904493033</v>
      </c>
      <c r="M181" s="952">
        <f t="shared" si="57"/>
        <v>153.88803771065594</v>
      </c>
      <c r="N181" s="865"/>
      <c r="O181" s="700">
        <v>145</v>
      </c>
      <c r="P181" s="866"/>
      <c r="R181" s="868">
        <f t="shared" si="51"/>
        <v>106.12968117976271</v>
      </c>
    </row>
    <row r="182" spans="1:18" ht="15.6" x14ac:dyDescent="0.3">
      <c r="A182" s="688" t="s">
        <v>1109</v>
      </c>
      <c r="B182" s="689" t="s">
        <v>2061</v>
      </c>
      <c r="C182" s="688" t="s">
        <v>2062</v>
      </c>
      <c r="D182" s="696">
        <f>'КМУ стом.'!C666</f>
        <v>63.384574348364282</v>
      </c>
      <c r="E182" s="696">
        <f t="shared" si="58"/>
        <v>12.803684018369584</v>
      </c>
      <c r="F182" s="696">
        <f>'КМУ стом.'!I666</f>
        <v>16.3477</v>
      </c>
      <c r="G182" s="696">
        <f t="shared" si="64"/>
        <v>9.7177053508634495E-2</v>
      </c>
      <c r="H182" s="696">
        <f t="shared" si="65"/>
        <v>4.1503124387477399</v>
      </c>
      <c r="I182" s="696">
        <f t="shared" si="66"/>
        <v>10.307632433223615</v>
      </c>
      <c r="J182" s="696">
        <f>'КМУ стом.'!Z666</f>
        <v>136.72351004074503</v>
      </c>
      <c r="K182" s="696">
        <f t="shared" si="67"/>
        <v>233.50695789973526</v>
      </c>
      <c r="L182" s="863">
        <f t="shared" si="60"/>
        <v>18.680556631978821</v>
      </c>
      <c r="M182" s="952">
        <f t="shared" si="57"/>
        <v>252.18751453171407</v>
      </c>
      <c r="N182" s="865"/>
      <c r="O182" s="700">
        <v>234</v>
      </c>
      <c r="P182" s="866"/>
      <c r="R182" s="868">
        <f t="shared" si="51"/>
        <v>107.77244210757011</v>
      </c>
    </row>
    <row r="183" spans="1:18" ht="27.6" hidden="1" x14ac:dyDescent="0.3">
      <c r="A183" s="688" t="s">
        <v>1110</v>
      </c>
      <c r="B183" s="689" t="s">
        <v>1110</v>
      </c>
      <c r="C183" s="692" t="s">
        <v>1135</v>
      </c>
      <c r="D183" s="696">
        <f>'КМУ стом.'!C405</f>
        <v>380.30744609018569</v>
      </c>
      <c r="E183" s="696">
        <f t="shared" si="58"/>
        <v>76.822104110217509</v>
      </c>
      <c r="F183" s="697">
        <v>52.97</v>
      </c>
      <c r="G183" s="696">
        <f t="shared" si="64"/>
        <v>9.7177053508634495E-2</v>
      </c>
      <c r="H183" s="696">
        <f t="shared" si="65"/>
        <v>4.1503124387477399</v>
      </c>
      <c r="I183" s="696">
        <f t="shared" si="66"/>
        <v>10.307632433223615</v>
      </c>
      <c r="J183" s="696">
        <f>'КМУ стом.'!Z405</f>
        <v>760.87197039188322</v>
      </c>
      <c r="K183" s="696">
        <f t="shared" si="67"/>
        <v>1275.2190100845428</v>
      </c>
      <c r="L183" s="863">
        <f t="shared" si="60"/>
        <v>102.01752080676343</v>
      </c>
      <c r="M183" s="952">
        <f t="shared" si="57"/>
        <v>1377.2365308913063</v>
      </c>
      <c r="N183" s="865"/>
      <c r="P183" s="866"/>
      <c r="R183" s="868" t="e">
        <f t="shared" si="51"/>
        <v>#DIV/0!</v>
      </c>
    </row>
    <row r="184" spans="1:18" ht="27.6" hidden="1" x14ac:dyDescent="0.3">
      <c r="A184" s="688" t="s">
        <v>1111</v>
      </c>
      <c r="B184" s="689" t="s">
        <v>1111</v>
      </c>
      <c r="C184" s="692" t="s">
        <v>1136</v>
      </c>
      <c r="D184" s="696">
        <f>'КМУ стом.'!C383</f>
        <v>316.92287174182138</v>
      </c>
      <c r="E184" s="696">
        <f t="shared" si="58"/>
        <v>64.018420091847915</v>
      </c>
      <c r="F184" s="697">
        <v>52.97</v>
      </c>
      <c r="G184" s="696">
        <f t="shared" si="64"/>
        <v>9.7177053508634495E-2</v>
      </c>
      <c r="H184" s="696">
        <f t="shared" si="65"/>
        <v>4.1503124387477399</v>
      </c>
      <c r="I184" s="696">
        <f t="shared" si="66"/>
        <v>10.307632433223615</v>
      </c>
      <c r="J184" s="696">
        <f>'КМУ стом.'!Z383</f>
        <v>661.81293452798707</v>
      </c>
      <c r="K184" s="696">
        <f t="shared" si="67"/>
        <v>1099.9717158539129</v>
      </c>
      <c r="L184" s="863">
        <f t="shared" si="60"/>
        <v>87.997737268313031</v>
      </c>
      <c r="M184" s="952">
        <f t="shared" si="57"/>
        <v>1187.969453122226</v>
      </c>
      <c r="N184" s="865"/>
      <c r="P184" s="866"/>
      <c r="R184" s="868" t="e">
        <f t="shared" si="51"/>
        <v>#DIV/0!</v>
      </c>
    </row>
    <row r="185" spans="1:18" ht="27.6" hidden="1" x14ac:dyDescent="0.3">
      <c r="A185" s="688" t="s">
        <v>1112</v>
      </c>
      <c r="B185" s="689" t="s">
        <v>1112</v>
      </c>
      <c r="C185" s="692" t="s">
        <v>1137</v>
      </c>
      <c r="D185" s="696">
        <f>'КМУ стом.'!C394</f>
        <v>348.61515891600357</v>
      </c>
      <c r="E185" s="696">
        <f t="shared" si="58"/>
        <v>70.420262101032719</v>
      </c>
      <c r="F185" s="697">
        <v>52.97</v>
      </c>
      <c r="G185" s="696">
        <f t="shared" si="64"/>
        <v>9.7177053508634495E-2</v>
      </c>
      <c r="H185" s="696">
        <f t="shared" si="65"/>
        <v>4.1503124387477399</v>
      </c>
      <c r="I185" s="696">
        <f t="shared" si="66"/>
        <v>10.307632433223615</v>
      </c>
      <c r="J185" s="696">
        <f>'КМУ стом.'!Z394</f>
        <v>711.34245245993532</v>
      </c>
      <c r="K185" s="696">
        <f t="shared" si="67"/>
        <v>1187.5953629692281</v>
      </c>
      <c r="L185" s="863">
        <f t="shared" si="60"/>
        <v>95.007629037538251</v>
      </c>
      <c r="M185" s="952">
        <f t="shared" si="57"/>
        <v>1282.6029920067663</v>
      </c>
      <c r="N185" s="865"/>
      <c r="P185" s="866"/>
      <c r="R185" s="868" t="e">
        <f t="shared" si="51"/>
        <v>#DIV/0!</v>
      </c>
    </row>
    <row r="186" spans="1:18" ht="27.6" hidden="1" x14ac:dyDescent="0.3">
      <c r="A186" s="688" t="s">
        <v>1113</v>
      </c>
      <c r="B186" s="689" t="s">
        <v>1113</v>
      </c>
      <c r="C186" s="692" t="s">
        <v>1138</v>
      </c>
      <c r="D186" s="696">
        <f>'КМУ стом.'!C371</f>
        <v>253.53829739345713</v>
      </c>
      <c r="E186" s="696">
        <f t="shared" si="58"/>
        <v>51.214736073478335</v>
      </c>
      <c r="F186" s="697">
        <v>12.13</v>
      </c>
      <c r="G186" s="696">
        <f t="shared" si="64"/>
        <v>9.7177053508634495E-2</v>
      </c>
      <c r="H186" s="696">
        <f t="shared" si="65"/>
        <v>4.1503124387477399</v>
      </c>
      <c r="I186" s="696">
        <f t="shared" si="66"/>
        <v>10.307632433223615</v>
      </c>
      <c r="J186" s="696">
        <f>'КМУ стом.'!Z371</f>
        <v>474.89566560502271</v>
      </c>
      <c r="K186" s="696">
        <f t="shared" si="67"/>
        <v>796.02618856421452</v>
      </c>
      <c r="L186" s="863">
        <f t="shared" si="60"/>
        <v>63.682095085137163</v>
      </c>
      <c r="M186" s="952">
        <f t="shared" si="57"/>
        <v>859.70828364935164</v>
      </c>
      <c r="N186" s="865"/>
      <c r="P186" s="866"/>
      <c r="R186" s="868" t="e">
        <f t="shared" si="51"/>
        <v>#DIV/0!</v>
      </c>
    </row>
    <row r="187" spans="1:18" ht="15.6" x14ac:dyDescent="0.3">
      <c r="A187" s="688" t="s">
        <v>1114</v>
      </c>
      <c r="B187" s="689" t="s">
        <v>2058</v>
      </c>
      <c r="C187" s="692" t="s">
        <v>550</v>
      </c>
      <c r="D187" s="696">
        <f>'КМУ стом.'!C265</f>
        <v>15.846143587091071</v>
      </c>
      <c r="E187" s="696">
        <f t="shared" si="58"/>
        <v>3.2009210045923959</v>
      </c>
      <c r="F187" s="696">
        <f>'КМУ стом.'!I265</f>
        <v>38.001100000000001</v>
      </c>
      <c r="G187" s="696">
        <f t="shared" si="64"/>
        <v>9.7177053508634495E-2</v>
      </c>
      <c r="H187" s="696">
        <f t="shared" si="65"/>
        <v>4.1503124387477399</v>
      </c>
      <c r="I187" s="696">
        <f t="shared" si="66"/>
        <v>10.307632433223615</v>
      </c>
      <c r="J187" s="696">
        <f>'КМУ стом.'!Z265</f>
        <v>92.809418772665609</v>
      </c>
      <c r="K187" s="696">
        <f t="shared" si="67"/>
        <v>154.10507285660546</v>
      </c>
      <c r="L187" s="863">
        <f>K187*2%</f>
        <v>3.0821014571321093</v>
      </c>
      <c r="M187" s="952">
        <f t="shared" si="57"/>
        <v>157.18717431373756</v>
      </c>
      <c r="N187" s="865"/>
      <c r="O187" s="700">
        <v>134</v>
      </c>
      <c r="P187" s="866"/>
      <c r="R187" s="868">
        <f t="shared" si="51"/>
        <v>117.30386142816236</v>
      </c>
    </row>
    <row r="188" spans="1:18" ht="15.6" hidden="1" x14ac:dyDescent="0.3">
      <c r="A188" s="688" t="s">
        <v>1115</v>
      </c>
      <c r="B188" s="689" t="s">
        <v>1115</v>
      </c>
      <c r="C188" s="692" t="s">
        <v>101</v>
      </c>
      <c r="D188" s="696">
        <f>'КМУ стом.'!C416</f>
        <v>507.07659478691426</v>
      </c>
      <c r="E188" s="696">
        <f t="shared" si="58"/>
        <v>102.42947214695667</v>
      </c>
      <c r="F188" s="697">
        <v>12.13</v>
      </c>
      <c r="G188" s="696">
        <f t="shared" si="64"/>
        <v>9.7177053508634495E-2</v>
      </c>
      <c r="H188" s="696">
        <f t="shared" si="65"/>
        <v>4.1503124387477399</v>
      </c>
      <c r="I188" s="696">
        <f t="shared" si="66"/>
        <v>10.307632433223615</v>
      </c>
      <c r="J188" s="696">
        <f>'КМУ стом.'!Z416</f>
        <v>869.1282198260111</v>
      </c>
      <c r="K188" s="696">
        <f t="shared" si="67"/>
        <v>1495.0117762521384</v>
      </c>
      <c r="L188" s="863">
        <f t="shared" si="60"/>
        <v>119.60094210017107</v>
      </c>
      <c r="M188" s="952">
        <f t="shared" si="57"/>
        <v>1614.6127183523095</v>
      </c>
      <c r="N188" s="865"/>
      <c r="P188" s="866"/>
      <c r="R188" s="868" t="e">
        <f t="shared" si="51"/>
        <v>#DIV/0!</v>
      </c>
    </row>
    <row r="189" spans="1:18" ht="15.6" hidden="1" x14ac:dyDescent="0.3">
      <c r="A189" s="688" t="s">
        <v>1116</v>
      </c>
      <c r="B189" s="689" t="s">
        <v>1116</v>
      </c>
      <c r="C189" s="692" t="s">
        <v>1139</v>
      </c>
      <c r="D189" s="696">
        <f>'КМУ стом.'!C452</f>
        <v>570.46116913527862</v>
      </c>
      <c r="E189" s="696">
        <f t="shared" si="58"/>
        <v>115.23315616532628</v>
      </c>
      <c r="F189" s="697">
        <v>52.97</v>
      </c>
      <c r="G189" s="696">
        <f t="shared" si="64"/>
        <v>9.7177053508634495E-2</v>
      </c>
      <c r="H189" s="696">
        <f t="shared" si="65"/>
        <v>4.1503124387477399</v>
      </c>
      <c r="I189" s="696">
        <f t="shared" si="66"/>
        <v>10.307632433223615</v>
      </c>
      <c r="J189" s="696">
        <f>'КМУ стом.'!Z452</f>
        <v>994.40359023357507</v>
      </c>
      <c r="K189" s="696">
        <f t="shared" si="67"/>
        <v>1737.3154050264363</v>
      </c>
      <c r="L189" s="863">
        <f t="shared" si="60"/>
        <v>138.98523240211492</v>
      </c>
      <c r="M189" s="952">
        <f t="shared" si="57"/>
        <v>1876.3006374285512</v>
      </c>
      <c r="N189" s="865"/>
      <c r="P189" s="866"/>
      <c r="R189" s="868" t="e">
        <f t="shared" si="51"/>
        <v>#DIV/0!</v>
      </c>
    </row>
    <row r="190" spans="1:18" ht="15.6" hidden="1" x14ac:dyDescent="0.3">
      <c r="A190" s="688" t="s">
        <v>1117</v>
      </c>
      <c r="B190" s="689" t="s">
        <v>1117</v>
      </c>
      <c r="C190" s="692" t="s">
        <v>102</v>
      </c>
      <c r="D190" s="696">
        <f>'КМУ стом.'!C428</f>
        <v>760.61489218037138</v>
      </c>
      <c r="E190" s="696">
        <f t="shared" si="58"/>
        <v>153.64420822043502</v>
      </c>
      <c r="F190" s="697">
        <v>12.13</v>
      </c>
      <c r="G190" s="696">
        <f t="shared" si="64"/>
        <v>9.7177053508634495E-2</v>
      </c>
      <c r="H190" s="696">
        <f t="shared" si="65"/>
        <v>4.1503124387477399</v>
      </c>
      <c r="I190" s="696">
        <f t="shared" si="66"/>
        <v>10.307632433223615</v>
      </c>
      <c r="J190" s="696">
        <f>'КМУ стом.'!Z428</f>
        <v>1269.7004892370669</v>
      </c>
      <c r="K190" s="696">
        <f t="shared" si="67"/>
        <v>2200.33707913013</v>
      </c>
      <c r="L190" s="863">
        <f t="shared" si="60"/>
        <v>176.0269663304104</v>
      </c>
      <c r="M190" s="952">
        <f t="shared" si="57"/>
        <v>2376.3640454605402</v>
      </c>
      <c r="N190" s="865"/>
      <c r="P190" s="866"/>
      <c r="R190" s="868" t="e">
        <f t="shared" si="51"/>
        <v>#DIV/0!</v>
      </c>
    </row>
    <row r="191" spans="1:18" ht="15.6" hidden="1" x14ac:dyDescent="0.3">
      <c r="A191" s="688" t="s">
        <v>1118</v>
      </c>
      <c r="B191" s="689" t="s">
        <v>1118</v>
      </c>
      <c r="C191" s="692" t="s">
        <v>1140</v>
      </c>
      <c r="D191" s="696">
        <f>'КМУ стом.'!C464</f>
        <v>823.99946652873564</v>
      </c>
      <c r="E191" s="696">
        <f t="shared" si="58"/>
        <v>166.4478922388046</v>
      </c>
      <c r="F191" s="697">
        <v>52.97</v>
      </c>
      <c r="G191" s="696">
        <f t="shared" si="64"/>
        <v>9.7177053508634495E-2</v>
      </c>
      <c r="H191" s="696">
        <f t="shared" si="65"/>
        <v>4.1503124387477399</v>
      </c>
      <c r="I191" s="696">
        <f t="shared" si="66"/>
        <v>10.307632433223615</v>
      </c>
      <c r="J191" s="696">
        <f>'КМУ стом.'!Z464</f>
        <v>1429.5855558391354</v>
      </c>
      <c r="K191" s="696">
        <f t="shared" si="67"/>
        <v>2477.250404098932</v>
      </c>
      <c r="L191" s="863">
        <f t="shared" si="60"/>
        <v>198.18003232791457</v>
      </c>
      <c r="M191" s="952">
        <f t="shared" si="57"/>
        <v>2675.4304364268464</v>
      </c>
      <c r="N191" s="865"/>
      <c r="P191" s="866"/>
      <c r="R191" s="868" t="e">
        <f t="shared" si="51"/>
        <v>#DIV/0!</v>
      </c>
    </row>
    <row r="192" spans="1:18" ht="15.6" hidden="1" x14ac:dyDescent="0.3">
      <c r="A192" s="688" t="s">
        <v>1119</v>
      </c>
      <c r="B192" s="689" t="s">
        <v>1119</v>
      </c>
      <c r="C192" s="692" t="s">
        <v>103</v>
      </c>
      <c r="D192" s="696">
        <f>'КМУ стом.'!C440</f>
        <v>1014.1531895738285</v>
      </c>
      <c r="E192" s="696">
        <f t="shared" si="58"/>
        <v>204.85894429391334</v>
      </c>
      <c r="F192" s="697">
        <v>12.13</v>
      </c>
      <c r="G192" s="696">
        <f t="shared" si="64"/>
        <v>9.7177053508634495E-2</v>
      </c>
      <c r="H192" s="696">
        <f t="shared" si="65"/>
        <v>4.1503124387477399</v>
      </c>
      <c r="I192" s="696">
        <f t="shared" si="66"/>
        <v>10.307632433223615</v>
      </c>
      <c r="J192" s="696">
        <f>'КМУ стом.'!Z440</f>
        <v>1674.8949258960085</v>
      </c>
      <c r="K192" s="696">
        <f t="shared" si="67"/>
        <v>2910.2845492560068</v>
      </c>
      <c r="L192" s="863">
        <f t="shared" si="60"/>
        <v>232.82276394048054</v>
      </c>
      <c r="M192" s="952">
        <f t="shared" si="57"/>
        <v>3143.1073131964872</v>
      </c>
      <c r="N192" s="865"/>
      <c r="P192" s="866"/>
      <c r="R192" s="868" t="e">
        <f t="shared" si="51"/>
        <v>#DIV/0!</v>
      </c>
    </row>
    <row r="193" spans="1:18" ht="15.6" hidden="1" x14ac:dyDescent="0.3">
      <c r="A193" s="688" t="s">
        <v>151</v>
      </c>
      <c r="B193" s="689" t="s">
        <v>151</v>
      </c>
      <c r="C193" s="692" t="s">
        <v>1141</v>
      </c>
      <c r="D193" s="696">
        <f>'КМУ стом.'!C475</f>
        <v>1077.5377639221929</v>
      </c>
      <c r="E193" s="696">
        <f t="shared" si="58"/>
        <v>217.66262831228295</v>
      </c>
      <c r="F193" s="697">
        <v>52.97</v>
      </c>
      <c r="G193" s="696">
        <f t="shared" si="64"/>
        <v>9.7177053508634495E-2</v>
      </c>
      <c r="H193" s="696">
        <f t="shared" si="65"/>
        <v>4.1503124387477399</v>
      </c>
      <c r="I193" s="696">
        <f t="shared" si="66"/>
        <v>10.307632433223615</v>
      </c>
      <c r="J193" s="696">
        <f>'КМУ стом.'!Z475</f>
        <v>1845.2946103697082</v>
      </c>
      <c r="K193" s="696">
        <f t="shared" si="67"/>
        <v>3197.7124920964402</v>
      </c>
      <c r="L193" s="863">
        <f t="shared" si="60"/>
        <v>255.81699936771523</v>
      </c>
      <c r="M193" s="952">
        <f t="shared" si="57"/>
        <v>3453.5294914641554</v>
      </c>
      <c r="N193" s="865"/>
      <c r="P193" s="866"/>
      <c r="R193" s="868" t="e">
        <f t="shared" si="51"/>
        <v>#DIV/0!</v>
      </c>
    </row>
    <row r="194" spans="1:18" ht="27.6" x14ac:dyDescent="0.3">
      <c r="A194" s="688" t="s">
        <v>152</v>
      </c>
      <c r="B194" s="689" t="s">
        <v>2063</v>
      </c>
      <c r="C194" s="692" t="s">
        <v>2064</v>
      </c>
      <c r="D194" s="696">
        <f>'КМУ стом.'!C846</f>
        <v>31.692287174182141</v>
      </c>
      <c r="E194" s="696">
        <f t="shared" si="58"/>
        <v>6.4018420091847918</v>
      </c>
      <c r="F194" s="696">
        <f>'КМУ стом.'!I846</f>
        <v>16.076000000000001</v>
      </c>
      <c r="G194" s="696">
        <f t="shared" si="64"/>
        <v>9.7177053508634495E-2</v>
      </c>
      <c r="H194" s="696">
        <f t="shared" si="65"/>
        <v>4.1503124387477399</v>
      </c>
      <c r="I194" s="696">
        <f t="shared" si="66"/>
        <v>10.307632433223615</v>
      </c>
      <c r="J194" s="696">
        <f>'КМУ стом.'!Z846</f>
        <v>86.8407311126645</v>
      </c>
      <c r="K194" s="696">
        <f t="shared" si="67"/>
        <v>145.2583497882878</v>
      </c>
      <c r="L194" s="863">
        <f>K194*5%</f>
        <v>7.2629174894143906</v>
      </c>
      <c r="M194" s="952">
        <f t="shared" si="57"/>
        <v>152.52126727770218</v>
      </c>
      <c r="N194" s="865"/>
      <c r="O194" s="700">
        <v>147</v>
      </c>
      <c r="P194" s="866"/>
      <c r="R194" s="868">
        <f t="shared" si="51"/>
        <v>103.75596413449128</v>
      </c>
    </row>
    <row r="195" spans="1:18" ht="15.6" hidden="1" x14ac:dyDescent="0.3">
      <c r="A195" s="688" t="s">
        <v>154</v>
      </c>
      <c r="B195" s="689"/>
      <c r="C195" s="692"/>
      <c r="D195" s="696">
        <f>'КМУ стом.'!C856</f>
        <v>31.692287174182141</v>
      </c>
      <c r="E195" s="696">
        <f t="shared" si="58"/>
        <v>6.4018420091847918</v>
      </c>
      <c r="F195" s="697">
        <v>8.0299999999999994</v>
      </c>
      <c r="G195" s="696">
        <f t="shared" si="64"/>
        <v>9.7177053508634495E-2</v>
      </c>
      <c r="H195" s="696">
        <f t="shared" si="65"/>
        <v>4.1503124387477399</v>
      </c>
      <c r="I195" s="696">
        <f t="shared" si="66"/>
        <v>10.307632433223615</v>
      </c>
      <c r="J195" s="696">
        <f>'КМУ стом.'!Z856</f>
        <v>86.8407311126645</v>
      </c>
      <c r="K195" s="696">
        <f t="shared" si="67"/>
        <v>137.21234978828781</v>
      </c>
      <c r="L195" s="863">
        <f t="shared" ref="L195:L226" si="68">K195*5%</f>
        <v>6.8606174894143912</v>
      </c>
      <c r="M195" s="952">
        <f t="shared" si="57"/>
        <v>144.07296727770219</v>
      </c>
      <c r="N195" s="865"/>
      <c r="P195" s="866"/>
      <c r="R195" s="868" t="e">
        <f t="shared" si="51"/>
        <v>#DIV/0!</v>
      </c>
    </row>
    <row r="196" spans="1:18" ht="15.6" hidden="1" x14ac:dyDescent="0.3">
      <c r="A196" s="688" t="s">
        <v>155</v>
      </c>
      <c r="B196" s="689"/>
      <c r="C196" s="692"/>
      <c r="D196" s="696">
        <f>'КМУ стом.'!C836</f>
        <v>31.692287174182141</v>
      </c>
      <c r="E196" s="696">
        <f t="shared" si="58"/>
        <v>6.4018420091847918</v>
      </c>
      <c r="F196" s="697">
        <v>8.0299999999999994</v>
      </c>
      <c r="G196" s="696">
        <f t="shared" si="64"/>
        <v>9.7177053508634495E-2</v>
      </c>
      <c r="H196" s="696">
        <f t="shared" si="65"/>
        <v>4.1503124387477399</v>
      </c>
      <c r="I196" s="696">
        <f t="shared" si="66"/>
        <v>10.307632433223615</v>
      </c>
      <c r="J196" s="696">
        <f>'КМУ стом.'!Z836</f>
        <v>86.8407311126645</v>
      </c>
      <c r="K196" s="696">
        <f t="shared" si="67"/>
        <v>137.21234978828781</v>
      </c>
      <c r="L196" s="863">
        <f t="shared" si="68"/>
        <v>6.8606174894143912</v>
      </c>
      <c r="M196" s="952">
        <f t="shared" si="57"/>
        <v>144.07296727770219</v>
      </c>
      <c r="N196" s="865"/>
      <c r="P196" s="866"/>
      <c r="R196" s="868" t="e">
        <f t="shared" si="51"/>
        <v>#DIV/0!</v>
      </c>
    </row>
    <row r="197" spans="1:18" ht="15.6" hidden="1" x14ac:dyDescent="0.3">
      <c r="A197" s="688" t="s">
        <v>156</v>
      </c>
      <c r="B197" s="689"/>
      <c r="C197" s="692"/>
      <c r="D197" s="696">
        <f>'КМУ стом.'!C826</f>
        <v>31.692287174182141</v>
      </c>
      <c r="E197" s="696">
        <f t="shared" si="58"/>
        <v>6.4018420091847918</v>
      </c>
      <c r="F197" s="697">
        <v>8.0299999999999994</v>
      </c>
      <c r="G197" s="696">
        <f t="shared" si="64"/>
        <v>9.7177053508634495E-2</v>
      </c>
      <c r="H197" s="696">
        <f t="shared" si="65"/>
        <v>4.1503124387477399</v>
      </c>
      <c r="I197" s="696">
        <f t="shared" si="66"/>
        <v>10.307632433223615</v>
      </c>
      <c r="J197" s="696">
        <f>'КМУ стом.'!Z826</f>
        <v>86.8407311126645</v>
      </c>
      <c r="K197" s="696">
        <f t="shared" si="67"/>
        <v>137.21234978828781</v>
      </c>
      <c r="L197" s="863">
        <f t="shared" si="68"/>
        <v>6.8606174894143912</v>
      </c>
      <c r="M197" s="952">
        <f t="shared" si="57"/>
        <v>144.07296727770219</v>
      </c>
      <c r="N197" s="865"/>
      <c r="P197" s="866"/>
      <c r="R197" s="868" t="e">
        <f t="shared" si="51"/>
        <v>#DIV/0!</v>
      </c>
    </row>
    <row r="198" spans="1:18" ht="15.6" x14ac:dyDescent="0.3">
      <c r="A198" s="688" t="s">
        <v>1867</v>
      </c>
      <c r="B198" s="689" t="s">
        <v>1867</v>
      </c>
      <c r="C198" s="692" t="s">
        <v>1866</v>
      </c>
      <c r="D198" s="696">
        <f>'КМУ стом.'!C746</f>
        <v>20.720083545354775</v>
      </c>
      <c r="E198" s="696">
        <f t="shared" si="58"/>
        <v>4.1854568761616644</v>
      </c>
      <c r="F198" s="696">
        <f>'КМУ стом.'!I746</f>
        <v>19.398000000000003</v>
      </c>
      <c r="G198" s="696">
        <f t="shared" si="64"/>
        <v>9.7177053508634495E-2</v>
      </c>
      <c r="H198" s="696">
        <f t="shared" si="65"/>
        <v>4.1503124387477399</v>
      </c>
      <c r="I198" s="696">
        <f t="shared" si="66"/>
        <v>10.307632433223615</v>
      </c>
      <c r="J198" s="696">
        <f>'КМУ стом.'!Z746</f>
        <v>74.012313834639201</v>
      </c>
      <c r="K198" s="696">
        <f t="shared" si="67"/>
        <v>122.563343748412</v>
      </c>
      <c r="L198" s="863">
        <f t="shared" si="68"/>
        <v>6.1281671874206003</v>
      </c>
      <c r="M198" s="952">
        <f t="shared" ref="M198:M228" si="69">K198+L198</f>
        <v>128.69151093583258</v>
      </c>
      <c r="N198" s="865"/>
      <c r="O198" s="700">
        <v>121</v>
      </c>
      <c r="P198" s="866"/>
      <c r="R198" s="868">
        <f t="shared" si="51"/>
        <v>106.35662060812609</v>
      </c>
    </row>
    <row r="199" spans="1:18" ht="27.6" x14ac:dyDescent="0.3">
      <c r="A199" s="688" t="s">
        <v>1824</v>
      </c>
      <c r="B199" s="689" t="s">
        <v>1824</v>
      </c>
      <c r="C199" s="692" t="s">
        <v>1834</v>
      </c>
      <c r="D199" s="696">
        <f>'КМУ стом.'!C305</f>
        <v>126.76914869672856</v>
      </c>
      <c r="E199" s="696">
        <f t="shared" si="58"/>
        <v>25.607368036739167</v>
      </c>
      <c r="F199" s="696">
        <f>'КМУ стом.'!I305</f>
        <v>33.119199999999999</v>
      </c>
      <c r="G199" s="696">
        <f t="shared" si="64"/>
        <v>9.7177053508634495E-2</v>
      </c>
      <c r="H199" s="696">
        <f t="shared" si="65"/>
        <v>4.1503124387477399</v>
      </c>
      <c r="I199" s="696">
        <f t="shared" si="66"/>
        <v>10.307632433223615</v>
      </c>
      <c r="J199" s="696">
        <f>'КМУ стом.'!Z305</f>
        <v>259.81534523702936</v>
      </c>
      <c r="K199" s="696">
        <f t="shared" si="67"/>
        <v>449.55855146275343</v>
      </c>
      <c r="L199" s="863">
        <f t="shared" si="68"/>
        <v>22.477927573137674</v>
      </c>
      <c r="M199" s="952">
        <f t="shared" si="69"/>
        <v>472.03647903589109</v>
      </c>
      <c r="N199" s="865"/>
      <c r="O199" s="700">
        <v>436</v>
      </c>
      <c r="P199" s="866"/>
      <c r="R199" s="868">
        <f t="shared" si="51"/>
        <v>108.26524748529611</v>
      </c>
    </row>
    <row r="200" spans="1:18" ht="27.6" x14ac:dyDescent="0.3">
      <c r="A200" s="688" t="s">
        <v>1825</v>
      </c>
      <c r="B200" s="689" t="s">
        <v>1825</v>
      </c>
      <c r="C200" s="692" t="s">
        <v>1833</v>
      </c>
      <c r="D200" s="696">
        <f>'КМУ стом.'!C317</f>
        <v>160.99681884484528</v>
      </c>
      <c r="E200" s="696">
        <f t="shared" si="58"/>
        <v>32.521357406658744</v>
      </c>
      <c r="F200" s="696">
        <f>'КМУ стом.'!I317</f>
        <v>33.119199999999999</v>
      </c>
      <c r="G200" s="696">
        <f t="shared" si="64"/>
        <v>9.7177053508634495E-2</v>
      </c>
      <c r="H200" s="696">
        <f t="shared" si="65"/>
        <v>4.1503124387477399</v>
      </c>
      <c r="I200" s="696">
        <f t="shared" si="66"/>
        <v>10.307632433223615</v>
      </c>
      <c r="J200" s="696">
        <f>'КМУ стом.'!Z317</f>
        <v>313.30722460353337</v>
      </c>
      <c r="K200" s="696">
        <f t="shared" si="67"/>
        <v>544.19209034729374</v>
      </c>
      <c r="L200" s="863">
        <f t="shared" si="68"/>
        <v>27.209604517364689</v>
      </c>
      <c r="M200" s="952">
        <f t="shared" si="69"/>
        <v>571.40169486465845</v>
      </c>
      <c r="N200" s="865"/>
      <c r="O200" s="700">
        <v>530</v>
      </c>
      <c r="P200" s="866"/>
      <c r="R200" s="868">
        <f t="shared" si="51"/>
        <v>107.81164054050159</v>
      </c>
    </row>
    <row r="201" spans="1:18" ht="27.6" x14ac:dyDescent="0.3">
      <c r="A201" s="688" t="s">
        <v>1826</v>
      </c>
      <c r="B201" s="689" t="s">
        <v>1826</v>
      </c>
      <c r="C201" s="692" t="s">
        <v>1835</v>
      </c>
      <c r="D201" s="696">
        <f>'КМУ стом.'!C329</f>
        <v>221.84601021927497</v>
      </c>
      <c r="E201" s="696">
        <f t="shared" si="58"/>
        <v>44.812894064293545</v>
      </c>
      <c r="F201" s="696">
        <f>'КМУ стом.'!I329</f>
        <v>33.119199999999999</v>
      </c>
      <c r="G201" s="696">
        <f t="shared" si="64"/>
        <v>9.7177053508634495E-2</v>
      </c>
      <c r="H201" s="696">
        <f t="shared" si="65"/>
        <v>4.1503124387477399</v>
      </c>
      <c r="I201" s="696">
        <f t="shared" si="66"/>
        <v>10.307632433223615</v>
      </c>
      <c r="J201" s="696">
        <f>'КМУ стом.'!Z329</f>
        <v>408.40389903287377</v>
      </c>
      <c r="K201" s="696">
        <f t="shared" si="67"/>
        <v>712.42949280869857</v>
      </c>
      <c r="L201" s="863">
        <f t="shared" si="68"/>
        <v>35.621474640434933</v>
      </c>
      <c r="M201" s="952">
        <f t="shared" si="69"/>
        <v>748.05096744913351</v>
      </c>
      <c r="N201" s="865"/>
      <c r="O201" s="700">
        <v>697</v>
      </c>
      <c r="P201" s="866"/>
      <c r="R201" s="868">
        <f t="shared" si="51"/>
        <v>107.32438557376378</v>
      </c>
    </row>
    <row r="202" spans="1:18" ht="15.6" x14ac:dyDescent="0.3">
      <c r="A202" s="699" t="s">
        <v>1827</v>
      </c>
      <c r="B202" s="689" t="s">
        <v>1827</v>
      </c>
      <c r="C202" s="692" t="s">
        <v>1830</v>
      </c>
      <c r="D202" s="696">
        <f>'КМУ стом.'!C275</f>
        <v>68.748243791547978</v>
      </c>
      <c r="E202" s="696">
        <f t="shared" si="58"/>
        <v>13.88714524589269</v>
      </c>
      <c r="F202" s="696">
        <f>'КМУ стом.'!I275</f>
        <v>17.429500000000001</v>
      </c>
      <c r="G202" s="696">
        <f t="shared" ref="G202:G218" si="70">G201</f>
        <v>9.7177053508634495E-2</v>
      </c>
      <c r="H202" s="696">
        <f t="shared" ref="H202:H218" si="71">H201</f>
        <v>4.1503124387477399</v>
      </c>
      <c r="I202" s="696">
        <f t="shared" ref="I202:I218" si="72">I201</f>
        <v>10.307632433223615</v>
      </c>
      <c r="J202" s="696">
        <f>'КМУ стом.'!Z275</f>
        <v>148.73923448138351</v>
      </c>
      <c r="K202" s="696">
        <f t="shared" si="67"/>
        <v>253.05161301108052</v>
      </c>
      <c r="L202" s="863">
        <f t="shared" si="68"/>
        <v>12.652580650554027</v>
      </c>
      <c r="M202" s="952">
        <f t="shared" si="69"/>
        <v>265.70419366163452</v>
      </c>
      <c r="N202" s="865"/>
      <c r="O202" s="700">
        <v>253</v>
      </c>
      <c r="P202" s="866"/>
      <c r="R202" s="868">
        <f t="shared" si="51"/>
        <v>105.02142041961839</v>
      </c>
    </row>
    <row r="203" spans="1:18" ht="15.6" x14ac:dyDescent="0.3">
      <c r="A203" s="699" t="s">
        <v>1828</v>
      </c>
      <c r="B203" s="689" t="s">
        <v>1828</v>
      </c>
      <c r="C203" s="692" t="s">
        <v>1831</v>
      </c>
      <c r="D203" s="696">
        <f>'КМУ стом.'!C285</f>
        <v>106.04906515137378</v>
      </c>
      <c r="E203" s="696">
        <f t="shared" si="58"/>
        <v>21.421911160577501</v>
      </c>
      <c r="F203" s="696">
        <f>'КМУ стом.'!I285</f>
        <v>18.117000000000001</v>
      </c>
      <c r="G203" s="696">
        <f t="shared" si="70"/>
        <v>9.7177053508634495E-2</v>
      </c>
      <c r="H203" s="696">
        <f t="shared" si="71"/>
        <v>4.1503124387477399</v>
      </c>
      <c r="I203" s="696">
        <f t="shared" si="72"/>
        <v>10.307632433223615</v>
      </c>
      <c r="J203" s="696">
        <f>'КМУ стом.'!Z285</f>
        <v>207.92779229372488</v>
      </c>
      <c r="K203" s="696">
        <f>J203+H203+G203+F203+E203+D203</f>
        <v>357.76325809793252</v>
      </c>
      <c r="L203" s="863">
        <f t="shared" si="68"/>
        <v>17.888162904896628</v>
      </c>
      <c r="M203" s="952">
        <f t="shared" si="69"/>
        <v>375.65142100282912</v>
      </c>
      <c r="N203" s="865"/>
      <c r="O203" s="700">
        <v>356</v>
      </c>
      <c r="P203" s="866"/>
      <c r="R203" s="868">
        <f t="shared" si="51"/>
        <v>105.52006207944638</v>
      </c>
    </row>
    <row r="204" spans="1:18" ht="15.6" x14ac:dyDescent="0.3">
      <c r="A204" s="699" t="s">
        <v>1829</v>
      </c>
      <c r="B204" s="689" t="s">
        <v>1829</v>
      </c>
      <c r="C204" s="692" t="s">
        <v>1832</v>
      </c>
      <c r="D204" s="696">
        <f>'КМУ стом.'!C295</f>
        <v>142.61529228381966</v>
      </c>
      <c r="E204" s="696">
        <f t="shared" si="58"/>
        <v>28.80828904133157</v>
      </c>
      <c r="F204" s="696">
        <f>'КМУ стом.'!I295</f>
        <v>16.815899999999999</v>
      </c>
      <c r="G204" s="696">
        <f t="shared" si="70"/>
        <v>9.7177053508634495E-2</v>
      </c>
      <c r="H204" s="696">
        <f t="shared" si="71"/>
        <v>4.1503124387477399</v>
      </c>
      <c r="I204" s="696">
        <f t="shared" si="72"/>
        <v>10.307632433223615</v>
      </c>
      <c r="J204" s="696">
        <f>'КМУ стом.'!Z295</f>
        <v>263.3827541910623</v>
      </c>
      <c r="K204" s="696">
        <f t="shared" si="67"/>
        <v>455.86972500846991</v>
      </c>
      <c r="L204" s="863">
        <f t="shared" si="68"/>
        <v>22.793486250423499</v>
      </c>
      <c r="M204" s="952">
        <f t="shared" si="69"/>
        <v>478.6632112588934</v>
      </c>
      <c r="N204" s="865"/>
      <c r="O204" s="700">
        <v>455</v>
      </c>
      <c r="P204" s="866"/>
      <c r="R204" s="868">
        <f t="shared" si="51"/>
        <v>105.20070577118537</v>
      </c>
    </row>
    <row r="205" spans="1:18" ht="27.6" x14ac:dyDescent="0.3">
      <c r="A205" s="699" t="s">
        <v>1837</v>
      </c>
      <c r="B205" s="689" t="s">
        <v>1837</v>
      </c>
      <c r="C205" s="692" t="s">
        <v>1836</v>
      </c>
      <c r="D205" s="696">
        <f>'КМУ стом.'!C876</f>
        <v>142.61529228381966</v>
      </c>
      <c r="E205" s="696">
        <f>D205*20.2%</f>
        <v>28.80828904133157</v>
      </c>
      <c r="F205" s="696">
        <f>'КМУ стом.'!I876</f>
        <v>61.477000000000004</v>
      </c>
      <c r="G205" s="696">
        <f t="shared" si="70"/>
        <v>9.7177053508634495E-2</v>
      </c>
      <c r="H205" s="696">
        <f t="shared" si="71"/>
        <v>4.1503124387477399</v>
      </c>
      <c r="I205" s="696">
        <f t="shared" si="72"/>
        <v>10.307632433223615</v>
      </c>
      <c r="J205" s="696">
        <f>'КМУ стом.'!Z876</f>
        <v>321.4505667577393</v>
      </c>
      <c r="K205" s="696">
        <f>J205+H205+G205+F205+E205+D205</f>
        <v>558.598637575147</v>
      </c>
      <c r="L205" s="863">
        <f t="shared" si="68"/>
        <v>27.929931878757351</v>
      </c>
      <c r="M205" s="952">
        <f t="shared" si="69"/>
        <v>586.52856945390431</v>
      </c>
      <c r="N205" s="865"/>
      <c r="O205" s="700">
        <v>561</v>
      </c>
      <c r="P205" s="866"/>
      <c r="R205" s="868">
        <f t="shared" si="51"/>
        <v>104.5505471397334</v>
      </c>
    </row>
    <row r="206" spans="1:18" ht="27.6" x14ac:dyDescent="0.3">
      <c r="A206" s="699" t="s">
        <v>1839</v>
      </c>
      <c r="B206" s="689" t="s">
        <v>1839</v>
      </c>
      <c r="C206" s="692" t="s">
        <v>1838</v>
      </c>
      <c r="D206" s="696">
        <f>'КМУ стом.'!C886</f>
        <v>177.47680817541999</v>
      </c>
      <c r="E206" s="696">
        <f>D206*20.2%</f>
        <v>35.850315251434836</v>
      </c>
      <c r="F206" s="696">
        <f>'КМУ стом.'!I886</f>
        <v>61.477000000000004</v>
      </c>
      <c r="G206" s="696">
        <f t="shared" si="70"/>
        <v>9.7177053508634495E-2</v>
      </c>
      <c r="H206" s="696">
        <f t="shared" si="71"/>
        <v>4.1503124387477399</v>
      </c>
      <c r="I206" s="696">
        <f t="shared" si="72"/>
        <v>10.307632433223615</v>
      </c>
      <c r="J206" s="696">
        <f>'КМУ стом.'!Z886</f>
        <v>375.93303648288224</v>
      </c>
      <c r="K206" s="696">
        <f>J206+H206+G206+F206+E206+D206</f>
        <v>654.98464940199347</v>
      </c>
      <c r="L206" s="863">
        <f t="shared" si="68"/>
        <v>32.749232470099678</v>
      </c>
      <c r="M206" s="952">
        <f t="shared" si="69"/>
        <v>687.73388187209309</v>
      </c>
      <c r="N206" s="865"/>
      <c r="O206" s="700">
        <v>657</v>
      </c>
      <c r="P206" s="866"/>
      <c r="R206" s="868">
        <f t="shared" si="51"/>
        <v>104.67791200488479</v>
      </c>
    </row>
    <row r="207" spans="1:18" ht="15.6" x14ac:dyDescent="0.3">
      <c r="A207" s="699" t="s">
        <v>1840</v>
      </c>
      <c r="B207" s="689" t="s">
        <v>1840</v>
      </c>
      <c r="C207" s="692" t="s">
        <v>1841</v>
      </c>
      <c r="D207" s="696">
        <f>'КМУ стом.'!C897</f>
        <v>247.19983995862071</v>
      </c>
      <c r="E207" s="696">
        <f>D207*20.2%</f>
        <v>49.934367671641382</v>
      </c>
      <c r="F207" s="696">
        <f>'КМУ стом.'!I897</f>
        <v>61.477000000000004</v>
      </c>
      <c r="G207" s="696">
        <f t="shared" si="70"/>
        <v>9.7177053508634495E-2</v>
      </c>
      <c r="H207" s="696">
        <f t="shared" si="71"/>
        <v>4.1503124387477399</v>
      </c>
      <c r="I207" s="696">
        <f t="shared" si="72"/>
        <v>10.307632433223615</v>
      </c>
      <c r="J207" s="696">
        <f>'КМУ стом.'!Z897</f>
        <v>484.89797593316825</v>
      </c>
      <c r="K207" s="696">
        <f>J207+H207+G207+F207+E207+D207</f>
        <v>847.75667305568663</v>
      </c>
      <c r="L207" s="863">
        <f t="shared" si="68"/>
        <v>42.387833652784337</v>
      </c>
      <c r="M207" s="952">
        <f t="shared" si="69"/>
        <v>890.144506708471</v>
      </c>
      <c r="N207" s="865"/>
      <c r="O207" s="700">
        <v>848</v>
      </c>
      <c r="P207" s="866"/>
      <c r="R207" s="868">
        <f t="shared" si="51"/>
        <v>104.96987107411215</v>
      </c>
    </row>
    <row r="208" spans="1:18" ht="15.6" x14ac:dyDescent="0.3">
      <c r="A208" s="688" t="s">
        <v>1861</v>
      </c>
      <c r="B208" s="689" t="s">
        <v>1861</v>
      </c>
      <c r="C208" s="692" t="s">
        <v>1556</v>
      </c>
      <c r="D208" s="696">
        <f>'КМУ стом.'!C756</f>
        <v>31.692287174182141</v>
      </c>
      <c r="E208" s="696">
        <f t="shared" si="58"/>
        <v>6.4018420091847918</v>
      </c>
      <c r="F208" s="696">
        <f>'КМУ стом.'!I756</f>
        <v>18.414999999999999</v>
      </c>
      <c r="G208" s="696">
        <f t="shared" si="70"/>
        <v>9.7177053508634495E-2</v>
      </c>
      <c r="H208" s="696">
        <f t="shared" si="71"/>
        <v>4.1503124387477399</v>
      </c>
      <c r="I208" s="696">
        <f t="shared" si="72"/>
        <v>10.307632433223615</v>
      </c>
      <c r="J208" s="696">
        <f>'КМУ стом.'!Z756</f>
        <v>89.881870126111494</v>
      </c>
      <c r="K208" s="696">
        <f t="shared" si="67"/>
        <v>150.63848880173478</v>
      </c>
      <c r="L208" s="863">
        <f t="shared" si="68"/>
        <v>7.5319244400867396</v>
      </c>
      <c r="M208" s="952">
        <f t="shared" si="69"/>
        <v>158.17041324182151</v>
      </c>
      <c r="N208" s="865"/>
      <c r="O208" s="700">
        <v>150</v>
      </c>
      <c r="P208" s="866"/>
      <c r="R208" s="868">
        <f t="shared" si="51"/>
        <v>105.44694216121432</v>
      </c>
    </row>
    <row r="209" spans="1:18" ht="15.6" x14ac:dyDescent="0.3">
      <c r="A209" s="688" t="s">
        <v>1823</v>
      </c>
      <c r="B209" s="689" t="s">
        <v>1823</v>
      </c>
      <c r="C209" s="692" t="s">
        <v>1822</v>
      </c>
      <c r="D209" s="696">
        <f>'КМУ стом.'!C341</f>
        <v>31.692287174182141</v>
      </c>
      <c r="E209" s="696">
        <f t="shared" si="58"/>
        <v>6.4018420091847918</v>
      </c>
      <c r="F209" s="696">
        <f>'КМУ стом.'!I341</f>
        <v>21.089200000000002</v>
      </c>
      <c r="G209" s="696">
        <f t="shared" si="70"/>
        <v>9.7177053508634495E-2</v>
      </c>
      <c r="H209" s="696">
        <f t="shared" si="71"/>
        <v>4.1503124387477399</v>
      </c>
      <c r="I209" s="696">
        <f t="shared" si="72"/>
        <v>10.307632433223615</v>
      </c>
      <c r="J209" s="696">
        <f>'КМУ стом.'!Z341</f>
        <v>95.585533496863647</v>
      </c>
      <c r="K209" s="696">
        <f t="shared" si="67"/>
        <v>159.01635217248696</v>
      </c>
      <c r="L209" s="863">
        <f t="shared" si="68"/>
        <v>7.9508176086243481</v>
      </c>
      <c r="M209" s="952">
        <f t="shared" si="69"/>
        <v>166.96716978111129</v>
      </c>
      <c r="N209" s="865"/>
      <c r="O209" s="700">
        <v>160</v>
      </c>
      <c r="P209" s="866"/>
      <c r="R209" s="868">
        <f t="shared" si="51"/>
        <v>104.35448111319457</v>
      </c>
    </row>
    <row r="210" spans="1:18" ht="15.6" x14ac:dyDescent="0.3">
      <c r="A210" s="688" t="s">
        <v>1871</v>
      </c>
      <c r="B210" s="689" t="s">
        <v>1871</v>
      </c>
      <c r="C210" s="688" t="s">
        <v>1870</v>
      </c>
      <c r="D210" s="696">
        <f>'КМУ стом.'!C676</f>
        <v>53.636694431836872</v>
      </c>
      <c r="E210" s="696">
        <f t="shared" si="58"/>
        <v>10.834612275231047</v>
      </c>
      <c r="F210" s="696">
        <f>'КМУ стом.'!I676</f>
        <v>31.4236</v>
      </c>
      <c r="G210" s="696">
        <f t="shared" si="70"/>
        <v>9.7177053508634495E-2</v>
      </c>
      <c r="H210" s="696">
        <f t="shared" si="71"/>
        <v>4.1503124387477399</v>
      </c>
      <c r="I210" s="696">
        <f t="shared" si="72"/>
        <v>10.307632433223615</v>
      </c>
      <c r="J210" s="696">
        <f>'КМУ стом.'!Z676</f>
        <v>141.09077333358081</v>
      </c>
      <c r="K210" s="696">
        <f t="shared" si="67"/>
        <v>241.23316953290509</v>
      </c>
      <c r="L210" s="863">
        <f>K210*3%</f>
        <v>7.2369950859871528</v>
      </c>
      <c r="M210" s="952">
        <f t="shared" si="69"/>
        <v>248.47016461889226</v>
      </c>
      <c r="N210" s="865"/>
      <c r="O210" s="700">
        <v>227</v>
      </c>
      <c r="P210" s="866"/>
      <c r="R210" s="868">
        <f t="shared" si="51"/>
        <v>109.45822229907148</v>
      </c>
    </row>
    <row r="211" spans="1:18" ht="15.6" x14ac:dyDescent="0.3">
      <c r="A211" s="688" t="s">
        <v>1872</v>
      </c>
      <c r="B211" s="689" t="s">
        <v>1872</v>
      </c>
      <c r="C211" s="688" t="s">
        <v>1548</v>
      </c>
      <c r="D211" s="696">
        <f>'КМУ стом.'!C656</f>
        <v>63.384574348364282</v>
      </c>
      <c r="E211" s="696">
        <f t="shared" si="58"/>
        <v>12.803684018369584</v>
      </c>
      <c r="F211" s="696">
        <f>'КМУ стом.'!I656</f>
        <v>37.637699999999995</v>
      </c>
      <c r="G211" s="696">
        <f t="shared" si="70"/>
        <v>9.7177053508634495E-2</v>
      </c>
      <c r="H211" s="696">
        <f t="shared" si="71"/>
        <v>4.1503124387477399</v>
      </c>
      <c r="I211" s="696">
        <f t="shared" si="72"/>
        <v>10.307632433223615</v>
      </c>
      <c r="J211" s="696">
        <f>'КМУ стом.'!Z656</f>
        <v>164.40450602034588</v>
      </c>
      <c r="K211" s="696">
        <f t="shared" si="67"/>
        <v>282.4779538793361</v>
      </c>
      <c r="L211" s="863">
        <f>K211*3%</f>
        <v>8.4743386163800825</v>
      </c>
      <c r="M211" s="952">
        <f t="shared" si="69"/>
        <v>290.95229249571616</v>
      </c>
      <c r="N211" s="865"/>
      <c r="O211" s="700">
        <v>262</v>
      </c>
      <c r="P211" s="866"/>
      <c r="R211" s="868">
        <f t="shared" si="51"/>
        <v>111.05049331897563</v>
      </c>
    </row>
    <row r="212" spans="1:18" ht="32.25" customHeight="1" x14ac:dyDescent="0.3">
      <c r="A212" s="688" t="s">
        <v>1847</v>
      </c>
      <c r="B212" s="689" t="s">
        <v>1847</v>
      </c>
      <c r="C212" s="692" t="s">
        <v>1845</v>
      </c>
      <c r="D212" s="696">
        <f>'КМУ стом.'!C351</f>
        <v>31.692287174182141</v>
      </c>
      <c r="E212" s="696">
        <f t="shared" si="58"/>
        <v>6.4018420091847918</v>
      </c>
      <c r="F212" s="696">
        <f>'КМУ стом.'!I351</f>
        <v>20.072700000000001</v>
      </c>
      <c r="G212" s="696">
        <f t="shared" si="70"/>
        <v>9.7177053508634495E-2</v>
      </c>
      <c r="H212" s="696">
        <f t="shared" si="71"/>
        <v>4.1503124387477399</v>
      </c>
      <c r="I212" s="696">
        <f t="shared" si="72"/>
        <v>10.307632433223615</v>
      </c>
      <c r="J212" s="696">
        <f>'КМУ стом.'!Z351</f>
        <v>94.263892707137742</v>
      </c>
      <c r="K212" s="696">
        <f t="shared" si="67"/>
        <v>156.67821138276105</v>
      </c>
      <c r="L212" s="863">
        <f t="shared" si="68"/>
        <v>7.8339105691380526</v>
      </c>
      <c r="M212" s="952">
        <f t="shared" si="69"/>
        <v>164.5121219518991</v>
      </c>
      <c r="N212" s="865"/>
      <c r="O212" s="700">
        <v>154</v>
      </c>
      <c r="P212" s="866"/>
      <c r="R212" s="868">
        <f t="shared" si="51"/>
        <v>106.8260532155189</v>
      </c>
    </row>
    <row r="213" spans="1:18" ht="27.6" x14ac:dyDescent="0.3">
      <c r="A213" s="688" t="s">
        <v>1844</v>
      </c>
      <c r="B213" s="689" t="s">
        <v>1844</v>
      </c>
      <c r="C213" s="692" t="s">
        <v>1846</v>
      </c>
      <c r="D213" s="696">
        <f>'КМУ стом.'!C361</f>
        <v>126.76914869672856</v>
      </c>
      <c r="E213" s="696">
        <f t="shared" si="58"/>
        <v>25.607368036739167</v>
      </c>
      <c r="F213" s="696">
        <f>'КМУ стом.'!I361</f>
        <v>30.707000000000001</v>
      </c>
      <c r="G213" s="696">
        <f t="shared" si="70"/>
        <v>9.7177053508634495E-2</v>
      </c>
      <c r="H213" s="696">
        <f t="shared" si="71"/>
        <v>4.1503124387477399</v>
      </c>
      <c r="I213" s="696">
        <f t="shared" si="72"/>
        <v>10.307632433223615</v>
      </c>
      <c r="J213" s="696">
        <f>'КМУ стом.'!Z361</f>
        <v>256.67903248446976</v>
      </c>
      <c r="K213" s="696">
        <f t="shared" si="67"/>
        <v>444.01003871019384</v>
      </c>
      <c r="L213" s="863">
        <f t="shared" si="68"/>
        <v>22.200501935509692</v>
      </c>
      <c r="M213" s="952">
        <f t="shared" si="69"/>
        <v>466.21054064570353</v>
      </c>
      <c r="N213" s="865"/>
      <c r="O213" s="700">
        <v>429</v>
      </c>
      <c r="P213" s="866"/>
      <c r="R213" s="868">
        <f t="shared" si="51"/>
        <v>108.6737856982992</v>
      </c>
    </row>
    <row r="214" spans="1:18" ht="15.6" x14ac:dyDescent="0.3">
      <c r="A214" s="688" t="s">
        <v>1875</v>
      </c>
      <c r="B214" s="689" t="s">
        <v>1875</v>
      </c>
      <c r="C214" s="692" t="s">
        <v>1874</v>
      </c>
      <c r="D214" s="696">
        <f>'КМУ стом.'!C736</f>
        <v>126.76914869672856</v>
      </c>
      <c r="E214" s="696">
        <f t="shared" si="58"/>
        <v>25.607368036739167</v>
      </c>
      <c r="F214" s="696">
        <f>'КМУ стом.'!I736</f>
        <v>19.072000000000003</v>
      </c>
      <c r="G214" s="696">
        <f t="shared" si="70"/>
        <v>9.7177053508634495E-2</v>
      </c>
      <c r="H214" s="696">
        <f t="shared" si="71"/>
        <v>4.1503124387477399</v>
      </c>
      <c r="I214" s="696">
        <f t="shared" si="72"/>
        <v>10.307632433223615</v>
      </c>
      <c r="J214" s="696">
        <v>158.80000000000001</v>
      </c>
      <c r="K214" s="696">
        <f t="shared" si="67"/>
        <v>334.4960062257241</v>
      </c>
      <c r="L214" s="863">
        <f t="shared" si="68"/>
        <v>16.724800311286206</v>
      </c>
      <c r="M214" s="952">
        <f t="shared" si="69"/>
        <v>351.22080653701033</v>
      </c>
      <c r="N214" s="865"/>
      <c r="O214" s="700">
        <v>389</v>
      </c>
      <c r="P214" s="866"/>
      <c r="R214" s="868">
        <f t="shared" si="51"/>
        <v>90.288125073781572</v>
      </c>
    </row>
    <row r="215" spans="1:18" ht="15.6" hidden="1" x14ac:dyDescent="0.3">
      <c r="A215" s="688" t="s">
        <v>176</v>
      </c>
      <c r="B215" s="689"/>
      <c r="C215" s="692"/>
      <c r="D215" s="696">
        <f>'КМУ стом.'!C586</f>
        <v>73.132454264891692</v>
      </c>
      <c r="E215" s="696">
        <f t="shared" si="58"/>
        <v>14.772755761508121</v>
      </c>
      <c r="F215" s="697">
        <v>8.0299999999999994</v>
      </c>
      <c r="G215" s="696">
        <f t="shared" si="70"/>
        <v>9.7177053508634495E-2</v>
      </c>
      <c r="H215" s="696">
        <f t="shared" si="71"/>
        <v>4.1503124387477399</v>
      </c>
      <c r="I215" s="696">
        <f t="shared" si="72"/>
        <v>10.307632433223615</v>
      </c>
      <c r="J215" s="696">
        <f>'КМУ стом.'!Z586</f>
        <v>154.18444782839441</v>
      </c>
      <c r="K215" s="696">
        <f t="shared" si="67"/>
        <v>254.36714734705058</v>
      </c>
      <c r="L215" s="863">
        <f t="shared" si="68"/>
        <v>12.71835736735253</v>
      </c>
      <c r="M215" s="952">
        <f t="shared" si="69"/>
        <v>267.0855047144031</v>
      </c>
      <c r="N215" s="865"/>
      <c r="P215" s="866"/>
      <c r="R215" s="868" t="e">
        <f t="shared" si="51"/>
        <v>#DIV/0!</v>
      </c>
    </row>
    <row r="216" spans="1:18" ht="15.6" x14ac:dyDescent="0.3">
      <c r="A216" s="688" t="s">
        <v>1849</v>
      </c>
      <c r="B216" s="689" t="s">
        <v>1849</v>
      </c>
      <c r="C216" s="692" t="s">
        <v>1848</v>
      </c>
      <c r="D216" s="696">
        <f>'КМУ стом.'!C487</f>
        <v>126.76914869672856</v>
      </c>
      <c r="E216" s="696">
        <f t="shared" si="58"/>
        <v>25.607368036739167</v>
      </c>
      <c r="F216" s="696">
        <f>'КМУ стом.'!I487</f>
        <v>16.3477</v>
      </c>
      <c r="G216" s="696">
        <f t="shared" si="70"/>
        <v>9.7177053508634495E-2</v>
      </c>
      <c r="H216" s="696">
        <f t="shared" si="71"/>
        <v>4.1503124387477399</v>
      </c>
      <c r="I216" s="696">
        <f t="shared" si="72"/>
        <v>10.307632433223615</v>
      </c>
      <c r="J216" s="696">
        <f>'КМУ стом.'!Z487</f>
        <v>238.00924734732166</v>
      </c>
      <c r="K216" s="696">
        <f t="shared" si="67"/>
        <v>410.98095357304572</v>
      </c>
      <c r="L216" s="863">
        <f t="shared" si="68"/>
        <v>20.549047678652286</v>
      </c>
      <c r="M216" s="952">
        <f t="shared" si="69"/>
        <v>431.53000125169802</v>
      </c>
      <c r="N216" s="865"/>
      <c r="O216" s="700">
        <v>410</v>
      </c>
      <c r="P216" s="866"/>
      <c r="R216" s="868">
        <f t="shared" si="51"/>
        <v>105.25121981748732</v>
      </c>
    </row>
    <row r="217" spans="1:18" ht="15.6" x14ac:dyDescent="0.3">
      <c r="A217" s="688" t="s">
        <v>1873</v>
      </c>
      <c r="B217" s="689" t="s">
        <v>1873</v>
      </c>
      <c r="C217" s="692" t="s">
        <v>1588</v>
      </c>
      <c r="D217" s="696">
        <f>'КМУ стом.'!C786</f>
        <v>31.692287174182141</v>
      </c>
      <c r="E217" s="696">
        <f t="shared" si="58"/>
        <v>6.4018420091847918</v>
      </c>
      <c r="F217" s="696">
        <f>'КМУ стом.'!I786</f>
        <v>16.984999999999999</v>
      </c>
      <c r="G217" s="696">
        <f t="shared" si="70"/>
        <v>9.7177053508634495E-2</v>
      </c>
      <c r="H217" s="696">
        <f t="shared" si="71"/>
        <v>4.1503124387477399</v>
      </c>
      <c r="I217" s="696">
        <f t="shared" si="72"/>
        <v>10.307632433223615</v>
      </c>
      <c r="J217" s="696">
        <f>'КМУ стом.'!Z786</f>
        <v>88.022601725414958</v>
      </c>
      <c r="K217" s="696">
        <f t="shared" si="67"/>
        <v>147.34922040103828</v>
      </c>
      <c r="L217" s="863">
        <f t="shared" si="68"/>
        <v>7.3674610200519144</v>
      </c>
      <c r="M217" s="952">
        <f t="shared" si="69"/>
        <v>154.71668142109019</v>
      </c>
      <c r="N217" s="865"/>
      <c r="O217" s="700">
        <v>148</v>
      </c>
      <c r="P217" s="866"/>
      <c r="R217" s="868">
        <f t="shared" si="51"/>
        <v>104.53829825749337</v>
      </c>
    </row>
    <row r="218" spans="1:18" ht="15.6" x14ac:dyDescent="0.3">
      <c r="A218" s="688" t="s">
        <v>1851</v>
      </c>
      <c r="B218" s="689" t="s">
        <v>1851</v>
      </c>
      <c r="C218" s="692" t="s">
        <v>1850</v>
      </c>
      <c r="D218" s="696">
        <f>'КМУ стом.'!C235</f>
        <v>33.008951609641429</v>
      </c>
      <c r="E218" s="696">
        <f t="shared" si="58"/>
        <v>6.6678082251475681</v>
      </c>
      <c r="F218" s="696">
        <f>'КМУ стом.'!I235</f>
        <v>16.372</v>
      </c>
      <c r="G218" s="696">
        <f t="shared" si="70"/>
        <v>9.7177053508634495E-2</v>
      </c>
      <c r="H218" s="696">
        <f t="shared" si="71"/>
        <v>4.1503124387477399</v>
      </c>
      <c r="I218" s="696">
        <f t="shared" si="72"/>
        <v>10.307632433223615</v>
      </c>
      <c r="J218" s="696">
        <f>'КМУ стом.'!Z235</f>
        <v>91.510005007630852</v>
      </c>
      <c r="K218" s="696">
        <f t="shared" si="67"/>
        <v>151.80625433467623</v>
      </c>
      <c r="L218" s="863">
        <f t="shared" si="68"/>
        <v>7.5903127167338118</v>
      </c>
      <c r="M218" s="952">
        <f t="shared" si="69"/>
        <v>159.39656705141005</v>
      </c>
      <c r="N218" s="865"/>
      <c r="O218" s="700">
        <v>153</v>
      </c>
      <c r="P218" s="866"/>
      <c r="R218" s="868">
        <f t="shared" si="51"/>
        <v>104.18076277869936</v>
      </c>
    </row>
    <row r="219" spans="1:18" ht="15.6" x14ac:dyDescent="0.3">
      <c r="A219" s="688" t="s">
        <v>1877</v>
      </c>
      <c r="B219" s="689" t="s">
        <v>1877</v>
      </c>
      <c r="C219" s="688" t="s">
        <v>1876</v>
      </c>
      <c r="D219" s="696">
        <f>'КМУ стом.'!C716</f>
        <v>190.15372304509285</v>
      </c>
      <c r="E219" s="696">
        <f t="shared" si="58"/>
        <v>38.411052055108755</v>
      </c>
      <c r="F219" s="696">
        <f>'КМУ стом.'!I716</f>
        <v>19.677700000000002</v>
      </c>
      <c r="G219" s="696">
        <f t="shared" ref="G219:G228" si="73">G218</f>
        <v>9.7177053508634495E-2</v>
      </c>
      <c r="H219" s="696">
        <f t="shared" ref="H219:H228" si="74">H218</f>
        <v>4.1503124387477399</v>
      </c>
      <c r="I219" s="696">
        <f t="shared" ref="I219:I228" si="75">I218</f>
        <v>10.307632433223615</v>
      </c>
      <c r="J219" s="696">
        <f>'КМУ стом.'!Z716</f>
        <v>339.17120678554426</v>
      </c>
      <c r="K219" s="696">
        <f t="shared" si="67"/>
        <v>591.66117137800222</v>
      </c>
      <c r="L219" s="863">
        <f t="shared" si="68"/>
        <v>29.583058568900114</v>
      </c>
      <c r="M219" s="952">
        <f t="shared" si="69"/>
        <v>621.24422994690235</v>
      </c>
      <c r="N219" s="865"/>
      <c r="O219" s="700">
        <v>586</v>
      </c>
      <c r="P219" s="866"/>
      <c r="R219" s="868">
        <f t="shared" si="51"/>
        <v>106.01437371107549</v>
      </c>
    </row>
    <row r="220" spans="1:18" ht="15.6" hidden="1" x14ac:dyDescent="0.3">
      <c r="A220" s="688" t="s">
        <v>181</v>
      </c>
      <c r="B220" s="689"/>
      <c r="C220" s="688"/>
      <c r="D220" s="696">
        <f>'КМУ стом.'!C706</f>
        <v>151.16220337898321</v>
      </c>
      <c r="E220" s="696">
        <f t="shared" si="58"/>
        <v>30.534765082554607</v>
      </c>
      <c r="F220" s="697">
        <v>8.0299999999999994</v>
      </c>
      <c r="G220" s="696">
        <f t="shared" si="73"/>
        <v>9.7177053508634495E-2</v>
      </c>
      <c r="H220" s="696">
        <f t="shared" si="74"/>
        <v>4.1503124387477399</v>
      </c>
      <c r="I220" s="696">
        <f t="shared" si="75"/>
        <v>10.307632433223615</v>
      </c>
      <c r="J220" s="696">
        <f>'КМУ стом.'!Z706</f>
        <v>298.57686802836594</v>
      </c>
      <c r="K220" s="696">
        <f t="shared" si="67"/>
        <v>492.55132598216005</v>
      </c>
      <c r="L220" s="863">
        <f t="shared" si="68"/>
        <v>24.627566299108004</v>
      </c>
      <c r="M220" s="952">
        <f t="shared" si="69"/>
        <v>517.17889228126808</v>
      </c>
      <c r="N220" s="865"/>
      <c r="P220" s="866"/>
      <c r="R220" s="868" t="e">
        <f t="shared" si="51"/>
        <v>#DIV/0!</v>
      </c>
    </row>
    <row r="221" spans="1:18" ht="15.6" x14ac:dyDescent="0.3">
      <c r="A221" s="688" t="s">
        <v>1879</v>
      </c>
      <c r="B221" s="689" t="s">
        <v>1879</v>
      </c>
      <c r="C221" s="688" t="s">
        <v>1878</v>
      </c>
      <c r="D221" s="696">
        <f>'КМУ стом.'!C636</f>
        <v>241.34177005232979</v>
      </c>
      <c r="E221" s="696">
        <f t="shared" si="58"/>
        <v>48.751037550570615</v>
      </c>
      <c r="F221" s="696">
        <f>'КМУ стом.'!I636</f>
        <v>39.381699999999995</v>
      </c>
      <c r="G221" s="696">
        <f t="shared" si="73"/>
        <v>9.7177053508634495E-2</v>
      </c>
      <c r="H221" s="696">
        <f t="shared" si="74"/>
        <v>4.1503124387477399</v>
      </c>
      <c r="I221" s="696">
        <f t="shared" si="75"/>
        <v>10.307632433223615</v>
      </c>
      <c r="J221" s="696">
        <f>'КМУ стом.'!Z636</f>
        <v>444.78809570625884</v>
      </c>
      <c r="K221" s="696">
        <f t="shared" si="67"/>
        <v>778.51009280141557</v>
      </c>
      <c r="L221" s="863">
        <f t="shared" si="68"/>
        <v>38.925504640070784</v>
      </c>
      <c r="M221" s="952">
        <f t="shared" si="69"/>
        <v>817.43559744148638</v>
      </c>
      <c r="N221" s="865"/>
      <c r="O221" s="700">
        <v>752</v>
      </c>
      <c r="P221" s="866"/>
      <c r="R221" s="868">
        <f t="shared" si="51"/>
        <v>108.70154221296362</v>
      </c>
    </row>
    <row r="222" spans="1:18" ht="15.6" x14ac:dyDescent="0.3">
      <c r="A222" s="688" t="s">
        <v>1883</v>
      </c>
      <c r="B222" s="689" t="s">
        <v>1883</v>
      </c>
      <c r="C222" s="688" t="s">
        <v>1882</v>
      </c>
      <c r="D222" s="696">
        <f>'КМУ стом.'!C626</f>
        <v>95.076861522546423</v>
      </c>
      <c r="E222" s="696">
        <f t="shared" si="58"/>
        <v>19.205526027554377</v>
      </c>
      <c r="F222" s="696">
        <f>'КМУ стом.'!I626</f>
        <v>36.137699999999995</v>
      </c>
      <c r="G222" s="696">
        <f t="shared" si="73"/>
        <v>9.7177053508634495E-2</v>
      </c>
      <c r="H222" s="696">
        <f t="shared" si="74"/>
        <v>4.1503124387477399</v>
      </c>
      <c r="I222" s="696">
        <f t="shared" si="75"/>
        <v>10.307632433223615</v>
      </c>
      <c r="J222" s="696">
        <f>'КМУ стом.'!Z626</f>
        <v>211.98374241310185</v>
      </c>
      <c r="K222" s="696">
        <f t="shared" si="67"/>
        <v>366.65131945545903</v>
      </c>
      <c r="L222" s="863">
        <f t="shared" si="68"/>
        <v>18.332565972772951</v>
      </c>
      <c r="M222" s="952">
        <f t="shared" si="69"/>
        <v>384.98388542823199</v>
      </c>
      <c r="N222" s="865"/>
      <c r="O222" s="700">
        <v>371</v>
      </c>
      <c r="P222" s="866"/>
      <c r="R222" s="868">
        <f t="shared" si="51"/>
        <v>103.7692413553186</v>
      </c>
    </row>
    <row r="223" spans="1:18" ht="15.6" x14ac:dyDescent="0.3">
      <c r="A223" s="688" t="s">
        <v>1886</v>
      </c>
      <c r="B223" s="689" t="s">
        <v>1886</v>
      </c>
      <c r="C223" s="692" t="s">
        <v>1557</v>
      </c>
      <c r="D223" s="696">
        <f>'КМУ стом.'!C766</f>
        <v>36.566227132445846</v>
      </c>
      <c r="E223" s="696">
        <f t="shared" si="58"/>
        <v>7.3863778807540603</v>
      </c>
      <c r="F223" s="696">
        <f>'КМУ стом.'!I766</f>
        <v>18.3185</v>
      </c>
      <c r="G223" s="696">
        <f t="shared" si="73"/>
        <v>9.7177053508634495E-2</v>
      </c>
      <c r="H223" s="696">
        <f t="shared" si="74"/>
        <v>4.1503124387477399</v>
      </c>
      <c r="I223" s="696">
        <f t="shared" si="75"/>
        <v>10.307632433223615</v>
      </c>
      <c r="J223" s="696">
        <f>'КМУ стом.'!Z766</f>
        <v>97.373520186241322</v>
      </c>
      <c r="K223" s="696">
        <f t="shared" si="67"/>
        <v>163.8921146916976</v>
      </c>
      <c r="L223" s="863">
        <f t="shared" si="68"/>
        <v>8.1946057345848811</v>
      </c>
      <c r="M223" s="952">
        <f t="shared" si="69"/>
        <v>172.08672042628248</v>
      </c>
      <c r="N223" s="865"/>
      <c r="O223" s="700">
        <v>163</v>
      </c>
      <c r="P223" s="866"/>
      <c r="R223" s="868">
        <f t="shared" si="51"/>
        <v>105.57467510814875</v>
      </c>
    </row>
    <row r="224" spans="1:18" ht="15.6" x14ac:dyDescent="0.3">
      <c r="A224" s="688" t="s">
        <v>1852</v>
      </c>
      <c r="B224" s="689" t="s">
        <v>1852</v>
      </c>
      <c r="C224" s="692" t="s">
        <v>144</v>
      </c>
      <c r="D224" s="696">
        <f>'КМУ стом.'!C796</f>
        <v>15.846143587091071</v>
      </c>
      <c r="E224" s="696">
        <f t="shared" si="58"/>
        <v>3.2009210045923959</v>
      </c>
      <c r="F224" s="696">
        <f>'КМУ стом.'!I796</f>
        <v>16.372</v>
      </c>
      <c r="G224" s="696">
        <f t="shared" si="73"/>
        <v>9.7177053508634495E-2</v>
      </c>
      <c r="H224" s="696">
        <f t="shared" si="74"/>
        <v>4.1503124387477399</v>
      </c>
      <c r="I224" s="696">
        <f t="shared" si="75"/>
        <v>10.307632433223615</v>
      </c>
      <c r="J224" s="696">
        <f>'КМУ стом.'!Z796</f>
        <v>62.460827703757673</v>
      </c>
      <c r="K224" s="696">
        <f t="shared" si="67"/>
        <v>102.12738178769752</v>
      </c>
      <c r="L224" s="863">
        <f t="shared" si="68"/>
        <v>5.1063690893848763</v>
      </c>
      <c r="M224" s="952">
        <f t="shared" si="69"/>
        <v>107.23375087708239</v>
      </c>
      <c r="N224" s="865"/>
      <c r="O224" s="700">
        <v>104</v>
      </c>
      <c r="P224" s="866"/>
      <c r="R224" s="868">
        <f t="shared" si="51"/>
        <v>103.10937584334845</v>
      </c>
    </row>
    <row r="225" spans="1:18" ht="15.6" x14ac:dyDescent="0.3">
      <c r="A225" s="688" t="s">
        <v>1880</v>
      </c>
      <c r="B225" s="689" t="s">
        <v>1880</v>
      </c>
      <c r="C225" s="688" t="s">
        <v>620</v>
      </c>
      <c r="D225" s="696">
        <f>'КМУ стом.'!C606</f>
        <v>31.692287174182141</v>
      </c>
      <c r="E225" s="696">
        <f t="shared" si="58"/>
        <v>6.4018420091847918</v>
      </c>
      <c r="F225" s="696">
        <f>'КМУ стом.'!I606</f>
        <v>23.281700000000001</v>
      </c>
      <c r="G225" s="696">
        <f t="shared" si="73"/>
        <v>9.7177053508634495E-2</v>
      </c>
      <c r="H225" s="696">
        <f t="shared" si="74"/>
        <v>4.1503124387477399</v>
      </c>
      <c r="I225" s="696">
        <f t="shared" si="75"/>
        <v>10.307632433223615</v>
      </c>
      <c r="J225" s="696">
        <f>'КМУ стом.'!Z606</f>
        <v>96.209493570635857</v>
      </c>
      <c r="K225" s="696">
        <f t="shared" si="67"/>
        <v>161.83281224625915</v>
      </c>
      <c r="L225" s="863">
        <f>K225*3%</f>
        <v>4.8549843673877744</v>
      </c>
      <c r="M225" s="952">
        <f t="shared" si="69"/>
        <v>166.68779661364692</v>
      </c>
      <c r="N225" s="865"/>
      <c r="O225" s="700">
        <v>156</v>
      </c>
      <c r="P225" s="866"/>
      <c r="R225" s="868">
        <f t="shared" si="51"/>
        <v>106.8511516754147</v>
      </c>
    </row>
    <row r="226" spans="1:18" ht="15.6" x14ac:dyDescent="0.3">
      <c r="A226" s="688" t="s">
        <v>1854</v>
      </c>
      <c r="B226" s="689" t="s">
        <v>1854</v>
      </c>
      <c r="C226" s="688" t="s">
        <v>1853</v>
      </c>
      <c r="D226" s="696">
        <f>'КМУ стом.'!C596</f>
        <v>47.538430761273212</v>
      </c>
      <c r="E226" s="696">
        <f t="shared" si="58"/>
        <v>9.6027630137771887</v>
      </c>
      <c r="F226" s="696">
        <f>'КМУ стом.'!I596</f>
        <v>16.3477</v>
      </c>
      <c r="G226" s="696">
        <f t="shared" si="73"/>
        <v>9.7177053508634495E-2</v>
      </c>
      <c r="H226" s="696">
        <f t="shared" si="74"/>
        <v>4.1503124387477399</v>
      </c>
      <c r="I226" s="696">
        <f t="shared" si="75"/>
        <v>10.307632433223615</v>
      </c>
      <c r="J226" s="696">
        <f>'КМУ стом.'!Z596</f>
        <v>114.18545251745127</v>
      </c>
      <c r="K226" s="696">
        <f t="shared" si="67"/>
        <v>191.92183578475803</v>
      </c>
      <c r="L226" s="863">
        <f t="shared" si="68"/>
        <v>9.596091789237903</v>
      </c>
      <c r="M226" s="952">
        <f t="shared" si="69"/>
        <v>201.51792757399593</v>
      </c>
      <c r="N226" s="865"/>
      <c r="O226" s="700">
        <v>193</v>
      </c>
      <c r="P226" s="866"/>
      <c r="R226" s="868">
        <f t="shared" ref="R226:R296" si="76">M226/O226*100</f>
        <v>104.41343397616369</v>
      </c>
    </row>
    <row r="227" spans="1:18" ht="15.6" x14ac:dyDescent="0.3">
      <c r="A227" s="688" t="s">
        <v>1884</v>
      </c>
      <c r="B227" s="689" t="s">
        <v>1881</v>
      </c>
      <c r="C227" s="688" t="s">
        <v>1885</v>
      </c>
      <c r="D227" s="696">
        <f>'КМУ стом.'!C616</f>
        <v>63.384574348364282</v>
      </c>
      <c r="E227" s="696">
        <f t="shared" si="58"/>
        <v>12.803684018369584</v>
      </c>
      <c r="F227" s="696">
        <f>'КМУ стом.'!I616</f>
        <v>36.137699999999995</v>
      </c>
      <c r="G227" s="696">
        <f t="shared" si="73"/>
        <v>9.7177053508634495E-2</v>
      </c>
      <c r="H227" s="696">
        <f t="shared" si="74"/>
        <v>4.1503124387477399</v>
      </c>
      <c r="I227" s="696">
        <f t="shared" si="75"/>
        <v>10.307632433223615</v>
      </c>
      <c r="J227" s="696">
        <f>'КМУ стом.'!Z616</f>
        <v>162.45422448115372</v>
      </c>
      <c r="K227" s="696">
        <f t="shared" si="67"/>
        <v>279.02767234014391</v>
      </c>
      <c r="L227" s="863">
        <f>K227*3%</f>
        <v>8.3708301702043162</v>
      </c>
      <c r="M227" s="952">
        <f t="shared" si="69"/>
        <v>287.39850251034824</v>
      </c>
      <c r="N227" s="865"/>
      <c r="O227" s="700">
        <v>260</v>
      </c>
      <c r="P227" s="866"/>
      <c r="R227" s="868">
        <f t="shared" si="76"/>
        <v>110.53788558090316</v>
      </c>
    </row>
    <row r="228" spans="1:18" ht="15.6" x14ac:dyDescent="0.3">
      <c r="A228" s="688" t="s">
        <v>1869</v>
      </c>
      <c r="B228" s="689" t="s">
        <v>1869</v>
      </c>
      <c r="C228" s="688" t="s">
        <v>1868</v>
      </c>
      <c r="D228" s="696">
        <f>'КМУ стом.'!C646</f>
        <v>294.97846448416669</v>
      </c>
      <c r="E228" s="696">
        <f t="shared" si="58"/>
        <v>59.585649825801667</v>
      </c>
      <c r="F228" s="696">
        <f>'КМУ стом.'!I646</f>
        <v>77.432699999999997</v>
      </c>
      <c r="G228" s="696">
        <f t="shared" si="73"/>
        <v>9.7177053508634495E-2</v>
      </c>
      <c r="H228" s="696">
        <f t="shared" si="74"/>
        <v>4.1503124387477399</v>
      </c>
      <c r="I228" s="696">
        <f t="shared" si="75"/>
        <v>10.307632433223615</v>
      </c>
      <c r="J228" s="696">
        <f>'КМУ стом.'!Z646</f>
        <v>578.08633712372045</v>
      </c>
      <c r="K228" s="696">
        <f t="shared" si="67"/>
        <v>1014.3306409259451</v>
      </c>
      <c r="L228" s="863">
        <f>K228*3%</f>
        <v>30.429919227778353</v>
      </c>
      <c r="M228" s="952">
        <f t="shared" si="69"/>
        <v>1044.7605601537234</v>
      </c>
      <c r="N228" s="865"/>
      <c r="O228" s="700">
        <v>948</v>
      </c>
      <c r="P228" s="866"/>
      <c r="R228" s="868">
        <f t="shared" si="76"/>
        <v>110.20681014279783</v>
      </c>
    </row>
    <row r="229" spans="1:18" ht="21.9" customHeight="1" x14ac:dyDescent="0.3">
      <c r="A229" s="1172" t="s">
        <v>242</v>
      </c>
      <c r="B229" s="1172"/>
      <c r="C229" s="1172"/>
      <c r="E229" s="701"/>
      <c r="J229" s="702"/>
      <c r="K229" s="701"/>
      <c r="L229" s="863"/>
      <c r="M229" s="864"/>
      <c r="N229" s="966"/>
      <c r="P229" s="866"/>
      <c r="Q229" s="964"/>
      <c r="R229" s="868"/>
    </row>
    <row r="230" spans="1:18" s="969" customFormat="1" ht="12.75" customHeight="1" x14ac:dyDescent="0.3">
      <c r="A230" s="968" t="s">
        <v>1962</v>
      </c>
      <c r="B230" s="950" t="s">
        <v>1962</v>
      </c>
      <c r="C230" s="954" t="s">
        <v>1960</v>
      </c>
      <c r="D230" s="696">
        <f>'КМУ рентгенкабинет'!C9</f>
        <v>68.881562852096209</v>
      </c>
      <c r="E230" s="696">
        <f>D230*20.2%</f>
        <v>13.914075696123433</v>
      </c>
      <c r="F230" s="696">
        <f>'КМУ рентгенкабинет'!I9</f>
        <v>6.5736000000000008</v>
      </c>
      <c r="G230" s="696">
        <f>'КМУ рентгенкабинет'!N9</f>
        <v>0.24128280765448903</v>
      </c>
      <c r="H230" s="696">
        <f>'КМУ рентгенкабинет'!S9</f>
        <v>2.5887451781257091</v>
      </c>
      <c r="I230" s="696">
        <f>'КМУ рентгенкабинет'!Y9</f>
        <v>13.959830324483772</v>
      </c>
      <c r="J230" s="696">
        <f>'КМУ рентгенкабинет'!Z9</f>
        <v>138.02675121360943</v>
      </c>
      <c r="K230" s="696">
        <f t="shared" ref="K230:K247" si="77">D230+E230+F230+J230+G230+H230</f>
        <v>230.22601774760929</v>
      </c>
      <c r="L230" s="863">
        <f t="shared" ref="L230" si="78">K230*5%</f>
        <v>11.511300887380465</v>
      </c>
      <c r="M230" s="864">
        <f t="shared" ref="M230:M247" si="79">K230+L230</f>
        <v>241.73731863498975</v>
      </c>
      <c r="N230" s="865"/>
      <c r="O230" s="969">
        <v>228</v>
      </c>
      <c r="P230" s="866"/>
      <c r="Q230" s="727"/>
      <c r="R230" s="868">
        <f t="shared" si="76"/>
        <v>106.02513975218848</v>
      </c>
    </row>
    <row r="231" spans="1:18" s="969" customFormat="1" ht="12.75" customHeight="1" x14ac:dyDescent="0.3">
      <c r="A231" s="968" t="s">
        <v>1963</v>
      </c>
      <c r="B231" s="950" t="s">
        <v>1963</v>
      </c>
      <c r="C231" s="954" t="s">
        <v>1961</v>
      </c>
      <c r="D231" s="696">
        <f>'КМУ рентгенкабинет'!C19</f>
        <v>46.668379361664577</v>
      </c>
      <c r="E231" s="696">
        <f>D231*20.2%</f>
        <v>9.4270126310562432</v>
      </c>
      <c r="F231" s="696">
        <f>'КМУ рентгенкабинет'!I19</f>
        <v>6.5736000000000008</v>
      </c>
      <c r="G231" s="696">
        <f>'КМУ рентгенкабинет'!N19</f>
        <v>0.16451100521896977</v>
      </c>
      <c r="H231" s="696">
        <f>'КМУ рентгенкабинет'!S19</f>
        <v>0.14381917656253937</v>
      </c>
      <c r="I231" s="696">
        <f>'КМУ рентгенкабинет'!Y19</f>
        <v>9.3065535496558489</v>
      </c>
      <c r="J231" s="696">
        <f>'КМУ рентгенкабинет'!Z19</f>
        <v>93.982605604057866</v>
      </c>
      <c r="K231" s="696">
        <f t="shared" si="77"/>
        <v>156.9599277785602</v>
      </c>
      <c r="L231" s="863">
        <f>K231*10%</f>
        <v>15.69599277785602</v>
      </c>
      <c r="M231" s="864">
        <f t="shared" si="79"/>
        <v>172.65592055641622</v>
      </c>
      <c r="N231" s="865"/>
      <c r="O231" s="969">
        <v>169</v>
      </c>
      <c r="P231" s="866"/>
      <c r="Q231" s="727"/>
      <c r="R231" s="868">
        <f t="shared" si="76"/>
        <v>102.16326660142971</v>
      </c>
    </row>
    <row r="232" spans="1:18" ht="15.6" x14ac:dyDescent="0.3">
      <c r="A232" s="703" t="s">
        <v>1965</v>
      </c>
      <c r="B232" s="703" t="s">
        <v>1965</v>
      </c>
      <c r="C232" s="695" t="s">
        <v>1964</v>
      </c>
      <c r="D232" s="696">
        <f>'КМУ рентгенкабинет'!C81</f>
        <v>133.48604126017125</v>
      </c>
      <c r="E232" s="696">
        <f t="shared" ref="E232:E258" si="80">D232*20.2%</f>
        <v>26.964180334554591</v>
      </c>
      <c r="F232" s="696">
        <f>'КМУ рентгенкабинет'!I81</f>
        <v>83.8536</v>
      </c>
      <c r="G232" s="696">
        <f>'КМУ рентгенкабинет'!N81</f>
        <v>0.49353301565690938</v>
      </c>
      <c r="H232" s="696">
        <f>'КМУ рентгенкабинет'!S81</f>
        <v>0.35954794140634844</v>
      </c>
      <c r="I232" s="696">
        <f>'КМУ рентгенкабинет'!Y81</f>
        <v>23.266383874139621</v>
      </c>
      <c r="J232" s="696">
        <f>'КМУ рентгенкабинет'!Z81</f>
        <v>349.00065347052077</v>
      </c>
      <c r="K232" s="696">
        <f t="shared" si="77"/>
        <v>594.1575560223099</v>
      </c>
      <c r="L232" s="863">
        <f>K232*1%</f>
        <v>5.9415755602230993</v>
      </c>
      <c r="M232" s="864">
        <f t="shared" si="79"/>
        <v>600.099131582533</v>
      </c>
      <c r="N232" s="865"/>
      <c r="O232" s="700">
        <v>553</v>
      </c>
      <c r="P232" s="866"/>
      <c r="R232" s="868">
        <f t="shared" si="76"/>
        <v>108.51702198599149</v>
      </c>
    </row>
    <row r="233" spans="1:18" ht="15.6" x14ac:dyDescent="0.3">
      <c r="A233" s="703" t="s">
        <v>1966</v>
      </c>
      <c r="B233" s="703" t="s">
        <v>1966</v>
      </c>
      <c r="C233" s="695" t="s">
        <v>356</v>
      </c>
      <c r="D233" s="696">
        <f>'КМУ рентгенкабинет'!C91</f>
        <v>72.348051582088885</v>
      </c>
      <c r="E233" s="696">
        <f t="shared" si="80"/>
        <v>14.614306419581954</v>
      </c>
      <c r="F233" s="696">
        <f>'КМУ рентгенкабинет'!I91</f>
        <v>83.8536</v>
      </c>
      <c r="G233" s="696">
        <f>'КМУ рентгенкабинет'!N91</f>
        <v>0.27418500869828294</v>
      </c>
      <c r="H233" s="696">
        <f>'КМУ рентгенкабинет'!S91</f>
        <v>0.17977397070317422</v>
      </c>
      <c r="I233" s="696">
        <f>'КМУ рентгенкабинет'!Y91</f>
        <v>11.63319193706981</v>
      </c>
      <c r="J233" s="696">
        <f>'КМУ рентгенкабинет'!Z91</f>
        <v>237.80837118927158</v>
      </c>
      <c r="K233" s="696">
        <f t="shared" si="77"/>
        <v>409.07828817034385</v>
      </c>
      <c r="L233" s="863">
        <f t="shared" ref="L233:L258" si="81">K233*1%</f>
        <v>4.0907828817034382</v>
      </c>
      <c r="M233" s="864">
        <f t="shared" si="79"/>
        <v>413.16907105204729</v>
      </c>
      <c r="N233" s="865"/>
      <c r="O233" s="700">
        <v>393</v>
      </c>
      <c r="P233" s="866"/>
      <c r="R233" s="868">
        <f t="shared" si="76"/>
        <v>105.13207914810363</v>
      </c>
    </row>
    <row r="234" spans="1:18" ht="15.6" hidden="1" x14ac:dyDescent="0.3">
      <c r="A234" s="703" t="s">
        <v>391</v>
      </c>
      <c r="B234" s="703" t="s">
        <v>391</v>
      </c>
      <c r="C234" s="695" t="s">
        <v>633</v>
      </c>
      <c r="D234" s="696">
        <f>'КМУ рентгенкабинет'!C131</f>
        <v>94.768175390101931</v>
      </c>
      <c r="E234" s="696">
        <f t="shared" si="80"/>
        <v>19.143171428800589</v>
      </c>
      <c r="F234" s="697">
        <v>64.819999999999993</v>
      </c>
      <c r="G234" s="697">
        <v>8.4000000000000005E-2</v>
      </c>
      <c r="H234" s="697">
        <v>9.7219999999999995</v>
      </c>
      <c r="I234" s="697">
        <v>8.9999999999999993E-3</v>
      </c>
      <c r="J234" s="696">
        <f>'КМУ рентгенкабинет'!Z131</f>
        <v>269.89250206862425</v>
      </c>
      <c r="K234" s="696">
        <f t="shared" si="77"/>
        <v>458.42984888752676</v>
      </c>
      <c r="L234" s="863">
        <f t="shared" si="81"/>
        <v>4.5842984888752678</v>
      </c>
      <c r="M234" s="864">
        <f t="shared" si="79"/>
        <v>463.01414737640204</v>
      </c>
      <c r="N234" s="865"/>
      <c r="P234" s="866"/>
      <c r="R234" s="868" t="e">
        <f t="shared" si="76"/>
        <v>#DIV/0!</v>
      </c>
    </row>
    <row r="235" spans="1:18" ht="15.6" x14ac:dyDescent="0.3">
      <c r="A235" s="703" t="s">
        <v>1967</v>
      </c>
      <c r="B235" s="703" t="s">
        <v>1967</v>
      </c>
      <c r="C235" s="695" t="s">
        <v>634</v>
      </c>
      <c r="D235" s="696">
        <f>'КМУ рентгенкабинет'!C141</f>
        <v>83.558113486095408</v>
      </c>
      <c r="E235" s="696">
        <f t="shared" si="80"/>
        <v>16.878738924191271</v>
      </c>
      <c r="F235" s="696">
        <f>'КМУ рентгенкабинет'!I141</f>
        <v>83.8536</v>
      </c>
      <c r="G235" s="696">
        <f>'КМУ рентгенкабинет'!N141</f>
        <v>0.32902201043793955</v>
      </c>
      <c r="H235" s="696">
        <f>'КМУ рентгенкабинет'!S141</f>
        <v>0.17977397070317422</v>
      </c>
      <c r="I235" s="696">
        <f>'КМУ рентгенкабинет'!Y141</f>
        <v>11.63319193706981</v>
      </c>
      <c r="J235" s="696">
        <f>'КМУ рентгенкабинет'!Z141</f>
        <v>255.39904138075767</v>
      </c>
      <c r="K235" s="696">
        <f t="shared" si="77"/>
        <v>440.19828977218549</v>
      </c>
      <c r="L235" s="863">
        <f t="shared" si="81"/>
        <v>4.4019828977218554</v>
      </c>
      <c r="M235" s="864">
        <f t="shared" si="79"/>
        <v>444.60027266990733</v>
      </c>
      <c r="N235" s="865"/>
      <c r="O235" s="700">
        <v>413</v>
      </c>
      <c r="P235" s="866"/>
      <c r="R235" s="868">
        <f t="shared" si="76"/>
        <v>107.65139774089765</v>
      </c>
    </row>
    <row r="236" spans="1:18" ht="15.6" x14ac:dyDescent="0.3">
      <c r="A236" s="703" t="s">
        <v>394</v>
      </c>
      <c r="B236" s="703" t="s">
        <v>394</v>
      </c>
      <c r="C236" s="695" t="s">
        <v>1034</v>
      </c>
      <c r="D236" s="696">
        <f>'КМУ рентгенкабинет'!C151</f>
        <v>83.558113486095408</v>
      </c>
      <c r="E236" s="696">
        <f t="shared" si="80"/>
        <v>16.878738924191271</v>
      </c>
      <c r="F236" s="696">
        <f>'КМУ рентгенкабинет'!I151</f>
        <v>83.8536</v>
      </c>
      <c r="G236" s="696">
        <f>'КМУ рентгенкабинет'!N151</f>
        <v>0.32902201043793955</v>
      </c>
      <c r="H236" s="696">
        <f>'КМУ рентгенкабинет'!S151</f>
        <v>0.17977397070317422</v>
      </c>
      <c r="I236" s="696">
        <f>'КМУ рентгенкабинет'!Y151</f>
        <v>11.63319193706981</v>
      </c>
      <c r="J236" s="696">
        <f>'КМУ рентгенкабинет'!Z151</f>
        <v>255.39904138075767</v>
      </c>
      <c r="K236" s="696">
        <f t="shared" si="77"/>
        <v>440.19828977218549</v>
      </c>
      <c r="L236" s="863">
        <f t="shared" si="81"/>
        <v>4.4019828977218554</v>
      </c>
      <c r="M236" s="864">
        <f t="shared" si="79"/>
        <v>444.60027266990733</v>
      </c>
      <c r="N236" s="865"/>
      <c r="O236" s="700">
        <v>413</v>
      </c>
      <c r="P236" s="866"/>
      <c r="R236" s="868">
        <f t="shared" si="76"/>
        <v>107.65139774089765</v>
      </c>
    </row>
    <row r="237" spans="1:18" ht="15.6" x14ac:dyDescent="0.3">
      <c r="A237" s="703" t="s">
        <v>1968</v>
      </c>
      <c r="B237" s="703" t="s">
        <v>1968</v>
      </c>
      <c r="C237" s="695" t="s">
        <v>277</v>
      </c>
      <c r="D237" s="696">
        <f>'КМУ рентгенкабинет'!C181</f>
        <v>133.48604126017125</v>
      </c>
      <c r="E237" s="696">
        <f t="shared" si="80"/>
        <v>26.964180334554591</v>
      </c>
      <c r="F237" s="696">
        <f>'КМУ рентгенкабинет'!I181</f>
        <v>83.8536</v>
      </c>
      <c r="G237" s="696">
        <f>'КМУ рентгенкабинет'!N181</f>
        <v>0.49353301565690938</v>
      </c>
      <c r="H237" s="696">
        <f>'КМУ рентгенкабинет'!S181</f>
        <v>0.35954794140634844</v>
      </c>
      <c r="I237" s="696">
        <f>'КМУ рентгенкабинет'!Y181</f>
        <v>23.266383874139621</v>
      </c>
      <c r="J237" s="696">
        <f>'КМУ рентгенкабинет'!Z181</f>
        <v>349.00065347052077</v>
      </c>
      <c r="K237" s="696">
        <f t="shared" si="77"/>
        <v>594.1575560223099</v>
      </c>
      <c r="L237" s="863">
        <f t="shared" si="81"/>
        <v>5.9415755602230993</v>
      </c>
      <c r="M237" s="864">
        <f t="shared" si="79"/>
        <v>600.099131582533</v>
      </c>
      <c r="N237" s="865"/>
      <c r="O237" s="700">
        <v>543</v>
      </c>
      <c r="P237" s="866"/>
      <c r="R237" s="868">
        <f t="shared" si="76"/>
        <v>110.51549384577035</v>
      </c>
    </row>
    <row r="238" spans="1:18" ht="15.6" x14ac:dyDescent="0.3">
      <c r="A238" s="703" t="s">
        <v>1969</v>
      </c>
      <c r="B238" s="703" t="s">
        <v>1969</v>
      </c>
      <c r="C238" s="695" t="s">
        <v>637</v>
      </c>
      <c r="D238" s="863">
        <f>'КМУ рентгенкабинет'!C311</f>
        <v>72.348051582088885</v>
      </c>
      <c r="E238" s="863">
        <f>D238*20.2%</f>
        <v>14.614306419581954</v>
      </c>
      <c r="F238" s="863">
        <f>'КМУ рентгенкабинет'!I311</f>
        <v>83.8536</v>
      </c>
      <c r="G238" s="863">
        <f>'КМУ рентгенкабинет'!N311</f>
        <v>0.27418500869828294</v>
      </c>
      <c r="H238" s="863">
        <f>'КМУ рентгенкабинет'!S311</f>
        <v>0.17977397070317422</v>
      </c>
      <c r="I238" s="863">
        <f>'КМУ рентгенкабинет'!Y311</f>
        <v>11.63319193706981</v>
      </c>
      <c r="J238" s="863">
        <f>'КМУ рентгенкабинет'!Z311</f>
        <v>237.80837118927158</v>
      </c>
      <c r="K238" s="863">
        <f>D238+E238+F238+J238+G238+H238</f>
        <v>409.07828817034385</v>
      </c>
      <c r="L238" s="863">
        <f t="shared" si="81"/>
        <v>4.0907828817034382</v>
      </c>
      <c r="M238" s="952">
        <f t="shared" si="79"/>
        <v>413.16907105204729</v>
      </c>
      <c r="N238" s="865"/>
      <c r="O238" s="700">
        <v>383</v>
      </c>
      <c r="P238" s="970"/>
      <c r="R238" s="868">
        <f t="shared" si="76"/>
        <v>107.8770420501429</v>
      </c>
    </row>
    <row r="239" spans="1:18" ht="15.6" x14ac:dyDescent="0.3">
      <c r="A239" s="703" t="s">
        <v>1970</v>
      </c>
      <c r="B239" s="703" t="s">
        <v>1970</v>
      </c>
      <c r="C239" s="695" t="s">
        <v>638</v>
      </c>
      <c r="D239" s="863">
        <f>'КМУ рентгенкабинет'!C321</f>
        <v>72.348051582088885</v>
      </c>
      <c r="E239" s="863">
        <f>D239*20.2%</f>
        <v>14.614306419581954</v>
      </c>
      <c r="F239" s="863">
        <f>'КМУ рентгенкабинет'!I321</f>
        <v>83.8536</v>
      </c>
      <c r="G239" s="863">
        <f>'КМУ рентгенкабинет'!N321</f>
        <v>0.27418500869828294</v>
      </c>
      <c r="H239" s="863">
        <f>'КМУ рентгенкабинет'!S321</f>
        <v>0.17977397070317422</v>
      </c>
      <c r="I239" s="863">
        <f>'КМУ рентгенкабинет'!Y321</f>
        <v>11.63319193706981</v>
      </c>
      <c r="J239" s="863">
        <f>'КМУ рентгенкабинет'!Z321</f>
        <v>237.80837118927158</v>
      </c>
      <c r="K239" s="863">
        <f>D239+E239+F239+J239+G239+H239</f>
        <v>409.07828817034385</v>
      </c>
      <c r="L239" s="863">
        <f t="shared" si="81"/>
        <v>4.0907828817034382</v>
      </c>
      <c r="M239" s="952">
        <f t="shared" si="79"/>
        <v>413.16907105204729</v>
      </c>
      <c r="N239" s="865"/>
      <c r="O239" s="700">
        <v>383</v>
      </c>
      <c r="P239" s="970"/>
      <c r="R239" s="868">
        <f t="shared" si="76"/>
        <v>107.8770420501429</v>
      </c>
    </row>
    <row r="240" spans="1:18" ht="15.6" x14ac:dyDescent="0.3">
      <c r="A240" s="703" t="s">
        <v>1971</v>
      </c>
      <c r="B240" s="703" t="s">
        <v>1971</v>
      </c>
      <c r="C240" s="695" t="s">
        <v>1610</v>
      </c>
      <c r="D240" s="696">
        <f>'КМУ рентгенкабинет'!C121</f>
        <v>94.768175390101931</v>
      </c>
      <c r="E240" s="696">
        <f t="shared" si="80"/>
        <v>19.143171428800589</v>
      </c>
      <c r="F240" s="696">
        <f>'КМУ рентгенкабинет'!I381</f>
        <v>83.8536</v>
      </c>
      <c r="G240" s="696">
        <f>'КМУ рентгенкабинет'!N381</f>
        <v>0.38385901217759616</v>
      </c>
      <c r="H240" s="696">
        <f>'КМУ рентгенкабинет'!S381</f>
        <v>0.26966095605476131</v>
      </c>
      <c r="I240" s="696">
        <f>'КМУ рентгенкабинет'!Y381</f>
        <v>17.449787905604715</v>
      </c>
      <c r="J240" s="696">
        <f>'КМУ рентгенкабинет'!Z121</f>
        <v>269.89250206862425</v>
      </c>
      <c r="K240" s="696">
        <f t="shared" si="77"/>
        <v>468.31096885575909</v>
      </c>
      <c r="L240" s="863">
        <f t="shared" si="81"/>
        <v>4.6831096885575914</v>
      </c>
      <c r="M240" s="864">
        <f t="shared" si="79"/>
        <v>472.99407854431666</v>
      </c>
      <c r="N240" s="865"/>
      <c r="O240" s="700">
        <v>442</v>
      </c>
      <c r="P240" s="866"/>
      <c r="R240" s="868">
        <f t="shared" si="76"/>
        <v>107.01223496477752</v>
      </c>
    </row>
    <row r="241" spans="1:18" ht="15.6" x14ac:dyDescent="0.3">
      <c r="A241" s="703" t="s">
        <v>1972</v>
      </c>
      <c r="B241" s="703" t="s">
        <v>1972</v>
      </c>
      <c r="C241" s="695" t="s">
        <v>1142</v>
      </c>
      <c r="D241" s="863">
        <f>'КМУ рентгенкабинет'!C471</f>
        <v>72.348051582088885</v>
      </c>
      <c r="E241" s="863">
        <f>D241*20.2%</f>
        <v>14.614306419581954</v>
      </c>
      <c r="F241" s="863">
        <f>'КМУ рентгенкабинет'!I471</f>
        <v>83.8536</v>
      </c>
      <c r="G241" s="863">
        <f>'КМУ рентгенкабинет'!N471</f>
        <v>0.27418500869828294</v>
      </c>
      <c r="H241" s="863">
        <f>'КМУ рентгенкабинет'!S471</f>
        <v>0.17977397070317422</v>
      </c>
      <c r="I241" s="863">
        <f>'КМУ рентгенкабинет'!Y471</f>
        <v>11.63319193706981</v>
      </c>
      <c r="J241" s="863">
        <f>'КМУ рентгенкабинет'!Z471</f>
        <v>237.80837118927158</v>
      </c>
      <c r="K241" s="863">
        <f>D241+E241+F241+J241+G241+H241</f>
        <v>409.07828817034385</v>
      </c>
      <c r="L241" s="863">
        <f t="shared" si="81"/>
        <v>4.0907828817034382</v>
      </c>
      <c r="M241" s="952">
        <f t="shared" si="79"/>
        <v>413.16907105204729</v>
      </c>
      <c r="N241" s="865"/>
      <c r="O241" s="700">
        <v>383</v>
      </c>
      <c r="P241" s="970"/>
      <c r="R241" s="868">
        <f t="shared" si="76"/>
        <v>107.8770420501429</v>
      </c>
    </row>
    <row r="242" spans="1:18" ht="15.6" x14ac:dyDescent="0.3">
      <c r="A242" s="703" t="s">
        <v>1973</v>
      </c>
      <c r="B242" s="703" t="s">
        <v>1973</v>
      </c>
      <c r="C242" s="695" t="s">
        <v>1620</v>
      </c>
      <c r="D242" s="696">
        <f>'КМУ рентгенкабинет'!C221</f>
        <v>213.98296387328824</v>
      </c>
      <c r="E242" s="696">
        <f t="shared" si="80"/>
        <v>43.224558702404224</v>
      </c>
      <c r="F242" s="696">
        <f>'КМУ рентгенкабинет'!I221</f>
        <v>83.8536</v>
      </c>
      <c r="G242" s="696">
        <f>'КМУ рентгенкабинет'!N221</f>
        <v>0.76771802435519232</v>
      </c>
      <c r="H242" s="696">
        <f>'КМУ рентгенкабинет'!S221</f>
        <v>0.62920889746110975</v>
      </c>
      <c r="I242" s="696">
        <f>'КМУ рентгенкабинет'!Y221</f>
        <v>40.716171779744336</v>
      </c>
      <c r="J242" s="696">
        <f>'КМУ рентгенкабинет'!Z221</f>
        <v>498.19840670090844</v>
      </c>
      <c r="K242" s="696">
        <f t="shared" si="77"/>
        <v>840.65645619841723</v>
      </c>
      <c r="L242" s="863">
        <f t="shared" si="81"/>
        <v>8.4065645619841725</v>
      </c>
      <c r="M242" s="864">
        <f t="shared" si="79"/>
        <v>849.0630207604014</v>
      </c>
      <c r="N242" s="865"/>
      <c r="O242" s="700">
        <v>754</v>
      </c>
      <c r="P242" s="866"/>
      <c r="R242" s="868">
        <f t="shared" si="76"/>
        <v>112.60782768705589</v>
      </c>
    </row>
    <row r="243" spans="1:18" ht="15.6" x14ac:dyDescent="0.3">
      <c r="A243" s="703" t="s">
        <v>1974</v>
      </c>
      <c r="B243" s="703" t="s">
        <v>1974</v>
      </c>
      <c r="C243" s="695" t="s">
        <v>1143</v>
      </c>
      <c r="D243" s="696">
        <f>'КМУ рентгенкабинет'!C251</f>
        <v>72.348051582088885</v>
      </c>
      <c r="E243" s="696">
        <f>D243*20.2%</f>
        <v>14.614306419581954</v>
      </c>
      <c r="F243" s="696">
        <f>'КМУ рентгенкабинет'!I441</f>
        <v>83.8536</v>
      </c>
      <c r="G243" s="696">
        <f>'КМУ рентгенкабинет'!N441</f>
        <v>0.32902201043793955</v>
      </c>
      <c r="H243" s="696">
        <f>'КМУ рентгенкабинет'!S441</f>
        <v>0.17977397070317422</v>
      </c>
      <c r="I243" s="696">
        <f>'КМУ рентгенкабинет'!Y441</f>
        <v>11.63319193706981</v>
      </c>
      <c r="J243" s="696">
        <f>'КМУ рентгенкабинет'!Z251</f>
        <v>234.85375847519541</v>
      </c>
      <c r="K243" s="696">
        <f>D243+E243+F243+J243+G243+H243</f>
        <v>406.17851245800739</v>
      </c>
      <c r="L243" s="863">
        <f t="shared" si="81"/>
        <v>4.0617851245800738</v>
      </c>
      <c r="M243" s="864">
        <f t="shared" si="79"/>
        <v>410.24029758258746</v>
      </c>
      <c r="N243" s="865"/>
      <c r="O243" s="700">
        <v>383</v>
      </c>
      <c r="P243" s="866"/>
      <c r="R243" s="868">
        <f t="shared" si="76"/>
        <v>107.11234923827348</v>
      </c>
    </row>
    <row r="244" spans="1:18" ht="15.6" x14ac:dyDescent="0.3">
      <c r="A244" s="703" t="s">
        <v>1976</v>
      </c>
      <c r="B244" s="703" t="s">
        <v>1976</v>
      </c>
      <c r="C244" s="695" t="s">
        <v>1975</v>
      </c>
      <c r="D244" s="696">
        <f>'КМУ рентгенкабинет'!C271</f>
        <v>72.348051582088885</v>
      </c>
      <c r="E244" s="696">
        <f>D244*20.2%</f>
        <v>14.614306419581954</v>
      </c>
      <c r="F244" s="696">
        <f>'КМУ рентгенкабинет'!I271</f>
        <v>83.8536</v>
      </c>
      <c r="G244" s="696">
        <f>'КМУ рентгенкабинет'!N271</f>
        <v>0.27418500869828294</v>
      </c>
      <c r="H244" s="696">
        <f>'КМУ рентгенкабинет'!S271</f>
        <v>0.17977397070317422</v>
      </c>
      <c r="I244" s="696">
        <f>'КМУ рентгенкабинет'!Y271</f>
        <v>11.63319193706981</v>
      </c>
      <c r="J244" s="696">
        <f>'КМУ рентгенкабинет'!Z271</f>
        <v>237.80837118927158</v>
      </c>
      <c r="K244" s="696">
        <f>D244+E244+F244+J244+G244+H244</f>
        <v>409.07828817034385</v>
      </c>
      <c r="L244" s="863">
        <f t="shared" si="81"/>
        <v>4.0907828817034382</v>
      </c>
      <c r="M244" s="864">
        <f t="shared" si="79"/>
        <v>413.16907105204729</v>
      </c>
      <c r="N244" s="865"/>
      <c r="O244" s="700">
        <v>383</v>
      </c>
      <c r="P244" s="866"/>
      <c r="R244" s="868">
        <f t="shared" si="76"/>
        <v>107.8770420501429</v>
      </c>
    </row>
    <row r="245" spans="1:18" ht="15.6" x14ac:dyDescent="0.3">
      <c r="A245" s="703" t="s">
        <v>1977</v>
      </c>
      <c r="B245" s="703" t="s">
        <v>1977</v>
      </c>
      <c r="C245" s="695" t="s">
        <v>1626</v>
      </c>
      <c r="D245" s="863">
        <f>'КМУ рентгенкабинет'!C281</f>
        <v>72.348051582088885</v>
      </c>
      <c r="E245" s="863">
        <f>D245*20.2%</f>
        <v>14.614306419581954</v>
      </c>
      <c r="F245" s="863">
        <f>'КМУ рентгенкабинет'!I281</f>
        <v>83.8536</v>
      </c>
      <c r="G245" s="863">
        <f>'КМУ рентгенкабинет'!N281</f>
        <v>0.27418500869828294</v>
      </c>
      <c r="H245" s="863">
        <f>'КМУ рентгенкабинет'!S281</f>
        <v>0.17977397070317422</v>
      </c>
      <c r="I245" s="863">
        <f>'КМУ рентгенкабинет'!Y281</f>
        <v>11.63319193706981</v>
      </c>
      <c r="J245" s="863">
        <f>'КМУ рентгенкабинет'!Z281</f>
        <v>237.80837118927158</v>
      </c>
      <c r="K245" s="863">
        <f>D245+E245+F245+J245+G245+H245</f>
        <v>409.07828817034385</v>
      </c>
      <c r="L245" s="863">
        <f t="shared" si="81"/>
        <v>4.0907828817034382</v>
      </c>
      <c r="M245" s="952">
        <f t="shared" si="79"/>
        <v>413.16907105204729</v>
      </c>
      <c r="N245" s="865"/>
      <c r="O245" s="700">
        <v>383</v>
      </c>
      <c r="P245" s="970"/>
      <c r="R245" s="868">
        <f t="shared" si="76"/>
        <v>107.8770420501429</v>
      </c>
    </row>
    <row r="246" spans="1:18" ht="15.6" x14ac:dyDescent="0.3">
      <c r="A246" s="703" t="s">
        <v>1978</v>
      </c>
      <c r="B246" s="703" t="s">
        <v>1978</v>
      </c>
      <c r="C246" s="695" t="s">
        <v>274</v>
      </c>
      <c r="D246" s="863">
        <f>'КМУ рентгенкабинет'!C291</f>
        <v>133.48604126017125</v>
      </c>
      <c r="E246" s="863">
        <f t="shared" si="80"/>
        <v>26.964180334554591</v>
      </c>
      <c r="F246" s="863">
        <f>'КМУ рентгенкабинет'!I291</f>
        <v>83.8536</v>
      </c>
      <c r="G246" s="863">
        <f>'КМУ рентгенкабинет'!N291</f>
        <v>0.49353301565690938</v>
      </c>
      <c r="H246" s="863">
        <f>'КМУ рентгенкабинет'!S291</f>
        <v>0.35954794140634844</v>
      </c>
      <c r="I246" s="863">
        <f>'КМУ рентгенкабинет'!Y291</f>
        <v>23.266383874139621</v>
      </c>
      <c r="J246" s="863">
        <f>'КМУ рентгенкабинет'!Z291</f>
        <v>349.00065347052077</v>
      </c>
      <c r="K246" s="863">
        <f t="shared" si="77"/>
        <v>594.1575560223099</v>
      </c>
      <c r="L246" s="863">
        <f t="shared" si="81"/>
        <v>5.9415755602230993</v>
      </c>
      <c r="M246" s="952">
        <f t="shared" si="79"/>
        <v>600.099131582533</v>
      </c>
      <c r="N246" s="865"/>
      <c r="O246" s="700">
        <v>543</v>
      </c>
      <c r="P246" s="970"/>
      <c r="R246" s="868">
        <f t="shared" si="76"/>
        <v>110.51549384577035</v>
      </c>
    </row>
    <row r="247" spans="1:18" ht="15.6" x14ac:dyDescent="0.3">
      <c r="A247" s="703" t="s">
        <v>1979</v>
      </c>
      <c r="B247" s="703" t="s">
        <v>1979</v>
      </c>
      <c r="C247" s="695" t="s">
        <v>1630</v>
      </c>
      <c r="D247" s="696">
        <f>'КМУ рентгенкабинет'!C29</f>
        <v>114.12710832513658</v>
      </c>
      <c r="E247" s="696">
        <f t="shared" si="80"/>
        <v>23.053675881677588</v>
      </c>
      <c r="F247" s="696">
        <f>'КМУ рентгенкабинет'!I29</f>
        <v>83.8536</v>
      </c>
      <c r="G247" s="696">
        <f>'КМУ рентгенкабинет'!N29</f>
        <v>0.43869601391725277</v>
      </c>
      <c r="H247" s="696">
        <f>'КМУ рентгенкабинет'!S29</f>
        <v>0.26966095605476131</v>
      </c>
      <c r="I247" s="696">
        <f>'КМУ рентгенкабинет'!Y29</f>
        <v>17.449787905604715</v>
      </c>
      <c r="J247" s="696">
        <f>'КМУ рентгенкабинет'!Z29</f>
        <v>310.99518252138222</v>
      </c>
      <c r="K247" s="696">
        <f t="shared" si="77"/>
        <v>532.7379236981684</v>
      </c>
      <c r="L247" s="863">
        <f t="shared" si="81"/>
        <v>5.3273792369816837</v>
      </c>
      <c r="M247" s="864">
        <f t="shared" si="79"/>
        <v>538.06530293515004</v>
      </c>
      <c r="N247" s="865"/>
      <c r="O247" s="700">
        <v>503</v>
      </c>
      <c r="P247" s="866"/>
      <c r="R247" s="868">
        <f t="shared" si="76"/>
        <v>106.9712331879026</v>
      </c>
    </row>
    <row r="248" spans="1:18" ht="15.6" x14ac:dyDescent="0.3">
      <c r="A248" s="703" t="s">
        <v>1980</v>
      </c>
      <c r="B248" s="703" t="s">
        <v>1980</v>
      </c>
      <c r="C248" s="695" t="s">
        <v>1632</v>
      </c>
      <c r="D248" s="863">
        <f>'КМУ рентгенкабинет'!C331</f>
        <v>133.48604126017125</v>
      </c>
      <c r="E248" s="863">
        <f>D248*20.2%</f>
        <v>26.964180334554591</v>
      </c>
      <c r="F248" s="863">
        <f>'КМУ рентгенкабинет'!I331</f>
        <v>83.8536</v>
      </c>
      <c r="G248" s="863">
        <f>'КМУ рентгенкабинет'!N331</f>
        <v>0.49353301565690938</v>
      </c>
      <c r="H248" s="863">
        <f>'КМУ рентгенкабинет'!S331</f>
        <v>0.35954794140634844</v>
      </c>
      <c r="I248" s="863">
        <f>'КМУ рентгенкабинет'!Y331</f>
        <v>23.266383874139621</v>
      </c>
      <c r="J248" s="863">
        <f>'КМУ рентгенкабинет'!Z331</f>
        <v>349.00065347052077</v>
      </c>
      <c r="K248" s="863">
        <f>D248+E248+F248+J248+G248+H248</f>
        <v>594.1575560223099</v>
      </c>
      <c r="L248" s="863">
        <f t="shared" si="81"/>
        <v>5.9415755602230993</v>
      </c>
      <c r="M248" s="952">
        <f t="shared" ref="M248:M258" si="82">K248+L248</f>
        <v>600.099131582533</v>
      </c>
      <c r="N248" s="865"/>
      <c r="O248" s="700">
        <v>543</v>
      </c>
      <c r="P248" s="970"/>
      <c r="R248" s="868">
        <f t="shared" si="76"/>
        <v>110.51549384577035</v>
      </c>
    </row>
    <row r="249" spans="1:18" ht="15.6" x14ac:dyDescent="0.3">
      <c r="A249" s="703" t="s">
        <v>1981</v>
      </c>
      <c r="B249" s="703" t="s">
        <v>1981</v>
      </c>
      <c r="C249" s="695" t="s">
        <v>1634</v>
      </c>
      <c r="D249" s="863">
        <f>'КМУ рентгенкабинет'!C351</f>
        <v>72.348051582088885</v>
      </c>
      <c r="E249" s="863">
        <f>D249*20.2%</f>
        <v>14.614306419581954</v>
      </c>
      <c r="F249" s="863">
        <f>'КМУ рентгенкабинет'!I351</f>
        <v>83.8536</v>
      </c>
      <c r="G249" s="863">
        <f>'КМУ рентгенкабинет'!N351</f>
        <v>0.27418500869828294</v>
      </c>
      <c r="H249" s="863">
        <f>'КМУ рентгенкабинет'!S351</f>
        <v>0.17977397070317422</v>
      </c>
      <c r="I249" s="863">
        <f>'КМУ рентгенкабинет'!Y351</f>
        <v>11.63319193706981</v>
      </c>
      <c r="J249" s="863">
        <f>'КМУ рентгенкабинет'!Z351</f>
        <v>237.80837118927158</v>
      </c>
      <c r="K249" s="863">
        <f t="shared" ref="K249:K258" si="83">D249+E249+F249+J249+G249+H249</f>
        <v>409.07828817034385</v>
      </c>
      <c r="L249" s="863">
        <f t="shared" si="81"/>
        <v>4.0907828817034382</v>
      </c>
      <c r="M249" s="952">
        <f t="shared" si="82"/>
        <v>413.16907105204729</v>
      </c>
      <c r="N249" s="865"/>
      <c r="O249" s="700">
        <v>383</v>
      </c>
      <c r="P249" s="970"/>
      <c r="R249" s="868">
        <f t="shared" si="76"/>
        <v>107.8770420501429</v>
      </c>
    </row>
    <row r="250" spans="1:18" ht="15.6" x14ac:dyDescent="0.3">
      <c r="A250" s="703" t="s">
        <v>1982</v>
      </c>
      <c r="B250" s="703" t="s">
        <v>1982</v>
      </c>
      <c r="C250" s="695" t="s">
        <v>1635</v>
      </c>
      <c r="D250" s="863">
        <f>'КМУ рентгенкабинет'!C361</f>
        <v>133.48604126017125</v>
      </c>
      <c r="E250" s="863">
        <f>D250*20.2%</f>
        <v>26.964180334554591</v>
      </c>
      <c r="F250" s="863">
        <f>'КМУ рентгенкабинет'!I361</f>
        <v>83.8536</v>
      </c>
      <c r="G250" s="863">
        <f>'КМУ рентгенкабинет'!N361</f>
        <v>0.49353301565690938</v>
      </c>
      <c r="H250" s="863">
        <f>'КМУ рентгенкабинет'!S361</f>
        <v>0.35954794140634844</v>
      </c>
      <c r="I250" s="863">
        <f>'КМУ рентгенкабинет'!Y361</f>
        <v>23.266383874139621</v>
      </c>
      <c r="J250" s="863">
        <f>'КМУ рентгенкабинет'!Z361</f>
        <v>349.00065347052077</v>
      </c>
      <c r="K250" s="863">
        <f t="shared" si="83"/>
        <v>594.1575560223099</v>
      </c>
      <c r="L250" s="863">
        <f t="shared" si="81"/>
        <v>5.9415755602230993</v>
      </c>
      <c r="M250" s="952">
        <f t="shared" si="82"/>
        <v>600.099131582533</v>
      </c>
      <c r="N250" s="865"/>
      <c r="O250" s="700">
        <v>543</v>
      </c>
      <c r="P250" s="970"/>
      <c r="R250" s="868">
        <f t="shared" si="76"/>
        <v>110.51549384577035</v>
      </c>
    </row>
    <row r="251" spans="1:18" ht="15.6" x14ac:dyDescent="0.3">
      <c r="A251" s="703" t="s">
        <v>1983</v>
      </c>
      <c r="B251" s="703" t="s">
        <v>1983</v>
      </c>
      <c r="C251" s="695" t="s">
        <v>1644</v>
      </c>
      <c r="D251" s="863">
        <f>'КМУ рентгенкабинет'!C461</f>
        <v>133.48604126017125</v>
      </c>
      <c r="E251" s="863">
        <f t="shared" ref="E251" si="84">D251*20.2%</f>
        <v>26.964180334554591</v>
      </c>
      <c r="F251" s="863">
        <f>'КМУ рентгенкабинет'!I461</f>
        <v>83.8536</v>
      </c>
      <c r="G251" s="863">
        <f>'КМУ рентгенкабинет'!N461</f>
        <v>0.49353301565690938</v>
      </c>
      <c r="H251" s="863">
        <f>'КМУ рентгенкабинет'!S461</f>
        <v>0.35954794140634844</v>
      </c>
      <c r="I251" s="863">
        <f>'КМУ рентгенкабинет'!Y461</f>
        <v>23.266383874139621</v>
      </c>
      <c r="J251" s="863">
        <f>'КМУ рентгенкабинет'!Z461</f>
        <v>349.00065347052077</v>
      </c>
      <c r="K251" s="863">
        <f t="shared" si="83"/>
        <v>594.1575560223099</v>
      </c>
      <c r="L251" s="863">
        <f t="shared" si="81"/>
        <v>5.9415755602230993</v>
      </c>
      <c r="M251" s="952">
        <f t="shared" si="82"/>
        <v>600.099131582533</v>
      </c>
      <c r="N251" s="865"/>
      <c r="O251" s="700">
        <v>543</v>
      </c>
      <c r="P251" s="970"/>
      <c r="R251" s="868">
        <f t="shared" si="76"/>
        <v>110.51549384577035</v>
      </c>
    </row>
    <row r="252" spans="1:18" ht="15.6" x14ac:dyDescent="0.3">
      <c r="A252" s="703" t="s">
        <v>1984</v>
      </c>
      <c r="B252" s="703" t="s">
        <v>1984</v>
      </c>
      <c r="C252" s="695" t="s">
        <v>1674</v>
      </c>
      <c r="D252" s="863">
        <f>'КМУ рентгенкабинет'!C501</f>
        <v>72.348051582088885</v>
      </c>
      <c r="E252" s="863">
        <f t="shared" si="80"/>
        <v>14.614306419581954</v>
      </c>
      <c r="F252" s="863">
        <f>'КМУ рентгенкабинет'!I501</f>
        <v>83.8536</v>
      </c>
      <c r="G252" s="863">
        <f>'КМУ рентгенкабинет'!N501</f>
        <v>0.27418500869828294</v>
      </c>
      <c r="H252" s="863">
        <f>'КМУ рентгенкабинет'!S501</f>
        <v>0.17977397070317422</v>
      </c>
      <c r="I252" s="863">
        <f>'КМУ рентгенкабинет'!Y501</f>
        <v>11.63319193706981</v>
      </c>
      <c r="J252" s="863">
        <f>'КМУ рентгенкабинет'!Z501</f>
        <v>237.80837118927158</v>
      </c>
      <c r="K252" s="863">
        <f t="shared" si="83"/>
        <v>409.07828817034385</v>
      </c>
      <c r="L252" s="863">
        <f t="shared" si="81"/>
        <v>4.0907828817034382</v>
      </c>
      <c r="M252" s="952">
        <f t="shared" si="82"/>
        <v>413.16907105204729</v>
      </c>
      <c r="N252" s="865"/>
      <c r="O252" s="700">
        <v>383</v>
      </c>
      <c r="P252" s="970"/>
      <c r="R252" s="868">
        <f t="shared" si="76"/>
        <v>107.8770420501429</v>
      </c>
    </row>
    <row r="253" spans="1:18" ht="15.6" x14ac:dyDescent="0.3">
      <c r="A253" s="703" t="s">
        <v>1986</v>
      </c>
      <c r="B253" s="703" t="s">
        <v>1986</v>
      </c>
      <c r="C253" s="695" t="s">
        <v>1985</v>
      </c>
      <c r="D253" s="863">
        <f>'КМУ рентгенкабинет'!C521</f>
        <v>72.348051582088885</v>
      </c>
      <c r="E253" s="863">
        <f t="shared" si="80"/>
        <v>14.614306419581954</v>
      </c>
      <c r="F253" s="863">
        <f>'КМУ рентгенкабинет'!I521</f>
        <v>83.8536</v>
      </c>
      <c r="G253" s="863">
        <f>'КМУ рентгенкабинет'!N521</f>
        <v>0.27418500869828294</v>
      </c>
      <c r="H253" s="863">
        <f>'КМУ рентгенкабинет'!S521</f>
        <v>0.17977397070317422</v>
      </c>
      <c r="I253" s="863">
        <f>'КМУ рентгенкабинет'!Y521</f>
        <v>11.63319193706981</v>
      </c>
      <c r="J253" s="863">
        <f>'КМУ рентгенкабинет'!Z521</f>
        <v>237.80837118927158</v>
      </c>
      <c r="K253" s="863">
        <f t="shared" si="83"/>
        <v>409.07828817034385</v>
      </c>
      <c r="L253" s="863">
        <f t="shared" si="81"/>
        <v>4.0907828817034382</v>
      </c>
      <c r="M253" s="952">
        <f t="shared" si="82"/>
        <v>413.16907105204729</v>
      </c>
      <c r="N253" s="865"/>
      <c r="O253" s="700">
        <v>383</v>
      </c>
      <c r="P253" s="970"/>
      <c r="R253" s="868">
        <f t="shared" si="76"/>
        <v>107.8770420501429</v>
      </c>
    </row>
    <row r="254" spans="1:18" ht="15.6" x14ac:dyDescent="0.3">
      <c r="A254" s="703" t="s">
        <v>1987</v>
      </c>
      <c r="B254" s="703" t="s">
        <v>1987</v>
      </c>
      <c r="C254" s="695" t="s">
        <v>1675</v>
      </c>
      <c r="D254" s="863">
        <f>'КМУ рентгенкабинет'!C511</f>
        <v>72.348051582088885</v>
      </c>
      <c r="E254" s="863">
        <f t="shared" si="80"/>
        <v>14.614306419581954</v>
      </c>
      <c r="F254" s="863">
        <f>'КМУ рентгенкабинет'!I511</f>
        <v>83.8536</v>
      </c>
      <c r="G254" s="863">
        <f>'КМУ рентгенкабинет'!N511</f>
        <v>0.27418500869828294</v>
      </c>
      <c r="H254" s="863">
        <f>'КМУ рентгенкабинет'!S511</f>
        <v>0.17977397070317422</v>
      </c>
      <c r="I254" s="863">
        <f>'КМУ рентгенкабинет'!Y511</f>
        <v>11.63319193706981</v>
      </c>
      <c r="J254" s="863">
        <f>'КМУ рентгенкабинет'!Z511</f>
        <v>237.80837118927158</v>
      </c>
      <c r="K254" s="863">
        <f t="shared" si="83"/>
        <v>409.07828817034385</v>
      </c>
      <c r="L254" s="863">
        <f t="shared" si="81"/>
        <v>4.0907828817034382</v>
      </c>
      <c r="M254" s="952">
        <f t="shared" si="82"/>
        <v>413.16907105204729</v>
      </c>
      <c r="N254" s="865"/>
      <c r="O254" s="700">
        <v>383</v>
      </c>
      <c r="P254" s="970"/>
      <c r="R254" s="868">
        <f t="shared" si="76"/>
        <v>107.8770420501429</v>
      </c>
    </row>
    <row r="255" spans="1:18" ht="15.6" x14ac:dyDescent="0.3">
      <c r="A255" s="703" t="s">
        <v>1988</v>
      </c>
      <c r="B255" s="703" t="s">
        <v>1988</v>
      </c>
      <c r="C255" s="695" t="s">
        <v>1717</v>
      </c>
      <c r="D255" s="863">
        <f>'КМУ рентгенкабинет'!C551</f>
        <v>122.27597935616471</v>
      </c>
      <c r="E255" s="863">
        <f t="shared" si="80"/>
        <v>24.69974782994527</v>
      </c>
      <c r="F255" s="863">
        <f>'КМУ рентгенкабинет'!I551</f>
        <v>83.8536</v>
      </c>
      <c r="G255" s="863">
        <f>'КМУ рентгенкабинет'!N551</f>
        <v>0.43869601391725277</v>
      </c>
      <c r="H255" s="863">
        <f>'КМУ рентгенкабинет'!S551</f>
        <v>0.35954794140634844</v>
      </c>
      <c r="I255" s="863">
        <f>'КМУ рентгенкабинет'!Y551</f>
        <v>23.266383874139621</v>
      </c>
      <c r="J255" s="863">
        <f>'КМУ рентгенкабинет'!Z551</f>
        <v>331.40998327903469</v>
      </c>
      <c r="K255" s="863">
        <f t="shared" si="83"/>
        <v>563.03755442046827</v>
      </c>
      <c r="L255" s="863">
        <f t="shared" si="81"/>
        <v>5.630375544204683</v>
      </c>
      <c r="M255" s="952">
        <f t="shared" si="82"/>
        <v>568.66792996467291</v>
      </c>
      <c r="N255" s="865"/>
      <c r="O255" s="700">
        <v>514</v>
      </c>
      <c r="P255" s="970"/>
      <c r="R255" s="868">
        <f t="shared" si="76"/>
        <v>110.63578403981964</v>
      </c>
    </row>
    <row r="256" spans="1:18" ht="15.6" x14ac:dyDescent="0.3">
      <c r="A256" s="703" t="s">
        <v>1989</v>
      </c>
      <c r="B256" s="703" t="s">
        <v>1989</v>
      </c>
      <c r="C256" s="695" t="s">
        <v>1680</v>
      </c>
      <c r="D256" s="863">
        <f>'КМУ рентгенкабинет'!C561</f>
        <v>72.348051582088885</v>
      </c>
      <c r="E256" s="863">
        <f t="shared" si="80"/>
        <v>14.614306419581954</v>
      </c>
      <c r="F256" s="863">
        <f>'КМУ рентгенкабинет'!I561</f>
        <v>83.8536</v>
      </c>
      <c r="G256" s="863">
        <f>'КМУ рентгенкабинет'!N561</f>
        <v>0.27418500869828294</v>
      </c>
      <c r="H256" s="863">
        <f>'КМУ рентгенкабинет'!S561</f>
        <v>0.17977397070317422</v>
      </c>
      <c r="I256" s="863">
        <f>'КМУ рентгенкабинет'!Y561</f>
        <v>11.63319193706981</v>
      </c>
      <c r="J256" s="863">
        <f>'КМУ рентгенкабинет'!Z561</f>
        <v>237.80837118927158</v>
      </c>
      <c r="K256" s="863">
        <f t="shared" si="83"/>
        <v>409.07828817034385</v>
      </c>
      <c r="L256" s="863">
        <f t="shared" si="81"/>
        <v>4.0907828817034382</v>
      </c>
      <c r="M256" s="952">
        <f t="shared" si="82"/>
        <v>413.16907105204729</v>
      </c>
      <c r="N256" s="865"/>
      <c r="O256" s="700">
        <v>383</v>
      </c>
      <c r="P256" s="970"/>
      <c r="R256" s="868">
        <f t="shared" si="76"/>
        <v>107.8770420501429</v>
      </c>
    </row>
    <row r="257" spans="1:18" ht="15.6" x14ac:dyDescent="0.3">
      <c r="A257" s="703" t="s">
        <v>1990</v>
      </c>
      <c r="B257" s="703" t="s">
        <v>1990</v>
      </c>
      <c r="C257" s="695" t="s">
        <v>1991</v>
      </c>
      <c r="D257" s="863">
        <f>'КМУ рентгенкабинет'!C581</f>
        <v>72.348051582088885</v>
      </c>
      <c r="E257" s="863">
        <f t="shared" si="80"/>
        <v>14.614306419581954</v>
      </c>
      <c r="F257" s="863">
        <f>'КМУ рентгенкабинет'!I581</f>
        <v>83.8536</v>
      </c>
      <c r="G257" s="863">
        <f>'КМУ рентгенкабинет'!N581</f>
        <v>0.27418500869828294</v>
      </c>
      <c r="H257" s="863">
        <f>'КМУ рентгенкабинет'!S581</f>
        <v>0.17977397070317422</v>
      </c>
      <c r="I257" s="863">
        <f>'КМУ рентгенкабинет'!Y581</f>
        <v>11.63319193706981</v>
      </c>
      <c r="J257" s="863">
        <f>'КМУ рентгенкабинет'!Z581</f>
        <v>237.80837118927158</v>
      </c>
      <c r="K257" s="863">
        <f t="shared" si="83"/>
        <v>409.07828817034385</v>
      </c>
      <c r="L257" s="863">
        <f t="shared" si="81"/>
        <v>4.0907828817034382</v>
      </c>
      <c r="M257" s="952">
        <f t="shared" si="82"/>
        <v>413.16907105204729</v>
      </c>
      <c r="N257" s="865"/>
      <c r="O257" s="700">
        <v>383</v>
      </c>
      <c r="P257" s="970"/>
      <c r="R257" s="868">
        <f t="shared" si="76"/>
        <v>107.8770420501429</v>
      </c>
    </row>
    <row r="258" spans="1:18" ht="15.6" x14ac:dyDescent="0.3">
      <c r="A258" s="703" t="s">
        <v>1993</v>
      </c>
      <c r="B258" s="703" t="s">
        <v>1993</v>
      </c>
      <c r="C258" s="695" t="s">
        <v>1992</v>
      </c>
      <c r="D258" s="863">
        <f>'КМУ рентгенкабинет'!C601</f>
        <v>61.137989678082356</v>
      </c>
      <c r="E258" s="863">
        <f t="shared" si="80"/>
        <v>12.349873914972635</v>
      </c>
      <c r="F258" s="863">
        <f>'КМУ рентгенкабинет'!I601</f>
        <v>83.8536</v>
      </c>
      <c r="G258" s="863">
        <f>'КМУ рентгенкабинет'!N601</f>
        <v>0.21934800695862638</v>
      </c>
      <c r="H258" s="971">
        <f>'КМУ рентгенкабинет'!S601</f>
        <v>0</v>
      </c>
      <c r="I258" s="971">
        <f>'КМУ рентгенкабинет'!Y601</f>
        <v>11.63319193706981</v>
      </c>
      <c r="J258" s="863">
        <f>'КМУ рентгенкабинет'!Z601</f>
        <v>219.9839610935924</v>
      </c>
      <c r="K258" s="863">
        <f t="shared" si="83"/>
        <v>377.54477269360598</v>
      </c>
      <c r="L258" s="863">
        <f t="shared" si="81"/>
        <v>3.77544772693606</v>
      </c>
      <c r="M258" s="952">
        <f t="shared" si="82"/>
        <v>381.32022042054206</v>
      </c>
      <c r="N258" s="865"/>
      <c r="O258" s="700">
        <v>357</v>
      </c>
      <c r="P258" s="970"/>
      <c r="R258" s="868">
        <f t="shared" si="76"/>
        <v>106.81238667242074</v>
      </c>
    </row>
    <row r="259" spans="1:18" ht="21.9" customHeight="1" x14ac:dyDescent="0.3">
      <c r="A259" s="1172" t="s">
        <v>280</v>
      </c>
      <c r="B259" s="1172"/>
      <c r="C259" s="1172"/>
      <c r="E259" s="701"/>
      <c r="I259" s="701"/>
      <c r="J259" s="701"/>
      <c r="K259" s="701"/>
      <c r="L259" s="696"/>
      <c r="M259" s="707"/>
      <c r="N259" s="966"/>
      <c r="P259" s="866"/>
      <c r="Q259" s="964"/>
      <c r="R259" s="868"/>
    </row>
    <row r="260" spans="1:18" ht="15.6" x14ac:dyDescent="0.3">
      <c r="A260" s="694" t="s">
        <v>2014</v>
      </c>
      <c r="B260" s="694" t="str">
        <f>Прейскурант!A264</f>
        <v>A17.24.002.000</v>
      </c>
      <c r="C260" s="695" t="s">
        <v>2202</v>
      </c>
      <c r="D260" s="696">
        <f>'КМУ параклиника '!C8</f>
        <v>35.092367699498666</v>
      </c>
      <c r="E260" s="696">
        <f>D260*20.2%</f>
        <v>7.0886582752987302</v>
      </c>
      <c r="F260" s="696">
        <f>'КМУ параклиника '!I8</f>
        <v>2.1736</v>
      </c>
      <c r="G260" s="696">
        <f>'КМУ параклиника '!N8</f>
        <v>0.12012645587741469</v>
      </c>
      <c r="H260" s="696">
        <f>'КМУ параклиника '!S8</f>
        <v>1.9669000525794882</v>
      </c>
      <c r="I260" s="696">
        <f>'КМУ параклиника '!Y8</f>
        <v>4.2472967570827658</v>
      </c>
      <c r="J260" s="696">
        <f>'КМУ параклиника '!Z8</f>
        <v>65.905147962985595</v>
      </c>
      <c r="K260" s="696">
        <f t="shared" ref="K260:K281" si="85">D260+I260+H260+G260+F260+E260+J260</f>
        <v>116.59409720332266</v>
      </c>
      <c r="L260" s="696">
        <f>K260*3%</f>
        <v>3.4978229160996799</v>
      </c>
      <c r="M260" s="864">
        <f t="shared" ref="M260:M275" si="86">K260+L260</f>
        <v>120.09192011942234</v>
      </c>
      <c r="N260" s="865"/>
      <c r="O260" s="700">
        <v>110</v>
      </c>
      <c r="P260" s="866"/>
      <c r="R260" s="868">
        <f t="shared" si="76"/>
        <v>109.1744728358385</v>
      </c>
    </row>
    <row r="261" spans="1:18" ht="15.6" x14ac:dyDescent="0.3">
      <c r="A261" s="694" t="s">
        <v>2016</v>
      </c>
      <c r="B261" s="694" t="str">
        <f>Прейскурант!A265</f>
        <v>A17.20.005.003</v>
      </c>
      <c r="C261" s="695" t="s">
        <v>2015</v>
      </c>
      <c r="D261" s="696">
        <f>'КМУ параклиника '!C58</f>
        <v>35.092367699498666</v>
      </c>
      <c r="E261" s="696">
        <f t="shared" ref="E261:E275" si="87">D261*20.2%</f>
        <v>7.0886582752987302</v>
      </c>
      <c r="F261" s="696">
        <f>'КМУ параклиника '!I58</f>
        <v>2.1736</v>
      </c>
      <c r="G261" s="696">
        <f>'КМУ параклиника '!N58</f>
        <v>0.12012645587741469</v>
      </c>
      <c r="H261" s="696">
        <f>'КМУ параклиника '!S58</f>
        <v>4.0757363061363364E-2</v>
      </c>
      <c r="I261" s="696">
        <f>'КМУ параклиника '!Y58</f>
        <v>4.2472967570827658</v>
      </c>
      <c r="J261" s="696">
        <f>'КМУ параклиника '!Z48</f>
        <v>94.776621306586648</v>
      </c>
      <c r="K261" s="696">
        <f t="shared" si="85"/>
        <v>143.5394278574056</v>
      </c>
      <c r="L261" s="696">
        <f>K261*20%</f>
        <v>28.707885571481121</v>
      </c>
      <c r="M261" s="864">
        <f t="shared" si="86"/>
        <v>172.24731342888671</v>
      </c>
      <c r="N261" s="865"/>
      <c r="O261" s="700">
        <v>169</v>
      </c>
      <c r="P261" s="866"/>
      <c r="R261" s="868">
        <f t="shared" si="76"/>
        <v>101.92148723602763</v>
      </c>
    </row>
    <row r="262" spans="1:18" ht="15.6" x14ac:dyDescent="0.3">
      <c r="A262" s="694" t="s">
        <v>2008</v>
      </c>
      <c r="B262" s="694" t="str">
        <f>Прейскурант!A266</f>
        <v>A17.09.002.001</v>
      </c>
      <c r="C262" s="695" t="s">
        <v>1755</v>
      </c>
      <c r="D262" s="696">
        <f>'КМУ параклиника '!C129</f>
        <v>23.394911799665778</v>
      </c>
      <c r="E262" s="696">
        <f t="shared" si="87"/>
        <v>4.7257721835324871</v>
      </c>
      <c r="F262" s="696">
        <f>'КМУ параклиника '!I129</f>
        <v>9.2745999999999995</v>
      </c>
      <c r="G262" s="696">
        <f>'КМУ параклиника '!N129</f>
        <v>8.0084303918276464E-2</v>
      </c>
      <c r="H262" s="696">
        <f>'КМУ параклиника '!S129</f>
        <v>0.93453010948905135</v>
      </c>
      <c r="I262" s="696">
        <f>'КМУ параклиника '!Y129</f>
        <v>4.2472967570827658</v>
      </c>
      <c r="J262" s="696">
        <f>'КМУ параклиника '!Z129</f>
        <v>55.462360147970763</v>
      </c>
      <c r="K262" s="696">
        <f t="shared" si="85"/>
        <v>98.119555301659119</v>
      </c>
      <c r="L262" s="696">
        <f>K262*1%</f>
        <v>0.98119555301659123</v>
      </c>
      <c r="M262" s="864">
        <f t="shared" si="86"/>
        <v>99.100750854675709</v>
      </c>
      <c r="N262" s="865"/>
      <c r="O262" s="700">
        <v>87</v>
      </c>
      <c r="P262" s="866"/>
      <c r="R262" s="868">
        <f t="shared" si="76"/>
        <v>113.90890902836288</v>
      </c>
    </row>
    <row r="263" spans="1:18" ht="15.6" x14ac:dyDescent="0.3">
      <c r="A263" s="694" t="s">
        <v>2020</v>
      </c>
      <c r="B263" s="694" t="str">
        <f>Прейскурант!A267</f>
        <v>А17.08.001.000</v>
      </c>
      <c r="C263" s="695" t="s">
        <v>1756</v>
      </c>
      <c r="D263" s="696">
        <f>'КМУ параклиника '!C18</f>
        <v>46.789823599331555</v>
      </c>
      <c r="E263" s="696">
        <f t="shared" si="87"/>
        <v>9.4515443670649741</v>
      </c>
      <c r="F263" s="696">
        <f>'КМУ параклиника '!I18</f>
        <v>11.701599999999999</v>
      </c>
      <c r="G263" s="696">
        <f>'КМУ параклиника '!N18</f>
        <v>0.16016860783655293</v>
      </c>
      <c r="H263" s="696">
        <f>'КМУ параклиника '!S18</f>
        <v>2.6225334034393177</v>
      </c>
      <c r="I263" s="696">
        <f>'КМУ параклиника '!Y18</f>
        <v>4.2472967570827658</v>
      </c>
      <c r="J263" s="696">
        <f>'КМУ параклиника '!Z18</f>
        <v>97.478928640841147</v>
      </c>
      <c r="K263" s="696">
        <f t="shared" si="85"/>
        <v>172.45189537559631</v>
      </c>
      <c r="L263" s="696">
        <f t="shared" ref="L263:L275" si="88">K263*3%</f>
        <v>5.1735568612678895</v>
      </c>
      <c r="M263" s="864">
        <f t="shared" si="86"/>
        <v>177.62545223686419</v>
      </c>
      <c r="N263" s="865"/>
      <c r="O263" s="700">
        <v>152</v>
      </c>
      <c r="P263" s="866"/>
      <c r="R263" s="868">
        <f t="shared" si="76"/>
        <v>116.8588501558317</v>
      </c>
    </row>
    <row r="264" spans="1:18" ht="15.6" x14ac:dyDescent="0.3">
      <c r="A264" s="694" t="s">
        <v>2021</v>
      </c>
      <c r="B264" s="694" t="str">
        <f>Прейскурант!A268</f>
        <v>A17.23.001.000</v>
      </c>
      <c r="C264" s="695" t="s">
        <v>1757</v>
      </c>
      <c r="D264" s="696">
        <f>D263</f>
        <v>46.789823599331555</v>
      </c>
      <c r="E264" s="696">
        <f t="shared" ref="E264:K264" si="89">E263</f>
        <v>9.4515443670649741</v>
      </c>
      <c r="F264" s="696">
        <f t="shared" si="89"/>
        <v>11.701599999999999</v>
      </c>
      <c r="G264" s="696">
        <f t="shared" si="89"/>
        <v>0.16016860783655293</v>
      </c>
      <c r="H264" s="696">
        <f t="shared" si="89"/>
        <v>2.6225334034393177</v>
      </c>
      <c r="I264" s="696">
        <f t="shared" si="89"/>
        <v>4.2472967570827658</v>
      </c>
      <c r="J264" s="696">
        <f t="shared" si="89"/>
        <v>97.478928640841147</v>
      </c>
      <c r="K264" s="696">
        <f t="shared" si="89"/>
        <v>172.45189537559631</v>
      </c>
      <c r="L264" s="696">
        <f t="shared" si="88"/>
        <v>5.1735568612678895</v>
      </c>
      <c r="M264" s="864">
        <f t="shared" si="86"/>
        <v>177.62545223686419</v>
      </c>
      <c r="N264" s="865"/>
      <c r="O264" s="700">
        <v>148</v>
      </c>
      <c r="P264" s="866"/>
      <c r="R264" s="868">
        <f t="shared" si="76"/>
        <v>120.01719745734067</v>
      </c>
    </row>
    <row r="265" spans="1:18" ht="15.6" x14ac:dyDescent="0.3">
      <c r="A265" s="694" t="s">
        <v>2022</v>
      </c>
      <c r="B265" s="694" t="str">
        <f>Прейскурант!A269</f>
        <v>А17.24.005.000</v>
      </c>
      <c r="C265" s="695" t="s">
        <v>1758</v>
      </c>
      <c r="D265" s="696">
        <f>D263</f>
        <v>46.789823599331555</v>
      </c>
      <c r="E265" s="696">
        <f t="shared" ref="E265:K265" si="90">E263</f>
        <v>9.4515443670649741</v>
      </c>
      <c r="F265" s="696">
        <f t="shared" si="90"/>
        <v>11.701599999999999</v>
      </c>
      <c r="G265" s="696">
        <f t="shared" si="90"/>
        <v>0.16016860783655293</v>
      </c>
      <c r="H265" s="696">
        <f t="shared" si="90"/>
        <v>2.6225334034393177</v>
      </c>
      <c r="I265" s="696">
        <f t="shared" si="90"/>
        <v>4.2472967570827658</v>
      </c>
      <c r="J265" s="696">
        <f t="shared" si="90"/>
        <v>97.478928640841147</v>
      </c>
      <c r="K265" s="696">
        <f t="shared" si="90"/>
        <v>172.45189537559631</v>
      </c>
      <c r="L265" s="696">
        <f t="shared" si="88"/>
        <v>5.1735568612678895</v>
      </c>
      <c r="M265" s="864">
        <f t="shared" si="86"/>
        <v>177.62545223686419</v>
      </c>
      <c r="N265" s="865"/>
      <c r="O265" s="700">
        <v>148</v>
      </c>
      <c r="P265" s="866"/>
      <c r="R265" s="868">
        <f t="shared" si="76"/>
        <v>120.01719745734067</v>
      </c>
    </row>
    <row r="266" spans="1:18" ht="15.6" x14ac:dyDescent="0.3">
      <c r="A266" s="694" t="s">
        <v>2023</v>
      </c>
      <c r="B266" s="694" t="str">
        <f>Прейскурант!A270</f>
        <v>А17.28.001.000</v>
      </c>
      <c r="C266" s="695" t="s">
        <v>1759</v>
      </c>
      <c r="D266" s="696">
        <f>D263</f>
        <v>46.789823599331555</v>
      </c>
      <c r="E266" s="696">
        <f t="shared" ref="E266:K266" si="91">E263</f>
        <v>9.4515443670649741</v>
      </c>
      <c r="F266" s="696">
        <f t="shared" si="91"/>
        <v>11.701599999999999</v>
      </c>
      <c r="G266" s="696">
        <f t="shared" si="91"/>
        <v>0.16016860783655293</v>
      </c>
      <c r="H266" s="696">
        <f t="shared" si="91"/>
        <v>2.6225334034393177</v>
      </c>
      <c r="I266" s="696">
        <f t="shared" si="91"/>
        <v>4.2472967570827658</v>
      </c>
      <c r="J266" s="696">
        <f t="shared" si="91"/>
        <v>97.478928640841147</v>
      </c>
      <c r="K266" s="696">
        <f t="shared" si="91"/>
        <v>172.45189537559631</v>
      </c>
      <c r="L266" s="696">
        <f t="shared" si="88"/>
        <v>5.1735568612678895</v>
      </c>
      <c r="M266" s="864">
        <f t="shared" si="86"/>
        <v>177.62545223686419</v>
      </c>
      <c r="N266" s="865"/>
      <c r="O266" s="700">
        <v>148</v>
      </c>
      <c r="P266" s="866"/>
      <c r="R266" s="868">
        <f t="shared" si="76"/>
        <v>120.01719745734067</v>
      </c>
    </row>
    <row r="267" spans="1:18" ht="15.6" x14ac:dyDescent="0.3">
      <c r="A267" s="694" t="s">
        <v>2024</v>
      </c>
      <c r="B267" s="694" t="str">
        <f>Прейскурант!A271</f>
        <v>А17.30.024.000</v>
      </c>
      <c r="C267" s="695" t="s">
        <v>1760</v>
      </c>
      <c r="D267" s="696">
        <f>D263</f>
        <v>46.789823599331555</v>
      </c>
      <c r="E267" s="696">
        <f t="shared" ref="E267:K267" si="92">E263</f>
        <v>9.4515443670649741</v>
      </c>
      <c r="F267" s="696">
        <f t="shared" si="92"/>
        <v>11.701599999999999</v>
      </c>
      <c r="G267" s="696">
        <f t="shared" si="92"/>
        <v>0.16016860783655293</v>
      </c>
      <c r="H267" s="696">
        <f t="shared" si="92"/>
        <v>2.6225334034393177</v>
      </c>
      <c r="I267" s="696">
        <f t="shared" si="92"/>
        <v>4.2472967570827658</v>
      </c>
      <c r="J267" s="696">
        <f t="shared" si="92"/>
        <v>97.478928640841147</v>
      </c>
      <c r="K267" s="696">
        <f t="shared" si="92"/>
        <v>172.45189537559631</v>
      </c>
      <c r="L267" s="696">
        <f t="shared" si="88"/>
        <v>5.1735568612678895</v>
      </c>
      <c r="M267" s="864">
        <f t="shared" si="86"/>
        <v>177.62545223686419</v>
      </c>
      <c r="N267" s="865"/>
      <c r="O267" s="700">
        <v>148</v>
      </c>
      <c r="P267" s="866"/>
      <c r="R267" s="868">
        <f t="shared" si="76"/>
        <v>120.01719745734067</v>
      </c>
    </row>
    <row r="268" spans="1:18" ht="15.6" x14ac:dyDescent="0.3">
      <c r="A268" s="694" t="s">
        <v>2009</v>
      </c>
      <c r="B268" s="694" t="str">
        <f>Прейскурант!A272</f>
        <v>A17.30.019.000</v>
      </c>
      <c r="C268" s="695" t="s">
        <v>1761</v>
      </c>
      <c r="D268" s="696">
        <f>'КМУ параклиника '!C78</f>
        <v>46.789823599331555</v>
      </c>
      <c r="E268" s="696">
        <f t="shared" si="87"/>
        <v>9.4515443670649741</v>
      </c>
      <c r="F268" s="696">
        <f>'КМУ параклиника '!I78</f>
        <v>2.1736</v>
      </c>
      <c r="G268" s="696">
        <f>'КМУ параклиника '!N78</f>
        <v>0.16016860783655293</v>
      </c>
      <c r="H268" s="696">
        <f>'КМУ параклиника '!S78</f>
        <v>1.3760876737185039</v>
      </c>
      <c r="I268" s="696">
        <f>'КМУ параклиника '!Y78</f>
        <v>4.2472967570827658</v>
      </c>
      <c r="J268" s="696">
        <f>'КМУ параклиника '!Z78</f>
        <v>83.470126906372855</v>
      </c>
      <c r="K268" s="696">
        <f t="shared" si="85"/>
        <v>147.66864791140722</v>
      </c>
      <c r="L268" s="696">
        <f t="shared" si="88"/>
        <v>4.4300594373422166</v>
      </c>
      <c r="M268" s="864">
        <f t="shared" si="86"/>
        <v>152.09870734874943</v>
      </c>
      <c r="N268" s="865"/>
      <c r="O268" s="700">
        <v>138</v>
      </c>
      <c r="P268" s="866"/>
      <c r="R268" s="868">
        <f t="shared" si="76"/>
        <v>110.21645460054306</v>
      </c>
    </row>
    <row r="269" spans="1:18" ht="15.6" x14ac:dyDescent="0.3">
      <c r="A269" s="694"/>
      <c r="B269" s="694" t="str">
        <f>Прейскурант!A273</f>
        <v>A17.07.013.000</v>
      </c>
      <c r="C269" s="695" t="s">
        <v>2204</v>
      </c>
      <c r="D269" s="696">
        <f>'КМУ параклиника '!C139</f>
        <v>46.789823599331555</v>
      </c>
      <c r="E269" s="696">
        <f>'КМУ параклиника '!D139</f>
        <v>9.4515443670649741</v>
      </c>
      <c r="F269" s="696">
        <f>'КМУ параклиника '!I139</f>
        <v>2.1736</v>
      </c>
      <c r="G269" s="696">
        <f>'КМУ параклиника '!N139</f>
        <v>0.16016860783655293</v>
      </c>
      <c r="H269" s="696">
        <f>'КМУ параклиника '!S139</f>
        <v>2.6362942801765024</v>
      </c>
      <c r="I269" s="696">
        <f>'КМУ параклиника '!Y139</f>
        <v>4.2472967570827658</v>
      </c>
      <c r="J269" s="696">
        <f>'КМУ параклиника '!Z139</f>
        <v>85.108632026468229</v>
      </c>
      <c r="K269" s="696">
        <f t="shared" si="85"/>
        <v>150.56735963796058</v>
      </c>
      <c r="L269" s="696">
        <f t="shared" si="88"/>
        <v>4.517020789138817</v>
      </c>
      <c r="M269" s="864">
        <f t="shared" si="86"/>
        <v>155.0843804270994</v>
      </c>
      <c r="N269" s="865"/>
      <c r="P269" s="866"/>
      <c r="R269" s="868"/>
    </row>
    <row r="270" spans="1:18" ht="15.6" x14ac:dyDescent="0.3">
      <c r="A270" s="694" t="s">
        <v>2017</v>
      </c>
      <c r="B270" s="694" t="str">
        <f>Прейскурант!A274</f>
        <v>A20.24.002.000</v>
      </c>
      <c r="C270" s="695" t="s">
        <v>1344</v>
      </c>
      <c r="D270" s="696">
        <f>'КМУ параклиника '!C149</f>
        <v>70.184735398997333</v>
      </c>
      <c r="E270" s="696">
        <f t="shared" si="87"/>
        <v>14.17731655059746</v>
      </c>
      <c r="F270" s="696">
        <f>'КМУ параклиника '!I149</f>
        <v>8.7736000000000018</v>
      </c>
      <c r="G270" s="696">
        <f>'КМУ параклиника '!N149</f>
        <v>0.24025291175482938</v>
      </c>
      <c r="H270" s="696">
        <f>'КМУ параклиника '!S149</f>
        <v>1.4537135036496354</v>
      </c>
      <c r="I270" s="696">
        <f>'КМУ параклиника '!Y149</f>
        <v>4.2472967570827658</v>
      </c>
      <c r="J270" s="696">
        <f>'КМУ параклиника '!Z149</f>
        <v>128.81858568180411</v>
      </c>
      <c r="K270" s="696">
        <f t="shared" si="85"/>
        <v>227.89550080388614</v>
      </c>
      <c r="L270" s="696">
        <f t="shared" si="88"/>
        <v>6.8368650241165838</v>
      </c>
      <c r="M270" s="864">
        <f t="shared" si="86"/>
        <v>234.73236582800271</v>
      </c>
      <c r="N270" s="865"/>
      <c r="O270" s="700">
        <v>210</v>
      </c>
      <c r="P270" s="866"/>
      <c r="R270" s="868">
        <f t="shared" si="76"/>
        <v>111.77731706095366</v>
      </c>
    </row>
    <row r="271" spans="1:18" ht="15.6" x14ac:dyDescent="0.3">
      <c r="A271" s="950" t="s">
        <v>2010</v>
      </c>
      <c r="B271" s="694" t="str">
        <f>Прейскурант!A275</f>
        <v>A17.30.004.000</v>
      </c>
      <c r="C271" s="695" t="s">
        <v>1762</v>
      </c>
      <c r="D271" s="696">
        <f>'КМУ параклиника '!C38</f>
        <v>70.184735398997333</v>
      </c>
      <c r="E271" s="696">
        <f t="shared" si="87"/>
        <v>14.17731655059746</v>
      </c>
      <c r="F271" s="696">
        <f>'КМУ параклиника '!I38</f>
        <v>2.1736</v>
      </c>
      <c r="G271" s="696">
        <f>'КМУ параклиника '!N38</f>
        <v>0.24025291175482938</v>
      </c>
      <c r="H271" s="696">
        <f>'КМУ параклиника '!S38</f>
        <v>5.1947671811208718</v>
      </c>
      <c r="I271" s="696">
        <f>'КМУ параклиника '!Y38</f>
        <v>4.2472967570827658</v>
      </c>
      <c r="J271" s="696">
        <f>'КМУ параклиника '!Z38</f>
        <v>125.10141885889131</v>
      </c>
      <c r="K271" s="696">
        <f t="shared" si="85"/>
        <v>221.31938765844455</v>
      </c>
      <c r="L271" s="696">
        <f t="shared" si="88"/>
        <v>6.6395816297533363</v>
      </c>
      <c r="M271" s="864">
        <f t="shared" si="86"/>
        <v>227.95896928819789</v>
      </c>
      <c r="N271" s="865"/>
      <c r="O271" s="700">
        <v>210</v>
      </c>
      <c r="P271" s="866"/>
      <c r="R271" s="868">
        <f t="shared" si="76"/>
        <v>108.55189013723709</v>
      </c>
    </row>
    <row r="272" spans="1:18" ht="15.6" x14ac:dyDescent="0.3">
      <c r="A272" s="694" t="s">
        <v>2011</v>
      </c>
      <c r="B272" s="694" t="str">
        <f>Прейскурант!A276</f>
        <v>A17.30.017.000</v>
      </c>
      <c r="C272" s="695" t="s">
        <v>1763</v>
      </c>
      <c r="D272" s="696">
        <f>'КМУ параклиника '!C68</f>
        <v>35.092367699498666</v>
      </c>
      <c r="E272" s="696">
        <f t="shared" si="87"/>
        <v>7.0886582752987302</v>
      </c>
      <c r="F272" s="696">
        <f>'КМУ параклиника '!I68</f>
        <v>6.3561000000000005</v>
      </c>
      <c r="G272" s="696">
        <f>'КМУ параклиника '!N68</f>
        <v>0.12012645587741469</v>
      </c>
      <c r="H272" s="696">
        <f>'КМУ параклиника '!S68</f>
        <v>4.9886256263144872</v>
      </c>
      <c r="I272" s="696">
        <f>'КМУ параклиника '!Y68</f>
        <v>4.2472967570827658</v>
      </c>
      <c r="J272" s="696">
        <f>'КМУ параклиника '!Z68</f>
        <v>75.271993390073249</v>
      </c>
      <c r="K272" s="696">
        <f t="shared" si="85"/>
        <v>133.16516820414529</v>
      </c>
      <c r="L272" s="696">
        <f t="shared" si="88"/>
        <v>3.9949550461243586</v>
      </c>
      <c r="M272" s="864">
        <f t="shared" si="86"/>
        <v>137.16012325026963</v>
      </c>
      <c r="N272" s="865"/>
      <c r="O272" s="700">
        <v>123</v>
      </c>
      <c r="P272" s="866"/>
      <c r="R272" s="868">
        <f t="shared" si="76"/>
        <v>111.51229532542246</v>
      </c>
    </row>
    <row r="273" spans="1:18" ht="15.6" x14ac:dyDescent="0.3">
      <c r="A273" s="694" t="s">
        <v>2012</v>
      </c>
      <c r="B273" s="694" t="str">
        <f>Прейскурант!A277</f>
        <v>A22.24.002.000</v>
      </c>
      <c r="C273" s="695" t="s">
        <v>1764</v>
      </c>
      <c r="D273" s="696">
        <f>'КМУ параклиника '!C109</f>
        <v>58.487279499164444</v>
      </c>
      <c r="E273" s="696">
        <f t="shared" si="87"/>
        <v>11.814430458831216</v>
      </c>
      <c r="F273" s="696">
        <f>'КМУ параклиника '!I109</f>
        <v>2.1736</v>
      </c>
      <c r="G273" s="696">
        <f>'КМУ параклиника '!N109</f>
        <v>0.20021075979569117</v>
      </c>
      <c r="H273" s="696">
        <f>'КМУ параклиника '!S109</f>
        <v>0.91632664233576644</v>
      </c>
      <c r="I273" s="696">
        <f>'КМУ параклиника '!Y109</f>
        <v>4.2472967570827658</v>
      </c>
      <c r="J273" s="696">
        <f>'КМУ параклиника '!Z109</f>
        <v>101.20549719887551</v>
      </c>
      <c r="K273" s="696">
        <f t="shared" si="85"/>
        <v>179.04464131608538</v>
      </c>
      <c r="L273" s="696">
        <f t="shared" si="88"/>
        <v>5.3713392394825608</v>
      </c>
      <c r="M273" s="864">
        <f t="shared" si="86"/>
        <v>184.41598055556793</v>
      </c>
      <c r="N273" s="865"/>
      <c r="O273" s="700">
        <v>170</v>
      </c>
      <c r="P273" s="866"/>
      <c r="R273" s="868">
        <f t="shared" si="76"/>
        <v>108.47998856209877</v>
      </c>
    </row>
    <row r="274" spans="1:18" ht="15.6" x14ac:dyDescent="0.3">
      <c r="A274" s="694" t="s">
        <v>2018</v>
      </c>
      <c r="B274" s="694" t="str">
        <f>Прейскурант!A278</f>
        <v>A22.07.005.000</v>
      </c>
      <c r="C274" s="695" t="s">
        <v>1362</v>
      </c>
      <c r="D274" s="696">
        <f>'КМУ параклиника '!C99</f>
        <v>35.092367699498666</v>
      </c>
      <c r="E274" s="696">
        <f t="shared" si="87"/>
        <v>7.0886582752987302</v>
      </c>
      <c r="F274" s="696">
        <f>'КМУ параклиника '!I99</f>
        <v>2.1736</v>
      </c>
      <c r="G274" s="696">
        <f>'КМУ параклиника '!N99</f>
        <v>0.13357025113540852</v>
      </c>
      <c r="H274" s="696">
        <f>'КМУ параклиника '!S99</f>
        <v>0.59072184677718675</v>
      </c>
      <c r="I274" s="696">
        <f>'КМУ параклиника '!Y99</f>
        <v>4.2472967570827658</v>
      </c>
      <c r="J274" s="696">
        <f>'КМУ параклиника '!Z99</f>
        <v>64.133337453847929</v>
      </c>
      <c r="K274" s="696">
        <f t="shared" si="85"/>
        <v>113.45955228364069</v>
      </c>
      <c r="L274" s="696">
        <f t="shared" si="88"/>
        <v>3.4037865685092208</v>
      </c>
      <c r="M274" s="864">
        <f t="shared" si="86"/>
        <v>116.86333885214991</v>
      </c>
      <c r="N274" s="865"/>
      <c r="O274" s="700">
        <v>107</v>
      </c>
      <c r="P274" s="866"/>
      <c r="R274" s="868">
        <f t="shared" si="76"/>
        <v>109.21807369359804</v>
      </c>
    </row>
    <row r="275" spans="1:18" ht="15.6" x14ac:dyDescent="0.3">
      <c r="A275" s="694" t="s">
        <v>2019</v>
      </c>
      <c r="B275" s="694" t="str">
        <f>Прейскурант!A279</f>
        <v>A17.30.034.000</v>
      </c>
      <c r="C275" s="695" t="s">
        <v>1471</v>
      </c>
      <c r="D275" s="696">
        <f>'КМУ параклиника '!C119</f>
        <v>58.487279499164444</v>
      </c>
      <c r="E275" s="696">
        <f t="shared" si="87"/>
        <v>11.814430458831216</v>
      </c>
      <c r="F275" s="696">
        <f>'КМУ параклиника '!I119</f>
        <v>2.1736</v>
      </c>
      <c r="G275" s="696">
        <f>'КМУ параклиника '!N119</f>
        <v>0.20021075979569117</v>
      </c>
      <c r="H275" s="696">
        <f>'КМУ параклиника '!S119</f>
        <v>7.6360553527980532E-2</v>
      </c>
      <c r="I275" s="696">
        <f>'КМУ параклиника '!Y119</f>
        <v>4.2472967570827658</v>
      </c>
      <c r="J275" s="696">
        <f>'КМУ параклиника '!Z119</f>
        <v>100.11338362784265</v>
      </c>
      <c r="K275" s="696">
        <f t="shared" si="85"/>
        <v>177.11256165624474</v>
      </c>
      <c r="L275" s="696">
        <f t="shared" si="88"/>
        <v>5.3133768496873417</v>
      </c>
      <c r="M275" s="864">
        <f t="shared" si="86"/>
        <v>182.42593850593207</v>
      </c>
      <c r="N275" s="865"/>
      <c r="O275" s="700">
        <v>170</v>
      </c>
      <c r="P275" s="866"/>
      <c r="R275" s="868">
        <f t="shared" si="76"/>
        <v>107.30937559172476</v>
      </c>
    </row>
    <row r="276" spans="1:18" ht="15.6" x14ac:dyDescent="0.3">
      <c r="A276" s="958"/>
      <c r="B276" s="694" t="str">
        <f>Прейскурант!A280</f>
        <v>А.17.30.035.000</v>
      </c>
      <c r="C276" s="692" t="s">
        <v>2191</v>
      </c>
      <c r="D276" s="696"/>
      <c r="E276" s="696"/>
      <c r="F276" s="696"/>
      <c r="G276" s="696"/>
      <c r="H276" s="696"/>
      <c r="I276" s="696"/>
      <c r="J276" s="696"/>
      <c r="K276" s="696"/>
      <c r="L276" s="696"/>
      <c r="M276" s="864"/>
      <c r="N276" s="865"/>
      <c r="P276" s="866"/>
      <c r="R276" s="868"/>
    </row>
    <row r="277" spans="1:18" ht="15.6" x14ac:dyDescent="0.3">
      <c r="A277" s="958"/>
      <c r="B277" s="694" t="str">
        <f>B276</f>
        <v>А.17.30.035.000</v>
      </c>
      <c r="C277" s="692" t="s">
        <v>2082</v>
      </c>
      <c r="D277" s="696">
        <f>'КМУ параклиника '!C159</f>
        <v>53.808297139231286</v>
      </c>
      <c r="E277" s="696">
        <f>'КМУ параклиника '!D159</f>
        <v>10.869276022124721</v>
      </c>
      <c r="F277" s="696">
        <f>'КМУ параклиника '!I159</f>
        <v>2.1736</v>
      </c>
      <c r="G277" s="696">
        <f>'КМУ параклиника '!N159</f>
        <v>0.18419389901203584</v>
      </c>
      <c r="H277" s="696">
        <f>'КМУ параклиника '!S159</f>
        <v>19.011737597426698</v>
      </c>
      <c r="I277" s="696">
        <f>'КМУ параклиника '!Y159</f>
        <v>4.2472967570827658</v>
      </c>
      <c r="J277" s="696">
        <f>'КМУ параклиника '!Z159</f>
        <v>117.39966944789533</v>
      </c>
      <c r="K277" s="696">
        <f t="shared" si="85"/>
        <v>207.69407086277283</v>
      </c>
      <c r="L277" s="696">
        <f>K277*1%</f>
        <v>2.0769407086277285</v>
      </c>
      <c r="M277" s="864">
        <f t="shared" ref="M277:M281" si="93">K277+L277</f>
        <v>209.77101157140055</v>
      </c>
      <c r="N277" s="865"/>
      <c r="P277" s="866"/>
      <c r="R277" s="868"/>
    </row>
    <row r="278" spans="1:18" ht="15.6" x14ac:dyDescent="0.3">
      <c r="A278" s="958"/>
      <c r="B278" s="694" t="str">
        <f t="shared" ref="B278:B281" si="94">B277</f>
        <v>А.17.30.035.000</v>
      </c>
      <c r="C278" s="692" t="s">
        <v>2083</v>
      </c>
      <c r="D278" s="696">
        <f>D277</f>
        <v>53.808297139231286</v>
      </c>
      <c r="E278" s="696">
        <f t="shared" ref="E278:J278" si="95">E277</f>
        <v>10.869276022124721</v>
      </c>
      <c r="F278" s="696">
        <f t="shared" si="95"/>
        <v>2.1736</v>
      </c>
      <c r="G278" s="696">
        <f t="shared" si="95"/>
        <v>0.18419389901203584</v>
      </c>
      <c r="H278" s="696">
        <f t="shared" si="95"/>
        <v>19.011737597426698</v>
      </c>
      <c r="I278" s="696">
        <f t="shared" si="95"/>
        <v>4.2472967570827658</v>
      </c>
      <c r="J278" s="696">
        <f t="shared" si="95"/>
        <v>117.39966944789533</v>
      </c>
      <c r="K278" s="696">
        <f t="shared" si="85"/>
        <v>207.69407086277283</v>
      </c>
      <c r="L278" s="696">
        <f t="shared" ref="L278:L281" si="96">K278*3%</f>
        <v>6.2308221258831846</v>
      </c>
      <c r="M278" s="864">
        <f t="shared" si="93"/>
        <v>213.92489298865601</v>
      </c>
      <c r="N278" s="865"/>
      <c r="P278" s="866"/>
      <c r="R278" s="868"/>
    </row>
    <row r="279" spans="1:18" ht="15.6" x14ac:dyDescent="0.3">
      <c r="A279" s="958"/>
      <c r="B279" s="694" t="str">
        <f t="shared" si="94"/>
        <v>А.17.30.035.000</v>
      </c>
      <c r="C279" s="692" t="s">
        <v>2084</v>
      </c>
      <c r="D279" s="696">
        <f>'КМУ параклиника '!C169</f>
        <v>60.826770679131023</v>
      </c>
      <c r="E279" s="696">
        <f>'КМУ параклиника '!D169</f>
        <v>12.287007677184468</v>
      </c>
      <c r="F279" s="696">
        <f>'КМУ параклиника '!I169</f>
        <v>2.1736</v>
      </c>
      <c r="G279" s="696">
        <f>'КМУ параклиника '!N169</f>
        <v>0.2082191901875188</v>
      </c>
      <c r="H279" s="696">
        <f>'КМУ параклиника '!S169</f>
        <v>19.011737597426698</v>
      </c>
      <c r="I279" s="696">
        <f>'КМУ параклиника '!Y169</f>
        <v>4.2472967570827658</v>
      </c>
      <c r="J279" s="696">
        <f>'КМУ параклиника '!Z169</f>
        <v>128.39955700417522</v>
      </c>
      <c r="K279" s="696">
        <f t="shared" si="85"/>
        <v>227.15418890518771</v>
      </c>
      <c r="L279" s="696">
        <f t="shared" si="96"/>
        <v>6.8146256671556307</v>
      </c>
      <c r="M279" s="864">
        <f t="shared" si="93"/>
        <v>233.96881457234335</v>
      </c>
      <c r="N279" s="865"/>
      <c r="P279" s="866"/>
      <c r="R279" s="868"/>
    </row>
    <row r="280" spans="1:18" ht="15.6" x14ac:dyDescent="0.3">
      <c r="A280" s="958"/>
      <c r="B280" s="694" t="str">
        <f t="shared" si="94"/>
        <v>А.17.30.035.000</v>
      </c>
      <c r="C280" s="692" t="s">
        <v>2085</v>
      </c>
      <c r="D280" s="696">
        <f>'КМУ параклиника '!C179</f>
        <v>23.394911799665778</v>
      </c>
      <c r="E280" s="696">
        <f>'КМУ параклиника '!D179</f>
        <v>4.7257721835324871</v>
      </c>
      <c r="F280" s="696">
        <f>'КМУ параклиника '!I179</f>
        <v>2.1736</v>
      </c>
      <c r="G280" s="696">
        <f>'КМУ параклиника '!N179</f>
        <v>8.0084303918276464E-2</v>
      </c>
      <c r="H280" s="696">
        <f>'КМУ параклиника '!S179</f>
        <v>19.011737597426698</v>
      </c>
      <c r="I280" s="696">
        <f>'КМУ параклиника '!Y179</f>
        <v>4.2472967570827658</v>
      </c>
      <c r="J280" s="696">
        <f>'КМУ параклиника '!Z179</f>
        <v>69.733490037349199</v>
      </c>
      <c r="K280" s="696">
        <f t="shared" si="85"/>
        <v>123.3668926789752</v>
      </c>
      <c r="L280" s="696">
        <f t="shared" si="96"/>
        <v>3.7010067803692559</v>
      </c>
      <c r="M280" s="864">
        <f t="shared" si="93"/>
        <v>127.06789945934446</v>
      </c>
      <c r="N280" s="865"/>
      <c r="P280" s="866"/>
      <c r="R280" s="868"/>
    </row>
    <row r="281" spans="1:18" ht="15.6" x14ac:dyDescent="0.3">
      <c r="A281" s="958"/>
      <c r="B281" s="694" t="str">
        <f t="shared" si="94"/>
        <v>А.17.30.035.000</v>
      </c>
      <c r="C281" s="692" t="s">
        <v>2081</v>
      </c>
      <c r="D281" s="696">
        <f>'КМУ параклиника '!C189</f>
        <v>86.56117365876338</v>
      </c>
      <c r="E281" s="696">
        <f>'КМУ параклиника '!D189</f>
        <v>17.485357079070205</v>
      </c>
      <c r="F281" s="696">
        <f>'КМУ параклиника '!I189</f>
        <v>2.1736</v>
      </c>
      <c r="G281" s="696">
        <f>'КМУ параклиника '!N189</f>
        <v>0.29631192449762289</v>
      </c>
      <c r="H281" s="696">
        <f>'КМУ параклиника '!S189</f>
        <v>19.011737597426698</v>
      </c>
      <c r="I281" s="696">
        <f>'КМУ параклиника '!Y189</f>
        <v>4.2472967570827658</v>
      </c>
      <c r="J281" s="696">
        <f>'КМУ параклиника '!Z189</f>
        <v>168.73247804386813</v>
      </c>
      <c r="K281" s="696">
        <f t="shared" si="85"/>
        <v>298.50795506070881</v>
      </c>
      <c r="L281" s="696">
        <f t="shared" si="96"/>
        <v>8.9552386518212632</v>
      </c>
      <c r="M281" s="864">
        <f t="shared" si="93"/>
        <v>307.46319371253009</v>
      </c>
      <c r="N281" s="865"/>
      <c r="P281" s="866"/>
      <c r="R281" s="868"/>
    </row>
    <row r="282" spans="1:18" ht="15.6" x14ac:dyDescent="0.3">
      <c r="A282" s="958"/>
      <c r="B282" s="691" t="s">
        <v>2214</v>
      </c>
      <c r="C282" s="692" t="s">
        <v>2215</v>
      </c>
      <c r="D282" s="696">
        <f>'КМУ параклиника '!C199</f>
        <v>70.184735398997333</v>
      </c>
      <c r="E282" s="696">
        <f>'КМУ параклиника '!D199</f>
        <v>14.177316550597462</v>
      </c>
      <c r="F282" s="696">
        <f>'КМУ параклиника '!I199</f>
        <v>2.1736</v>
      </c>
      <c r="G282" s="696">
        <f>'КМУ параклиника '!N199</f>
        <v>0.24025291175482938</v>
      </c>
      <c r="H282" s="696">
        <f>'КМУ параклиника '!S199</f>
        <v>15.817765681059013</v>
      </c>
      <c r="I282" s="696">
        <f>'КМУ параклиника '!Y199</f>
        <v>4.2472967570827658</v>
      </c>
      <c r="J282" s="696">
        <f>'КМУ параклиника '!Z199</f>
        <v>138.9133107690883</v>
      </c>
      <c r="K282" s="696">
        <f t="shared" ref="K282" si="97">D282+I282+H282+G282+F282+E282+J282</f>
        <v>245.75427806857971</v>
      </c>
      <c r="L282" s="696">
        <f t="shared" ref="L282" si="98">K282*3%</f>
        <v>7.372628342057391</v>
      </c>
      <c r="M282" s="864">
        <f t="shared" ref="M282" si="99">K282+L282</f>
        <v>253.1269064106371</v>
      </c>
      <c r="N282" s="865"/>
      <c r="P282" s="866"/>
      <c r="R282" s="868"/>
    </row>
    <row r="283" spans="1:18" ht="21.9" customHeight="1" x14ac:dyDescent="0.3">
      <c r="A283" s="1172" t="s">
        <v>1123</v>
      </c>
      <c r="B283" s="1172"/>
      <c r="C283" s="1172"/>
      <c r="E283" s="972"/>
      <c r="I283" s="972"/>
      <c r="J283" s="972"/>
      <c r="K283" s="972"/>
      <c r="L283" s="956"/>
      <c r="M283" s="707"/>
      <c r="N283" s="966"/>
      <c r="P283" s="866"/>
      <c r="Q283" s="964"/>
      <c r="R283" s="868"/>
    </row>
    <row r="284" spans="1:18" ht="15.6" x14ac:dyDescent="0.3">
      <c r="A284" s="694" t="s">
        <v>2026</v>
      </c>
      <c r="B284" s="694" t="s">
        <v>2026</v>
      </c>
      <c r="C284" s="695" t="s">
        <v>2025</v>
      </c>
      <c r="D284" s="696">
        <f>'КМУ массаж'!C193</f>
        <v>69.427211936322067</v>
      </c>
      <c r="E284" s="696">
        <f t="shared" ref="E284:E299" si="100">D284*20.2%</f>
        <v>14.024296811137056</v>
      </c>
      <c r="F284" s="696">
        <f>'КМУ массаж'!I193</f>
        <v>5.0149999999999997</v>
      </c>
      <c r="G284" s="696">
        <f>'КМУ массаж'!N193</f>
        <v>0.29549904013760064</v>
      </c>
      <c r="H284" s="696">
        <f>'КМУ массаж'!S193</f>
        <v>3.0879547798158531</v>
      </c>
      <c r="I284" s="696">
        <f>'КМУ массаж'!Y193</f>
        <v>31.343772836641335</v>
      </c>
      <c r="J284" s="696">
        <f>'КМУ массаж'!Z193</f>
        <v>160.17497860176752</v>
      </c>
      <c r="K284" s="696">
        <f t="shared" ref="K284:K299" si="101">D284+E284+F284+J284+G284+H284+I284</f>
        <v>283.3687140058214</v>
      </c>
      <c r="L284" s="696">
        <f>K284*2%</f>
        <v>5.6673742801164284</v>
      </c>
      <c r="M284" s="864">
        <f t="shared" ref="M284:M299" si="102">K284+L284</f>
        <v>289.03608828593781</v>
      </c>
      <c r="N284" s="865"/>
      <c r="O284" s="700">
        <v>225</v>
      </c>
      <c r="P284" s="866">
        <f>M284/O284</f>
        <v>1.2846048368263903</v>
      </c>
      <c r="R284" s="868">
        <f t="shared" si="76"/>
        <v>128.46048368263902</v>
      </c>
    </row>
    <row r="285" spans="1:18" ht="15.6" x14ac:dyDescent="0.3">
      <c r="A285" s="694" t="s">
        <v>2027</v>
      </c>
      <c r="B285" s="694" t="s">
        <v>2027</v>
      </c>
      <c r="C285" s="695" t="s">
        <v>1765</v>
      </c>
      <c r="D285" s="696">
        <f>'КМУ массаж'!C49</f>
        <v>46.284807957548047</v>
      </c>
      <c r="E285" s="696">
        <f t="shared" si="100"/>
        <v>9.3495312074247057</v>
      </c>
      <c r="F285" s="696">
        <v>5.0199999999999996</v>
      </c>
      <c r="G285" s="696">
        <f>'КМУ массаж'!N49</f>
        <v>0.19699936009173374</v>
      </c>
      <c r="H285" s="696">
        <f>'КМУ массаж'!S49</f>
        <v>2.0586365198772354</v>
      </c>
      <c r="I285" s="870">
        <f>'КМУ массаж'!Y49</f>
        <v>20.895848557760889</v>
      </c>
      <c r="J285" s="696">
        <f>'КМУ массаж'!Z49</f>
        <v>108.95679949430028</v>
      </c>
      <c r="K285" s="696">
        <f t="shared" si="101"/>
        <v>192.76262309700289</v>
      </c>
      <c r="L285" s="696">
        <f>K285*3.5%</f>
        <v>6.7466918083951013</v>
      </c>
      <c r="M285" s="864">
        <f t="shared" si="102"/>
        <v>199.50931490539799</v>
      </c>
      <c r="N285" s="865"/>
      <c r="O285" s="700">
        <v>164</v>
      </c>
      <c r="P285" s="866">
        <f t="shared" ref="P285:P299" si="103">M285/O285</f>
        <v>1.2165202128377925</v>
      </c>
      <c r="R285" s="868">
        <f t="shared" si="76"/>
        <v>121.65202128377925</v>
      </c>
    </row>
    <row r="286" spans="1:18" ht="15.6" x14ac:dyDescent="0.3">
      <c r="A286" s="694" t="s">
        <v>2028</v>
      </c>
      <c r="B286" s="694" t="s">
        <v>2028</v>
      </c>
      <c r="C286" s="695" t="s">
        <v>1766</v>
      </c>
      <c r="D286" s="696">
        <f>'КМУ массаж'!C202</f>
        <v>46.284807957548047</v>
      </c>
      <c r="E286" s="696">
        <f t="shared" si="100"/>
        <v>9.3495312074247057</v>
      </c>
      <c r="F286" s="696">
        <v>5.0199999999999996</v>
      </c>
      <c r="G286" s="696">
        <v>0.2</v>
      </c>
      <c r="H286" s="697">
        <v>2.06</v>
      </c>
      <c r="I286" s="697">
        <v>20.9</v>
      </c>
      <c r="J286" s="696">
        <f>'КМУ массаж'!Z202</f>
        <v>108.95679949430028</v>
      </c>
      <c r="K286" s="696">
        <f t="shared" si="101"/>
        <v>192.77113865927302</v>
      </c>
      <c r="L286" s="696">
        <f t="shared" ref="L286:L298" si="104">K286*3.5%</f>
        <v>6.746989853074556</v>
      </c>
      <c r="M286" s="864">
        <f t="shared" si="102"/>
        <v>199.51812851234757</v>
      </c>
      <c r="N286" s="865"/>
      <c r="O286" s="700">
        <v>164</v>
      </c>
      <c r="P286" s="866">
        <f t="shared" si="103"/>
        <v>1.2165739543435827</v>
      </c>
      <c r="R286" s="868">
        <f t="shared" si="76"/>
        <v>121.65739543435828</v>
      </c>
    </row>
    <row r="287" spans="1:18" ht="15.6" hidden="1" x14ac:dyDescent="0.3">
      <c r="A287" s="694" t="s">
        <v>1418</v>
      </c>
      <c r="B287" s="694" t="s">
        <v>1418</v>
      </c>
      <c r="C287" s="695" t="s">
        <v>686</v>
      </c>
      <c r="D287" s="696">
        <f>'КМУ массаж'!C58</f>
        <v>46.284807957548047</v>
      </c>
      <c r="E287" s="696">
        <f t="shared" si="100"/>
        <v>9.3495312074247057</v>
      </c>
      <c r="F287" s="696">
        <v>5.0199999999999996</v>
      </c>
      <c r="G287" s="696">
        <f>'КМУ массаж'!N51</f>
        <v>2.1511424377832999E-2</v>
      </c>
      <c r="H287" s="697">
        <v>12.19</v>
      </c>
      <c r="I287" s="697">
        <v>20.9</v>
      </c>
      <c r="J287" s="696">
        <f>'КМУ массаж'!Z58</f>
        <v>108.95679949430028</v>
      </c>
      <c r="K287" s="696">
        <f t="shared" si="101"/>
        <v>202.72265008365085</v>
      </c>
      <c r="L287" s="696">
        <f t="shared" si="104"/>
        <v>7.0952927529277803</v>
      </c>
      <c r="M287" s="864">
        <f t="shared" si="102"/>
        <v>209.81794283657862</v>
      </c>
      <c r="N287" s="865"/>
      <c r="O287" s="700">
        <v>164</v>
      </c>
      <c r="P287" s="866">
        <f t="shared" si="103"/>
        <v>1.2793777002230404</v>
      </c>
      <c r="R287" s="868">
        <f t="shared" si="76"/>
        <v>127.93777002230404</v>
      </c>
    </row>
    <row r="288" spans="1:18" ht="15.6" x14ac:dyDescent="0.3">
      <c r="A288" s="694" t="s">
        <v>2029</v>
      </c>
      <c r="B288" s="694" t="s">
        <v>2029</v>
      </c>
      <c r="C288" s="695" t="s">
        <v>1767</v>
      </c>
      <c r="D288" s="696">
        <f>'КМУ массаж'!C15</f>
        <v>46.284807957548047</v>
      </c>
      <c r="E288" s="696">
        <f t="shared" si="100"/>
        <v>9.3495312074247057</v>
      </c>
      <c r="F288" s="696">
        <v>5.0199999999999996</v>
      </c>
      <c r="G288" s="696">
        <v>0.2</v>
      </c>
      <c r="H288" s="697">
        <v>2.06</v>
      </c>
      <c r="I288" s="697">
        <v>20.9</v>
      </c>
      <c r="J288" s="696">
        <f>'КМУ массаж'!Z15</f>
        <v>108.95679949430028</v>
      </c>
      <c r="K288" s="696">
        <f t="shared" si="101"/>
        <v>192.77113865927302</v>
      </c>
      <c r="L288" s="696">
        <f t="shared" si="104"/>
        <v>6.746989853074556</v>
      </c>
      <c r="M288" s="864">
        <f t="shared" si="102"/>
        <v>199.51812851234757</v>
      </c>
      <c r="N288" s="865"/>
      <c r="O288" s="700">
        <v>164</v>
      </c>
      <c r="P288" s="866">
        <f t="shared" si="103"/>
        <v>1.2165739543435827</v>
      </c>
      <c r="R288" s="868">
        <f t="shared" si="76"/>
        <v>121.65739543435828</v>
      </c>
    </row>
    <row r="289" spans="1:18" ht="15.6" x14ac:dyDescent="0.3">
      <c r="A289" s="694" t="s">
        <v>2030</v>
      </c>
      <c r="B289" s="694" t="s">
        <v>2030</v>
      </c>
      <c r="C289" s="695" t="s">
        <v>1768</v>
      </c>
      <c r="D289" s="696">
        <f>'КМУ массаж'!C32</f>
        <v>57.85600994693506</v>
      </c>
      <c r="E289" s="696">
        <f t="shared" si="100"/>
        <v>11.686914009280882</v>
      </c>
      <c r="F289" s="696">
        <v>5.0199999999999996</v>
      </c>
      <c r="G289" s="696">
        <f>'КМУ массаж'!N32</f>
        <v>0.24624920011466722</v>
      </c>
      <c r="H289" s="696">
        <f>'КМУ массаж'!S32</f>
        <v>2.5732956498465445</v>
      </c>
      <c r="I289" s="696">
        <f>'КМУ массаж'!Y32</f>
        <v>26.11981069720111</v>
      </c>
      <c r="J289" s="696">
        <f>'КМУ массаж'!Z32</f>
        <v>134.56588904803388</v>
      </c>
      <c r="K289" s="696">
        <f t="shared" si="101"/>
        <v>238.06816855141216</v>
      </c>
      <c r="L289" s="696">
        <f t="shared" si="104"/>
        <v>8.3323858992994264</v>
      </c>
      <c r="M289" s="864">
        <f t="shared" si="102"/>
        <v>246.40055445071158</v>
      </c>
      <c r="N289" s="865"/>
      <c r="O289" s="700">
        <v>194</v>
      </c>
      <c r="P289" s="866">
        <f t="shared" si="103"/>
        <v>1.2701059507768637</v>
      </c>
      <c r="R289" s="868">
        <f t="shared" si="76"/>
        <v>127.01059507768638</v>
      </c>
    </row>
    <row r="290" spans="1:18" ht="15.6" x14ac:dyDescent="0.3">
      <c r="A290" s="694" t="s">
        <v>2031</v>
      </c>
      <c r="B290" s="694" t="s">
        <v>2031</v>
      </c>
      <c r="C290" s="695" t="s">
        <v>685</v>
      </c>
      <c r="D290" s="696">
        <f>'КМУ массаж'!C166</f>
        <v>46.284807957548047</v>
      </c>
      <c r="E290" s="696">
        <f t="shared" si="100"/>
        <v>9.3495312074247057</v>
      </c>
      <c r="F290" s="696">
        <v>5.0199999999999996</v>
      </c>
      <c r="G290" s="696">
        <v>0.2</v>
      </c>
      <c r="H290" s="697">
        <v>2.06</v>
      </c>
      <c r="I290" s="697">
        <v>20.9</v>
      </c>
      <c r="J290" s="696">
        <f>'КМУ массаж'!Z166</f>
        <v>108.95679949430028</v>
      </c>
      <c r="K290" s="696">
        <f t="shared" si="101"/>
        <v>192.77113865927302</v>
      </c>
      <c r="L290" s="696">
        <f t="shared" si="104"/>
        <v>6.746989853074556</v>
      </c>
      <c r="M290" s="864">
        <f t="shared" si="102"/>
        <v>199.51812851234757</v>
      </c>
      <c r="N290" s="865"/>
      <c r="O290" s="700">
        <v>164</v>
      </c>
      <c r="P290" s="866">
        <f t="shared" si="103"/>
        <v>1.2165739543435827</v>
      </c>
      <c r="R290" s="868">
        <f t="shared" si="76"/>
        <v>121.65739543435828</v>
      </c>
    </row>
    <row r="291" spans="1:18" ht="15.6" x14ac:dyDescent="0.3">
      <c r="A291" s="694" t="s">
        <v>2032</v>
      </c>
      <c r="B291" s="694" t="s">
        <v>2032</v>
      </c>
      <c r="C291" s="695" t="s">
        <v>696</v>
      </c>
      <c r="D291" s="696">
        <f>'КМУ массаж'!C184</f>
        <v>46.284807957548047</v>
      </c>
      <c r="E291" s="696">
        <f t="shared" si="100"/>
        <v>9.3495312074247057</v>
      </c>
      <c r="F291" s="696">
        <v>5.0199999999999996</v>
      </c>
      <c r="G291" s="696">
        <v>0.2</v>
      </c>
      <c r="H291" s="697">
        <v>2.06</v>
      </c>
      <c r="I291" s="697">
        <v>20.9</v>
      </c>
      <c r="J291" s="696">
        <f>'КМУ массаж'!Z184</f>
        <v>108.95679949430028</v>
      </c>
      <c r="K291" s="696">
        <f t="shared" si="101"/>
        <v>192.77113865927302</v>
      </c>
      <c r="L291" s="696">
        <f t="shared" si="104"/>
        <v>6.746989853074556</v>
      </c>
      <c r="M291" s="864">
        <f t="shared" si="102"/>
        <v>199.51812851234757</v>
      </c>
      <c r="N291" s="865"/>
      <c r="O291" s="700">
        <v>164</v>
      </c>
      <c r="P291" s="866">
        <f t="shared" si="103"/>
        <v>1.2165739543435827</v>
      </c>
      <c r="R291" s="868">
        <f t="shared" si="76"/>
        <v>121.65739543435828</v>
      </c>
    </row>
    <row r="292" spans="1:18" ht="15.6" x14ac:dyDescent="0.3">
      <c r="A292" s="694" t="s">
        <v>2033</v>
      </c>
      <c r="B292" s="694" t="s">
        <v>2033</v>
      </c>
      <c r="C292" s="695" t="s">
        <v>1769</v>
      </c>
      <c r="D292" s="696">
        <f>'КМУ массаж'!C76</f>
        <v>46.284807957548047</v>
      </c>
      <c r="E292" s="696">
        <f t="shared" si="100"/>
        <v>9.3495312074247057</v>
      </c>
      <c r="F292" s="696">
        <v>5.0199999999999996</v>
      </c>
      <c r="G292" s="696">
        <v>0.2</v>
      </c>
      <c r="H292" s="697">
        <v>2.06</v>
      </c>
      <c r="I292" s="697">
        <v>20.9</v>
      </c>
      <c r="J292" s="696">
        <f>'КМУ массаж'!Z76</f>
        <v>108.95679949430028</v>
      </c>
      <c r="K292" s="696">
        <f t="shared" si="101"/>
        <v>192.77113865927302</v>
      </c>
      <c r="L292" s="696">
        <f t="shared" si="104"/>
        <v>6.746989853074556</v>
      </c>
      <c r="M292" s="864">
        <f t="shared" si="102"/>
        <v>199.51812851234757</v>
      </c>
      <c r="N292" s="865"/>
      <c r="O292" s="700">
        <v>164</v>
      </c>
      <c r="P292" s="866">
        <f t="shared" si="103"/>
        <v>1.2165739543435827</v>
      </c>
      <c r="R292" s="868">
        <f t="shared" si="76"/>
        <v>121.65739543435828</v>
      </c>
    </row>
    <row r="293" spans="1:18" ht="15.6" x14ac:dyDescent="0.3">
      <c r="A293" s="694" t="s">
        <v>2034</v>
      </c>
      <c r="B293" s="694" t="s">
        <v>2034</v>
      </c>
      <c r="C293" s="695" t="s">
        <v>694</v>
      </c>
      <c r="D293" s="696">
        <f>'КМУ массаж'!C94</f>
        <v>46.284807957548047</v>
      </c>
      <c r="E293" s="696">
        <f t="shared" si="100"/>
        <v>9.3495312074247057</v>
      </c>
      <c r="F293" s="696">
        <v>5.0199999999999996</v>
      </c>
      <c r="G293" s="696">
        <v>0.2</v>
      </c>
      <c r="H293" s="697">
        <v>2.06</v>
      </c>
      <c r="I293" s="697">
        <v>20.9</v>
      </c>
      <c r="J293" s="696">
        <f>'КМУ массаж'!Z94</f>
        <v>108.95679949430028</v>
      </c>
      <c r="K293" s="696">
        <f t="shared" si="101"/>
        <v>192.77113865927302</v>
      </c>
      <c r="L293" s="696">
        <f t="shared" si="104"/>
        <v>6.746989853074556</v>
      </c>
      <c r="M293" s="864">
        <f t="shared" si="102"/>
        <v>199.51812851234757</v>
      </c>
      <c r="N293" s="865"/>
      <c r="O293" s="700">
        <v>164</v>
      </c>
      <c r="P293" s="866">
        <f t="shared" si="103"/>
        <v>1.2165739543435827</v>
      </c>
      <c r="R293" s="868">
        <f t="shared" si="76"/>
        <v>121.65739543435828</v>
      </c>
    </row>
    <row r="294" spans="1:18" ht="15.6" x14ac:dyDescent="0.3">
      <c r="A294" s="694" t="s">
        <v>2035</v>
      </c>
      <c r="B294" s="694" t="s">
        <v>2035</v>
      </c>
      <c r="C294" s="695" t="s">
        <v>695</v>
      </c>
      <c r="D294" s="696">
        <f>'КМУ массаж'!C175</f>
        <v>46.284807957548047</v>
      </c>
      <c r="E294" s="696">
        <f t="shared" si="100"/>
        <v>9.3495312074247057</v>
      </c>
      <c r="F294" s="696">
        <v>5.0199999999999996</v>
      </c>
      <c r="G294" s="696">
        <v>0.2</v>
      </c>
      <c r="H294" s="697">
        <v>2.06</v>
      </c>
      <c r="I294" s="697">
        <v>20.9</v>
      </c>
      <c r="J294" s="696">
        <f>'КМУ массаж'!Z175</f>
        <v>108.95679949430028</v>
      </c>
      <c r="K294" s="696">
        <f t="shared" si="101"/>
        <v>192.77113865927302</v>
      </c>
      <c r="L294" s="696">
        <f t="shared" si="104"/>
        <v>6.746989853074556</v>
      </c>
      <c r="M294" s="864">
        <f t="shared" si="102"/>
        <v>199.51812851234757</v>
      </c>
      <c r="N294" s="865"/>
      <c r="O294" s="700">
        <v>164</v>
      </c>
      <c r="P294" s="866">
        <f t="shared" si="103"/>
        <v>1.2165739543435827</v>
      </c>
      <c r="R294" s="868">
        <f t="shared" si="76"/>
        <v>121.65739543435828</v>
      </c>
    </row>
    <row r="295" spans="1:18" ht="15.6" x14ac:dyDescent="0.3">
      <c r="A295" s="694" t="s">
        <v>2036</v>
      </c>
      <c r="B295" s="694" t="s">
        <v>2036</v>
      </c>
      <c r="C295" s="695" t="s">
        <v>693</v>
      </c>
      <c r="D295" s="696">
        <f>'КМУ массаж'!C67</f>
        <v>46.284807957548047</v>
      </c>
      <c r="E295" s="696">
        <f t="shared" si="100"/>
        <v>9.3495312074247057</v>
      </c>
      <c r="F295" s="696">
        <v>5.0199999999999996</v>
      </c>
      <c r="G295" s="696">
        <v>0.2</v>
      </c>
      <c r="H295" s="697">
        <v>2.06</v>
      </c>
      <c r="I295" s="697">
        <v>20.9</v>
      </c>
      <c r="J295" s="696">
        <f>'КМУ массаж'!Z67</f>
        <v>108.95679949430028</v>
      </c>
      <c r="K295" s="696">
        <f t="shared" si="101"/>
        <v>192.77113865927302</v>
      </c>
      <c r="L295" s="696">
        <f t="shared" si="104"/>
        <v>6.746989853074556</v>
      </c>
      <c r="M295" s="864">
        <f t="shared" si="102"/>
        <v>199.51812851234757</v>
      </c>
      <c r="N295" s="865"/>
      <c r="O295" s="700">
        <v>164</v>
      </c>
      <c r="P295" s="866">
        <f t="shared" si="103"/>
        <v>1.2165739543435827</v>
      </c>
      <c r="R295" s="868">
        <f t="shared" si="76"/>
        <v>121.65739543435828</v>
      </c>
    </row>
    <row r="296" spans="1:18" ht="15.6" x14ac:dyDescent="0.3">
      <c r="A296" s="694" t="s">
        <v>2037</v>
      </c>
      <c r="B296" s="694" t="s">
        <v>2037</v>
      </c>
      <c r="C296" s="695" t="s">
        <v>1427</v>
      </c>
      <c r="D296" s="696">
        <f>'КМУ массаж'!C85</f>
        <v>46.284807957548047</v>
      </c>
      <c r="E296" s="696">
        <f t="shared" si="100"/>
        <v>9.3495312074247057</v>
      </c>
      <c r="F296" s="696">
        <v>5.0199999999999996</v>
      </c>
      <c r="G296" s="696">
        <v>0.2</v>
      </c>
      <c r="H296" s="697">
        <v>2.06</v>
      </c>
      <c r="I296" s="697">
        <v>20.9</v>
      </c>
      <c r="J296" s="696">
        <f>'КМУ массаж'!Z85</f>
        <v>108.95679949430028</v>
      </c>
      <c r="K296" s="696">
        <f t="shared" si="101"/>
        <v>192.77113865927302</v>
      </c>
      <c r="L296" s="696">
        <f t="shared" si="104"/>
        <v>6.746989853074556</v>
      </c>
      <c r="M296" s="864">
        <f t="shared" si="102"/>
        <v>199.51812851234757</v>
      </c>
      <c r="N296" s="865"/>
      <c r="O296" s="700">
        <v>164</v>
      </c>
      <c r="P296" s="866">
        <f t="shared" si="103"/>
        <v>1.2165739543435827</v>
      </c>
      <c r="R296" s="868">
        <f t="shared" si="76"/>
        <v>121.65739543435828</v>
      </c>
    </row>
    <row r="297" spans="1:18" ht="15.6" hidden="1" x14ac:dyDescent="0.3">
      <c r="A297" s="694" t="s">
        <v>1429</v>
      </c>
      <c r="B297" s="694" t="s">
        <v>1429</v>
      </c>
      <c r="C297" s="695" t="s">
        <v>1770</v>
      </c>
      <c r="D297" s="696">
        <f>'КМУ массаж'!C40</f>
        <v>46.284807957548047</v>
      </c>
      <c r="E297" s="696">
        <f t="shared" si="100"/>
        <v>9.3495312074247057</v>
      </c>
      <c r="F297" s="696">
        <v>5.0199999999999996</v>
      </c>
      <c r="G297" s="696">
        <v>0.2</v>
      </c>
      <c r="H297" s="697">
        <v>2.06</v>
      </c>
      <c r="I297" s="697">
        <v>20.9</v>
      </c>
      <c r="J297" s="696">
        <f>'КМУ массаж'!Z40</f>
        <v>108.95679949430028</v>
      </c>
      <c r="K297" s="696">
        <f t="shared" si="101"/>
        <v>192.77113865927302</v>
      </c>
      <c r="L297" s="696">
        <f t="shared" si="104"/>
        <v>6.746989853074556</v>
      </c>
      <c r="M297" s="864">
        <f t="shared" si="102"/>
        <v>199.51812851234757</v>
      </c>
      <c r="N297" s="865"/>
      <c r="O297" s="700">
        <v>164</v>
      </c>
      <c r="P297" s="866">
        <f t="shared" si="103"/>
        <v>1.2165739543435827</v>
      </c>
      <c r="R297" s="868">
        <f t="shared" ref="R297:R330" si="105">M297/O297*100</f>
        <v>121.65739543435828</v>
      </c>
    </row>
    <row r="298" spans="1:18" ht="15.6" x14ac:dyDescent="0.3">
      <c r="A298" s="694" t="s">
        <v>2038</v>
      </c>
      <c r="B298" s="694" t="s">
        <v>2038</v>
      </c>
      <c r="C298" s="695" t="s">
        <v>1771</v>
      </c>
      <c r="D298" s="696">
        <f>'КМУ массаж'!C23</f>
        <v>46.284807957548047</v>
      </c>
      <c r="E298" s="696">
        <f t="shared" si="100"/>
        <v>9.3495312074247057</v>
      </c>
      <c r="F298" s="696">
        <v>5.0199999999999996</v>
      </c>
      <c r="G298" s="696">
        <v>0.2</v>
      </c>
      <c r="H298" s="697">
        <v>2.06</v>
      </c>
      <c r="I298" s="697">
        <v>20.9</v>
      </c>
      <c r="J298" s="696">
        <f>'КМУ массаж'!Z23</f>
        <v>108.95679949430028</v>
      </c>
      <c r="K298" s="696">
        <f t="shared" si="101"/>
        <v>192.77113865927302</v>
      </c>
      <c r="L298" s="696">
        <f t="shared" si="104"/>
        <v>6.746989853074556</v>
      </c>
      <c r="M298" s="864">
        <f t="shared" si="102"/>
        <v>199.51812851234757</v>
      </c>
      <c r="N298" s="865"/>
      <c r="O298" s="700">
        <v>164</v>
      </c>
      <c r="P298" s="866">
        <f t="shared" si="103"/>
        <v>1.2165739543435827</v>
      </c>
      <c r="R298" s="868">
        <f t="shared" si="105"/>
        <v>121.65739543435828</v>
      </c>
    </row>
    <row r="299" spans="1:18" ht="15.6" x14ac:dyDescent="0.3">
      <c r="A299" s="694" t="s">
        <v>2039</v>
      </c>
      <c r="B299" s="694" t="s">
        <v>2039</v>
      </c>
      <c r="C299" s="695" t="s">
        <v>1772</v>
      </c>
      <c r="D299" s="696">
        <f>'КМУ массаж'!C6</f>
        <v>69.427211936322067</v>
      </c>
      <c r="E299" s="696">
        <f t="shared" si="100"/>
        <v>14.024296811137056</v>
      </c>
      <c r="F299" s="696">
        <v>5.0199999999999996</v>
      </c>
      <c r="G299" s="696">
        <f>'КМУ массаж'!N6</f>
        <v>0.29549904013760064</v>
      </c>
      <c r="H299" s="696">
        <f>'КМУ массаж'!S6</f>
        <v>3.0879547798158531</v>
      </c>
      <c r="I299" s="696">
        <f>'КМУ массаж'!Y6</f>
        <v>31.343772836641335</v>
      </c>
      <c r="J299" s="696">
        <f>'КМУ массаж'!Z6</f>
        <v>160.17497860176752</v>
      </c>
      <c r="K299" s="696">
        <f t="shared" si="101"/>
        <v>283.3737140058214</v>
      </c>
      <c r="L299" s="696">
        <f>K299*3%</f>
        <v>8.5012114201746414</v>
      </c>
      <c r="M299" s="864">
        <f t="shared" si="102"/>
        <v>291.87492542599603</v>
      </c>
      <c r="N299" s="865"/>
      <c r="O299" s="700">
        <v>225</v>
      </c>
      <c r="P299" s="866">
        <f t="shared" si="103"/>
        <v>1.2972218907822046</v>
      </c>
      <c r="R299" s="868">
        <f t="shared" si="105"/>
        <v>129.72218907822045</v>
      </c>
    </row>
    <row r="300" spans="1:18" ht="17.25" customHeight="1" x14ac:dyDescent="0.3">
      <c r="A300" s="1172" t="s">
        <v>315</v>
      </c>
      <c r="B300" s="1172"/>
      <c r="C300" s="1172"/>
      <c r="E300" s="704"/>
      <c r="I300" s="702"/>
      <c r="J300" s="702"/>
      <c r="K300" s="702"/>
      <c r="L300" s="973"/>
      <c r="M300" s="974"/>
      <c r="N300" s="966"/>
      <c r="P300" s="866"/>
      <c r="Q300" s="964"/>
      <c r="R300" s="868"/>
    </row>
    <row r="301" spans="1:18" ht="17.25" customHeight="1" x14ac:dyDescent="0.25">
      <c r="A301" s="1171" t="s">
        <v>1785</v>
      </c>
      <c r="B301" s="1165"/>
      <c r="C301" s="1165"/>
      <c r="D301" s="705"/>
      <c r="E301" s="706"/>
      <c r="F301" s="707"/>
      <c r="G301" s="707"/>
      <c r="H301" s="707"/>
      <c r="I301" s="701"/>
      <c r="J301" s="701"/>
      <c r="K301" s="701"/>
      <c r="L301" s="696"/>
      <c r="M301" s="707"/>
      <c r="N301" s="966"/>
      <c r="P301" s="866"/>
      <c r="Q301" s="964"/>
      <c r="R301" s="868"/>
    </row>
    <row r="302" spans="1:18" ht="17.25" customHeight="1" x14ac:dyDescent="0.3">
      <c r="A302" s="691" t="s">
        <v>1896</v>
      </c>
      <c r="B302" s="694" t="str">
        <f>Прейскурант!A306</f>
        <v xml:space="preserve">А11.05.001.000 </v>
      </c>
      <c r="C302" s="695" t="s">
        <v>1773</v>
      </c>
      <c r="D302" s="863">
        <f>'КМУ параклиника '!C332</f>
        <v>11.210061904006523</v>
      </c>
      <c r="E302" s="863">
        <f>D302*20.2%</f>
        <v>2.2644325046093172</v>
      </c>
      <c r="F302" s="696">
        <f>'КМУ параклиника '!I332</f>
        <v>7.3936000000000011</v>
      </c>
      <c r="G302" s="696">
        <f>'КМУ параклиника '!N332</f>
        <v>4.1000215236991988E-2</v>
      </c>
      <c r="H302" s="697">
        <f>'КМУ параклиника '!S332</f>
        <v>0</v>
      </c>
      <c r="I302" s="696">
        <f>'КМУ параклиника '!Y332</f>
        <v>4.3489191438431192</v>
      </c>
      <c r="J302" s="863">
        <f>'КМУ параклиника '!Z332</f>
        <v>32.840158645199395</v>
      </c>
      <c r="K302" s="863">
        <f>J302+I302+H302+G302+F302+E302+D302</f>
        <v>58.098172412895345</v>
      </c>
      <c r="L302" s="863">
        <f>K302*2%</f>
        <v>1.1619634482579069</v>
      </c>
      <c r="M302" s="952">
        <f>K302+L302</f>
        <v>59.260135861153252</v>
      </c>
      <c r="N302" s="966"/>
      <c r="O302" s="700">
        <v>47</v>
      </c>
      <c r="P302" s="866"/>
      <c r="Q302" s="964"/>
      <c r="R302" s="868">
        <f t="shared" si="105"/>
        <v>126.08539544926222</v>
      </c>
    </row>
    <row r="303" spans="1:18" ht="15.6" x14ac:dyDescent="0.3">
      <c r="A303" s="694" t="s">
        <v>1920</v>
      </c>
      <c r="B303" s="694" t="str">
        <f>Прейскурант!A307</f>
        <v>А12.06.029.000</v>
      </c>
      <c r="C303" s="695" t="s">
        <v>2218</v>
      </c>
      <c r="D303" s="696">
        <f>'КМУ параклиника '!C422</f>
        <v>44.84024761602609</v>
      </c>
      <c r="E303" s="696">
        <f>D303*20.2%</f>
        <v>9.0577300184372689</v>
      </c>
      <c r="F303" s="696">
        <f>'КМУ параклиника '!I422</f>
        <v>7.3936000000000011</v>
      </c>
      <c r="G303" s="696">
        <f>'КМУ параклиника '!N422</f>
        <v>0.16400086094796795</v>
      </c>
      <c r="H303" s="696">
        <f>'КМУ параклиника '!S422</f>
        <v>9.8377551924086384E-2</v>
      </c>
      <c r="I303" s="696">
        <f>'КМУ параклиника '!Y422</f>
        <v>4.3489191438431192</v>
      </c>
      <c r="J303" s="696">
        <f>'КМУ параклиника '!Z422</f>
        <v>85.686107243360794</v>
      </c>
      <c r="K303" s="696">
        <f t="shared" ref="K303:K328" si="106">I303+H303+G303+F303+E303+D303+J303</f>
        <v>151.58898243453933</v>
      </c>
      <c r="L303" s="863">
        <f t="shared" ref="L303:L328" si="107">K303*2%</f>
        <v>3.0317796486907866</v>
      </c>
      <c r="M303" s="864">
        <f t="shared" ref="M303:M328" si="108">K303+L303</f>
        <v>154.62076208323012</v>
      </c>
      <c r="N303" s="865"/>
      <c r="O303" s="700">
        <v>136</v>
      </c>
      <c r="P303" s="866"/>
      <c r="Q303" s="964"/>
      <c r="R303" s="868">
        <f t="shared" si="105"/>
        <v>113.6917368259045</v>
      </c>
    </row>
    <row r="304" spans="1:18" ht="15.6" x14ac:dyDescent="0.3">
      <c r="A304" s="694" t="s">
        <v>1897</v>
      </c>
      <c r="B304" s="694" t="str">
        <f>Прейскурант!A308</f>
        <v>A12.05.014.000</v>
      </c>
      <c r="C304" s="695" t="s">
        <v>1893</v>
      </c>
      <c r="D304" s="696">
        <f>'КМУ параклиника '!C402</f>
        <v>31.388173331218262</v>
      </c>
      <c r="E304" s="696">
        <f t="shared" ref="E304:E326" si="109">D304*20.2%</f>
        <v>6.3404110129060882</v>
      </c>
      <c r="F304" s="696">
        <f>'КМУ параклиника '!I402</f>
        <v>7.3936000000000011</v>
      </c>
      <c r="G304" s="696">
        <f>'КМУ параклиника '!N402</f>
        <v>0.11480060266357756</v>
      </c>
      <c r="H304" s="696">
        <f>'КМУ параклиника '!S402</f>
        <v>9.8377551924086384E-2</v>
      </c>
      <c r="I304" s="696">
        <f>'КМУ параклиника '!Y402</f>
        <v>4.3489191438431192</v>
      </c>
      <c r="J304" s="696">
        <f>'КМУ параклиника '!Z402</f>
        <v>64.598891516999828</v>
      </c>
      <c r="K304" s="696">
        <f t="shared" si="106"/>
        <v>114.28317315955496</v>
      </c>
      <c r="L304" s="863">
        <f t="shared" si="107"/>
        <v>2.2856634631910993</v>
      </c>
      <c r="M304" s="864">
        <f t="shared" si="108"/>
        <v>116.56883662274606</v>
      </c>
      <c r="N304" s="865"/>
      <c r="O304" s="700">
        <v>101</v>
      </c>
      <c r="P304" s="866"/>
      <c r="Q304" s="964"/>
      <c r="R304" s="868">
        <f t="shared" si="105"/>
        <v>115.41468972549116</v>
      </c>
    </row>
    <row r="305" spans="1:18" ht="15.6" x14ac:dyDescent="0.3">
      <c r="A305" s="694" t="s">
        <v>1902</v>
      </c>
      <c r="B305" s="694" t="str">
        <f>Прейскурант!A309</f>
        <v>А09.05.003.000</v>
      </c>
      <c r="C305" s="695" t="s">
        <v>446</v>
      </c>
      <c r="D305" s="696">
        <f>'КМУ параклиника '!C342</f>
        <v>20.178111427211743</v>
      </c>
      <c r="E305" s="696">
        <f t="shared" si="109"/>
        <v>4.0759785082967719</v>
      </c>
      <c r="F305" s="696">
        <f>'КМУ параклиника '!I342</f>
        <v>7.3936000000000011</v>
      </c>
      <c r="G305" s="696">
        <f>'КМУ параклиника '!N342</f>
        <v>7.3800387426585595E-2</v>
      </c>
      <c r="H305" s="696">
        <f>'КМУ параклиника '!S342</f>
        <v>9.8377551924086384E-2</v>
      </c>
      <c r="I305" s="696">
        <f>'КМУ параклиника '!Y342</f>
        <v>4.3489191438431192</v>
      </c>
      <c r="J305" s="696">
        <f>'КМУ параклиника '!Z342</f>
        <v>47.026211745032363</v>
      </c>
      <c r="K305" s="696">
        <f t="shared" si="106"/>
        <v>83.194998763734674</v>
      </c>
      <c r="L305" s="863">
        <f t="shared" si="107"/>
        <v>1.6638999752746935</v>
      </c>
      <c r="M305" s="864">
        <f t="shared" si="108"/>
        <v>84.858898739009362</v>
      </c>
      <c r="N305" s="865"/>
      <c r="O305" s="700">
        <v>72</v>
      </c>
      <c r="P305" s="866"/>
      <c r="Q305" s="964"/>
      <c r="R305" s="868">
        <f t="shared" si="105"/>
        <v>117.85958158195744</v>
      </c>
    </row>
    <row r="306" spans="1:18" ht="15.6" x14ac:dyDescent="0.3">
      <c r="A306" s="694" t="s">
        <v>1898</v>
      </c>
      <c r="B306" s="694" t="str">
        <f>Прейскурант!A310</f>
        <v>А12.05.015.000</v>
      </c>
      <c r="C306" s="695" t="s">
        <v>1432</v>
      </c>
      <c r="D306" s="696">
        <f>'КМУ параклиника '!C412</f>
        <v>31.388173331218262</v>
      </c>
      <c r="E306" s="696">
        <f t="shared" si="109"/>
        <v>6.3404110129060882</v>
      </c>
      <c r="F306" s="696">
        <f>'КМУ параклиника '!I412</f>
        <v>7.3936000000000011</v>
      </c>
      <c r="G306" s="696">
        <f>'КМУ параклиника '!N412</f>
        <v>0.11480060266357756</v>
      </c>
      <c r="H306" s="696">
        <f>'КМУ параклиника '!S412</f>
        <v>9.8377551924086384E-2</v>
      </c>
      <c r="I306" s="696">
        <f>'КМУ параклиника '!Y412</f>
        <v>4.3489191438431192</v>
      </c>
      <c r="J306" s="696">
        <f>'КМУ параклиника '!Z452</f>
        <v>84.619953335269074</v>
      </c>
      <c r="K306" s="696">
        <f t="shared" si="106"/>
        <v>134.30423497782419</v>
      </c>
      <c r="L306" s="863">
        <f t="shared" si="107"/>
        <v>2.686084699556484</v>
      </c>
      <c r="M306" s="864">
        <f t="shared" si="108"/>
        <v>136.99031967738068</v>
      </c>
      <c r="N306" s="865"/>
      <c r="O306" s="700">
        <v>119</v>
      </c>
      <c r="P306" s="866"/>
      <c r="Q306" s="964"/>
      <c r="R306" s="868">
        <f t="shared" si="105"/>
        <v>115.1179156952779</v>
      </c>
    </row>
    <row r="307" spans="1:18" ht="15.6" x14ac:dyDescent="0.3">
      <c r="A307" s="694" t="s">
        <v>1904</v>
      </c>
      <c r="B307" s="694" t="str">
        <f>Прейскурант!A311</f>
        <v>А09.05.010.000</v>
      </c>
      <c r="C307" s="695" t="s">
        <v>797</v>
      </c>
      <c r="D307" s="696">
        <f>'КМУ параклиника '!C302</f>
        <v>22.420123808013045</v>
      </c>
      <c r="E307" s="696">
        <f t="shared" si="109"/>
        <v>4.5288650092186344</v>
      </c>
      <c r="F307" s="696">
        <f>'КМУ параклиника '!I302</f>
        <v>7.8836000000000004</v>
      </c>
      <c r="G307" s="696">
        <f>'КМУ параклиника '!N302</f>
        <v>8.2000430473983976E-2</v>
      </c>
      <c r="H307" s="696">
        <f>'КМУ параклиника '!S302</f>
        <v>9.8377551924086384E-2</v>
      </c>
      <c r="I307" s="696">
        <f>'КМУ параклиника '!Y302</f>
        <v>4.3489191438431192</v>
      </c>
      <c r="J307" s="696">
        <f>'КМУ параклиника '!Z302</f>
        <v>51.177839668895288</v>
      </c>
      <c r="K307" s="696">
        <f t="shared" si="106"/>
        <v>90.539725612368159</v>
      </c>
      <c r="L307" s="863">
        <f t="shared" si="107"/>
        <v>1.8107945122473632</v>
      </c>
      <c r="M307" s="864">
        <f t="shared" si="108"/>
        <v>92.350520124615528</v>
      </c>
      <c r="N307" s="865"/>
      <c r="O307" s="700">
        <v>78</v>
      </c>
      <c r="P307" s="866"/>
      <c r="Q307" s="964"/>
      <c r="R307" s="868">
        <f t="shared" si="105"/>
        <v>118.39810272386606</v>
      </c>
    </row>
    <row r="308" spans="1:18" ht="15.6" x14ac:dyDescent="0.3">
      <c r="A308" s="694" t="s">
        <v>1918</v>
      </c>
      <c r="B308" s="694" t="str">
        <f>Прейскурант!A312</f>
        <v>А08.05.006.000</v>
      </c>
      <c r="C308" s="695" t="s">
        <v>1774</v>
      </c>
      <c r="D308" s="696">
        <f>'КМУ параклиника '!C382</f>
        <v>35.872198092820874</v>
      </c>
      <c r="E308" s="696">
        <f t="shared" si="109"/>
        <v>7.246184014749816</v>
      </c>
      <c r="F308" s="696">
        <f>'КМУ параклиника '!I382</f>
        <v>7.3936000000000011</v>
      </c>
      <c r="G308" s="696">
        <f>'КМУ параклиника '!N382</f>
        <v>0.13120068875837437</v>
      </c>
      <c r="H308" s="696">
        <f>'КМУ параклиника '!S382</f>
        <v>9.8377551924086384E-2</v>
      </c>
      <c r="I308" s="696">
        <f>'КМУ параклиника '!Y382</f>
        <v>4.3489191438431192</v>
      </c>
      <c r="J308" s="696">
        <f>'КМУ параклиника '!Z382</f>
        <v>71.627963425786817</v>
      </c>
      <c r="K308" s="696">
        <f t="shared" si="106"/>
        <v>126.7184429178831</v>
      </c>
      <c r="L308" s="863">
        <f t="shared" si="107"/>
        <v>2.534368858357662</v>
      </c>
      <c r="M308" s="864">
        <f t="shared" si="108"/>
        <v>129.25281177624075</v>
      </c>
      <c r="N308" s="865"/>
      <c r="O308" s="700">
        <v>113</v>
      </c>
      <c r="P308" s="866"/>
      <c r="Q308" s="964"/>
      <c r="R308" s="868">
        <f t="shared" si="105"/>
        <v>114.38301927100952</v>
      </c>
    </row>
    <row r="309" spans="1:18" ht="15.6" x14ac:dyDescent="0.3">
      <c r="A309" s="694" t="s">
        <v>1903</v>
      </c>
      <c r="B309" s="694" t="str">
        <f>Прейскурант!A313</f>
        <v>А12.05.119.000</v>
      </c>
      <c r="C309" s="695" t="s">
        <v>801</v>
      </c>
      <c r="D309" s="696">
        <f>'КМУ параклиника '!C372</f>
        <v>24.662136188814351</v>
      </c>
      <c r="E309" s="696">
        <f t="shared" si="109"/>
        <v>4.9817515101404988</v>
      </c>
      <c r="F309" s="696">
        <f>'КМУ параклиника '!I372</f>
        <v>7.3936000000000011</v>
      </c>
      <c r="G309" s="696">
        <f>'КМУ параклиника '!N372</f>
        <v>9.0200473521382385E-2</v>
      </c>
      <c r="H309" s="696">
        <f>'КМУ параклиника '!S372</f>
        <v>9.8377551924086384E-2</v>
      </c>
      <c r="I309" s="696">
        <f>'КМУ параклиника '!Y372</f>
        <v>4.3489191438431192</v>
      </c>
      <c r="J309" s="696">
        <f>'КМУ параклиника '!Z372</f>
        <v>54.055283653819345</v>
      </c>
      <c r="K309" s="696">
        <f t="shared" si="106"/>
        <v>95.630268522062778</v>
      </c>
      <c r="L309" s="863">
        <f t="shared" si="107"/>
        <v>1.9126053704412556</v>
      </c>
      <c r="M309" s="864">
        <f t="shared" si="108"/>
        <v>97.542873892504034</v>
      </c>
      <c r="N309" s="865"/>
      <c r="O309" s="700">
        <v>83</v>
      </c>
      <c r="P309" s="866"/>
      <c r="Q309" s="964"/>
      <c r="R309" s="868">
        <f t="shared" si="105"/>
        <v>117.52153481024583</v>
      </c>
    </row>
    <row r="310" spans="1:18" ht="15.6" x14ac:dyDescent="0.3">
      <c r="A310" s="694" t="s">
        <v>1917</v>
      </c>
      <c r="B310" s="694" t="str">
        <f>Прейскурант!A314</f>
        <v>В03.016.002.000</v>
      </c>
      <c r="C310" s="695" t="s">
        <v>803</v>
      </c>
      <c r="D310" s="696">
        <f>'КМУ параклиника '!C502</f>
        <v>80.742464701018662</v>
      </c>
      <c r="E310" s="696">
        <f t="shared" si="109"/>
        <v>16.309977869605767</v>
      </c>
      <c r="F310" s="696">
        <f>'КМУ параклиника '!I502</f>
        <v>6.5736000000000008</v>
      </c>
      <c r="G310" s="696">
        <f>'КМУ параклиника '!N502</f>
        <v>0.26240137751674875</v>
      </c>
      <c r="H310" s="696">
        <f>'КМУ параклиника '!S502</f>
        <v>9.8377551924086384E-2</v>
      </c>
      <c r="I310" s="696">
        <f>'КМУ параклиника '!Y502</f>
        <v>4.3489191438431192</v>
      </c>
      <c r="J310" s="696">
        <f>'КМУ параклиника '!Z502</f>
        <v>140.85679667501697</v>
      </c>
      <c r="K310" s="696">
        <f t="shared" si="106"/>
        <v>249.19253731892536</v>
      </c>
      <c r="L310" s="863">
        <f t="shared" si="107"/>
        <v>4.9838507463785069</v>
      </c>
      <c r="M310" s="864">
        <f t="shared" si="108"/>
        <v>254.17638806530385</v>
      </c>
      <c r="N310" s="865"/>
      <c r="O310" s="700">
        <v>229</v>
      </c>
      <c r="P310" s="866"/>
      <c r="Q310" s="964"/>
      <c r="R310" s="868">
        <f t="shared" si="105"/>
        <v>110.99405592371347</v>
      </c>
    </row>
    <row r="311" spans="1:18" ht="15.6" x14ac:dyDescent="0.3">
      <c r="A311" s="694" t="s">
        <v>1911</v>
      </c>
      <c r="B311" s="694" t="str">
        <f>Прейскурант!A315</f>
        <v>В03.016.003.000</v>
      </c>
      <c r="C311" s="695" t="s">
        <v>805</v>
      </c>
      <c r="D311" s="696">
        <f>'КМУ параклиника '!C512</f>
        <v>82.999486577905799</v>
      </c>
      <c r="E311" s="696">
        <f t="shared" si="109"/>
        <v>16.765896288736972</v>
      </c>
      <c r="F311" s="696">
        <f>'КМУ параклиника '!I512</f>
        <v>6.5736000000000008</v>
      </c>
      <c r="G311" s="696">
        <f>'КМУ параклиника '!N512</f>
        <v>0.25420133446935034</v>
      </c>
      <c r="H311" s="696">
        <f>'КМУ параклиника '!S512</f>
        <v>9.8377551924086384E-2</v>
      </c>
      <c r="I311" s="696">
        <f>'КМУ параклиника '!Y512</f>
        <v>4.3489191438431192</v>
      </c>
      <c r="J311" s="696">
        <f>'КМУ параклиника '!Z512</f>
        <v>144.37346666413643</v>
      </c>
      <c r="K311" s="696">
        <f t="shared" si="106"/>
        <v>255.41394756101576</v>
      </c>
      <c r="L311" s="863">
        <f t="shared" si="107"/>
        <v>5.1082789512203153</v>
      </c>
      <c r="M311" s="864">
        <f t="shared" si="108"/>
        <v>260.5222265122361</v>
      </c>
      <c r="N311" s="865"/>
      <c r="O311" s="700">
        <v>235</v>
      </c>
      <c r="P311" s="866"/>
      <c r="Q311" s="964"/>
      <c r="R311" s="868">
        <f t="shared" si="105"/>
        <v>110.86052192010047</v>
      </c>
    </row>
    <row r="312" spans="1:18" ht="15.6" x14ac:dyDescent="0.3">
      <c r="A312" s="694" t="s">
        <v>1910</v>
      </c>
      <c r="B312" s="694" t="str">
        <f>Прейскурант!A316</f>
        <v>В03.016.004.000</v>
      </c>
      <c r="C312" s="695" t="s">
        <v>1775</v>
      </c>
      <c r="D312" s="696">
        <f>'КМУ параклиника '!C542</f>
        <v>90.812758544517223</v>
      </c>
      <c r="E312" s="696">
        <f t="shared" si="109"/>
        <v>18.344177225992478</v>
      </c>
      <c r="F312" s="696">
        <f>'КМУ параклиника '!I542</f>
        <v>6.5736000000000008</v>
      </c>
      <c r="G312" s="696">
        <f>'КМУ параклиника '!N542</f>
        <v>0.3198016788485375</v>
      </c>
      <c r="H312" s="696">
        <f>'КМУ параклиника '!S542</f>
        <v>9.8377551924086384E-2</v>
      </c>
      <c r="I312" s="696">
        <f>'КМУ параклиника '!Y542</f>
        <v>4.3489191438431192</v>
      </c>
      <c r="J312" s="696">
        <f>'КМУ параклиника '!Z542</f>
        <v>156.66954092638019</v>
      </c>
      <c r="K312" s="696">
        <f t="shared" si="106"/>
        <v>277.16717507150565</v>
      </c>
      <c r="L312" s="863">
        <f>K312*10.1%</f>
        <v>27.99388468222207</v>
      </c>
      <c r="M312" s="864">
        <f t="shared" si="108"/>
        <v>305.16105975372773</v>
      </c>
      <c r="N312" s="865"/>
      <c r="O312" s="700">
        <v>290</v>
      </c>
      <c r="P312" s="866"/>
      <c r="Q312" s="964"/>
      <c r="R312" s="868">
        <f t="shared" si="105"/>
        <v>105.22795163921646</v>
      </c>
    </row>
    <row r="313" spans="1:18" ht="15.6" x14ac:dyDescent="0.3">
      <c r="A313" s="694" t="s">
        <v>1909</v>
      </c>
      <c r="B313" s="694" t="str">
        <f>Прейскурант!A317</f>
        <v>А09.05.023.000</v>
      </c>
      <c r="C313" s="695" t="s">
        <v>448</v>
      </c>
      <c r="D313" s="696">
        <f>'КМУ параклиника '!C262</f>
        <v>33.630185712019568</v>
      </c>
      <c r="E313" s="696">
        <f t="shared" si="109"/>
        <v>6.7932975138279525</v>
      </c>
      <c r="F313" s="696">
        <f>'КМУ параклиника '!I262</f>
        <v>7.5136000000000012</v>
      </c>
      <c r="G313" s="696">
        <f>'КМУ параклиника '!N262</f>
        <v>0.12300064571097598</v>
      </c>
      <c r="H313" s="696">
        <f>'КМУ параклиника '!S262</f>
        <v>0.51009922956919684</v>
      </c>
      <c r="I313" s="696">
        <f>'КМУ параклиника '!Y262</f>
        <v>4.3489191438431192</v>
      </c>
      <c r="J313" s="696">
        <f>'КМУ параклиника '!Z262</f>
        <v>68.804765452659694</v>
      </c>
      <c r="K313" s="696">
        <f t="shared" si="106"/>
        <v>121.72386769763051</v>
      </c>
      <c r="L313" s="863">
        <f t="shared" si="107"/>
        <v>2.4344773539526101</v>
      </c>
      <c r="M313" s="864">
        <f t="shared" si="108"/>
        <v>124.15834505158313</v>
      </c>
      <c r="N313" s="865"/>
      <c r="O313" s="700">
        <v>116</v>
      </c>
      <c r="P313" s="866"/>
      <c r="Q313" s="964"/>
      <c r="R313" s="868">
        <f t="shared" si="105"/>
        <v>107.03305607895098</v>
      </c>
    </row>
    <row r="314" spans="1:18" ht="15.6" x14ac:dyDescent="0.3">
      <c r="A314" s="694" t="s">
        <v>1905</v>
      </c>
      <c r="B314" s="694" t="str">
        <f>Прейскурант!A318</f>
        <v>А09.05.026.000</v>
      </c>
      <c r="C314" s="695" t="s">
        <v>811</v>
      </c>
      <c r="D314" s="696">
        <f>'КМУ параклиника '!C292</f>
        <v>44.84024761602609</v>
      </c>
      <c r="E314" s="696">
        <f t="shared" si="109"/>
        <v>9.0577300184372689</v>
      </c>
      <c r="F314" s="696">
        <f>'КМУ параклиника '!I292</f>
        <v>7.8836000000000004</v>
      </c>
      <c r="G314" s="696">
        <f>'КМУ параклиника '!N292</f>
        <v>0.16400086094796795</v>
      </c>
      <c r="H314" s="696">
        <f>'КМУ параклиника '!S292</f>
        <v>0.51009922956919684</v>
      </c>
      <c r="I314" s="696">
        <f>'КМУ параклиника '!Y292</f>
        <v>4.3489191438431192</v>
      </c>
      <c r="J314" s="696">
        <f>'КМУ параклиника '!Z292</f>
        <v>86.858514670961213</v>
      </c>
      <c r="K314" s="696">
        <f t="shared" si="106"/>
        <v>153.66311153978484</v>
      </c>
      <c r="L314" s="863">
        <f t="shared" si="107"/>
        <v>3.0732622307956969</v>
      </c>
      <c r="M314" s="864">
        <f t="shared" si="108"/>
        <v>156.73637377058054</v>
      </c>
      <c r="N314" s="865"/>
      <c r="O314" s="700">
        <v>143</v>
      </c>
      <c r="P314" s="866"/>
      <c r="Q314" s="964"/>
      <c r="R314" s="868">
        <f t="shared" si="105"/>
        <v>109.60585578362276</v>
      </c>
    </row>
    <row r="315" spans="1:18" ht="15.6" x14ac:dyDescent="0.3">
      <c r="A315" s="691" t="s">
        <v>1914</v>
      </c>
      <c r="B315" s="694" t="str">
        <f>Прейскурант!A319</f>
        <v xml:space="preserve">А12.05.005.000             </v>
      </c>
      <c r="C315" s="692" t="s">
        <v>1776</v>
      </c>
      <c r="D315" s="696">
        <f>'КМУ параклиника '!C522</f>
        <v>43.760517539861517</v>
      </c>
      <c r="E315" s="696">
        <f t="shared" si="109"/>
        <v>8.8396245430520253</v>
      </c>
      <c r="F315" s="696">
        <f>'КМУ параклиника '!I522</f>
        <v>6.5736000000000008</v>
      </c>
      <c r="G315" s="696">
        <f>'КМУ параклиника '!N522</f>
        <v>0.11480060266357758</v>
      </c>
      <c r="H315" s="696">
        <f>'КМУ параклиника '!S522</f>
        <v>9.8377551924086384E-2</v>
      </c>
      <c r="I315" s="696">
        <f>'КМУ параклиника '!Y522</f>
        <v>4.3489191438431192</v>
      </c>
      <c r="J315" s="696">
        <f>'КМУ параклиника '!Z522</f>
        <v>82.868553953568792</v>
      </c>
      <c r="K315" s="696">
        <f t="shared" si="106"/>
        <v>146.60439333491311</v>
      </c>
      <c r="L315" s="863">
        <f t="shared" si="107"/>
        <v>2.9320878666982622</v>
      </c>
      <c r="M315" s="864">
        <f t="shared" si="108"/>
        <v>149.53648120161137</v>
      </c>
      <c r="N315" s="865"/>
      <c r="O315" s="700">
        <v>138</v>
      </c>
      <c r="P315" s="866"/>
      <c r="Q315" s="964"/>
      <c r="R315" s="868">
        <f t="shared" si="105"/>
        <v>108.35976898667489</v>
      </c>
    </row>
    <row r="316" spans="1:18" ht="15.6" x14ac:dyDescent="0.3">
      <c r="A316" s="691" t="s">
        <v>1915</v>
      </c>
      <c r="B316" s="694" t="str">
        <f>Прейскурант!A320</f>
        <v>А12.05.006.003</v>
      </c>
      <c r="C316" s="692" t="s">
        <v>1777</v>
      </c>
      <c r="D316" s="696">
        <f>'КМУ параклиника '!C532</f>
        <v>83.044515066163342</v>
      </c>
      <c r="E316" s="696">
        <f t="shared" si="109"/>
        <v>16.774992043364993</v>
      </c>
      <c r="F316" s="696">
        <f>'КМУ параклиника '!I532</f>
        <v>6.5736000000000008</v>
      </c>
      <c r="G316" s="696">
        <f>'КМУ параклиника '!N532</f>
        <v>0.20500107618495994</v>
      </c>
      <c r="H316" s="696">
        <f>'КМУ параклиника '!S532</f>
        <v>9.8377551924086384E-2</v>
      </c>
      <c r="I316" s="696">
        <f>'КМУ параклиника '!Y532</f>
        <v>4.3489191438431192</v>
      </c>
      <c r="J316" s="696">
        <f>'КМУ параклиника '!Z532</f>
        <v>144.37986876831437</v>
      </c>
      <c r="K316" s="696">
        <f t="shared" si="106"/>
        <v>255.42527364979486</v>
      </c>
      <c r="L316" s="863">
        <f t="shared" si="107"/>
        <v>5.1085054729958976</v>
      </c>
      <c r="M316" s="864">
        <f t="shared" si="108"/>
        <v>260.53377912279075</v>
      </c>
      <c r="N316" s="865"/>
      <c r="O316" s="700">
        <v>235</v>
      </c>
      <c r="P316" s="866"/>
      <c r="Q316" s="964"/>
      <c r="R316" s="868">
        <f t="shared" si="105"/>
        <v>110.8654379245918</v>
      </c>
    </row>
    <row r="317" spans="1:18" x14ac:dyDescent="0.25">
      <c r="A317" s="1171" t="s">
        <v>1786</v>
      </c>
      <c r="B317" s="1165"/>
      <c r="C317" s="1165"/>
      <c r="D317" s="705"/>
      <c r="E317" s="706"/>
      <c r="F317" s="697"/>
      <c r="G317" s="696"/>
      <c r="H317" s="696"/>
      <c r="I317" s="696"/>
      <c r="J317" s="696"/>
      <c r="K317" s="696"/>
      <c r="L317" s="863"/>
      <c r="M317" s="864"/>
      <c r="N317" s="865"/>
      <c r="P317" s="866"/>
      <c r="R317" s="868"/>
    </row>
    <row r="318" spans="1:18" ht="15.6" x14ac:dyDescent="0.3">
      <c r="A318" s="691" t="s">
        <v>1899</v>
      </c>
      <c r="B318" s="691" t="str">
        <f>Прейскурант!A322</f>
        <v>А09.19.002.000</v>
      </c>
      <c r="C318" s="692" t="s">
        <v>589</v>
      </c>
      <c r="D318" s="696">
        <f>'КМУ параклиника '!C492</f>
        <v>42.635758975439401</v>
      </c>
      <c r="E318" s="696">
        <f t="shared" si="109"/>
        <v>8.6124233130387591</v>
      </c>
      <c r="F318" s="696">
        <f>'КМУ параклиника '!I492</f>
        <v>6.5736000000000008</v>
      </c>
      <c r="G318" s="696">
        <f>'КМУ параклиника '!N492</f>
        <v>0.11480060266357756</v>
      </c>
      <c r="H318" s="696">
        <f>'КМУ параклиника '!S492</f>
        <v>9.8377551924086384E-2</v>
      </c>
      <c r="I318" s="696">
        <f>'КМУ параклиника '!Y492</f>
        <v>4.3489191438431192</v>
      </c>
      <c r="J318" s="696">
        <f>'КМУ параклиника '!Z492</f>
        <v>81.110752467690546</v>
      </c>
      <c r="K318" s="696">
        <f t="shared" si="106"/>
        <v>143.49463205459949</v>
      </c>
      <c r="L318" s="863">
        <f t="shared" si="107"/>
        <v>2.8698926410919898</v>
      </c>
      <c r="M318" s="864">
        <f t="shared" si="108"/>
        <v>146.36452469569147</v>
      </c>
      <c r="N318" s="865"/>
      <c r="O318" s="700">
        <v>134</v>
      </c>
      <c r="P318" s="866"/>
      <c r="Q318" s="964"/>
      <c r="R318" s="868">
        <f t="shared" si="105"/>
        <v>109.22725723559066</v>
      </c>
    </row>
    <row r="319" spans="1:18" ht="15.6" x14ac:dyDescent="0.3">
      <c r="A319" s="691" t="s">
        <v>1900</v>
      </c>
      <c r="B319" s="691" t="str">
        <f>Прейскурант!A323</f>
        <v>А09.19.009.000</v>
      </c>
      <c r="C319" s="692" t="s">
        <v>1297</v>
      </c>
      <c r="D319" s="696">
        <f>'КМУ параклиника '!C462</f>
        <v>29.168675194545727</v>
      </c>
      <c r="E319" s="696">
        <f t="shared" si="109"/>
        <v>5.8920723892982361</v>
      </c>
      <c r="F319" s="696">
        <f>'КМУ параклиника '!I462</f>
        <v>6.5736000000000008</v>
      </c>
      <c r="G319" s="696">
        <f>'КМУ параклиника '!N462</f>
        <v>8.2000430473983976E-2</v>
      </c>
      <c r="H319" s="696">
        <f>'КМУ параклиника '!S462</f>
        <v>9.8377551924086384E-2</v>
      </c>
      <c r="I319" s="696">
        <f>'КМУ параклиника '!Y462</f>
        <v>4.3489191438431192</v>
      </c>
      <c r="J319" s="696">
        <f>'КМУ параклиника '!Z462</f>
        <v>60.021402706603581</v>
      </c>
      <c r="K319" s="696">
        <f t="shared" si="106"/>
        <v>106.18504741668873</v>
      </c>
      <c r="L319" s="863">
        <f t="shared" si="107"/>
        <v>2.1237009483337745</v>
      </c>
      <c r="M319" s="864">
        <f t="shared" si="108"/>
        <v>108.30874836502251</v>
      </c>
      <c r="N319" s="865"/>
      <c r="O319" s="700">
        <v>94</v>
      </c>
      <c r="P319" s="866"/>
      <c r="Q319" s="964"/>
      <c r="R319" s="868">
        <f t="shared" si="105"/>
        <v>115.22207272874736</v>
      </c>
    </row>
    <row r="320" spans="1:18" ht="15.6" x14ac:dyDescent="0.3">
      <c r="A320" s="691" t="s">
        <v>1901</v>
      </c>
      <c r="B320" s="691" t="str">
        <f>Прейскурант!A324</f>
        <v>А09.19.001.000</v>
      </c>
      <c r="C320" s="692" t="s">
        <v>1779</v>
      </c>
      <c r="D320" s="696">
        <f>'КМУ параклиника '!C472</f>
        <v>6.7260371424039134</v>
      </c>
      <c r="E320" s="696">
        <f t="shared" si="109"/>
        <v>1.3586595027655903</v>
      </c>
      <c r="F320" s="696">
        <f>'КМУ параклиника '!I472</f>
        <v>6.5736000000000008</v>
      </c>
      <c r="G320" s="696">
        <f>'КМУ параклиника '!N472</f>
        <v>2.4600129142195195E-2</v>
      </c>
      <c r="H320" s="696">
        <f>'КМУ параклиника '!S472</f>
        <v>9.8377551924086384E-2</v>
      </c>
      <c r="I320" s="696">
        <f>'КМУ параклиника '!Y472</f>
        <v>4.3489191438431192</v>
      </c>
      <c r="J320" s="696">
        <f>'КМУ параклиника '!Z472</f>
        <v>24.872842110579668</v>
      </c>
      <c r="K320" s="696">
        <f t="shared" si="106"/>
        <v>44.003035580658576</v>
      </c>
      <c r="L320" s="863">
        <f t="shared" si="107"/>
        <v>0.88006071161317156</v>
      </c>
      <c r="M320" s="864">
        <f t="shared" si="108"/>
        <v>44.883096292271745</v>
      </c>
      <c r="N320" s="865"/>
      <c r="O320" s="700">
        <v>43</v>
      </c>
      <c r="P320" s="866"/>
      <c r="Q320" s="964"/>
      <c r="R320" s="868">
        <f t="shared" si="105"/>
        <v>104.37929370295755</v>
      </c>
    </row>
    <row r="321" spans="1:18" ht="15.6" x14ac:dyDescent="0.3">
      <c r="A321" s="691" t="s">
        <v>1908</v>
      </c>
      <c r="B321" s="691" t="str">
        <f>Прейскурант!A325</f>
        <v>А26.01.019.000</v>
      </c>
      <c r="C321" s="692" t="s">
        <v>1781</v>
      </c>
      <c r="D321" s="696">
        <f>'КМУ параклиника '!C482</f>
        <v>8.9680495232052184</v>
      </c>
      <c r="E321" s="696">
        <f t="shared" si="109"/>
        <v>1.811546003687454</v>
      </c>
      <c r="F321" s="696">
        <f>'КМУ параклиника '!I482</f>
        <v>6.5736000000000008</v>
      </c>
      <c r="G321" s="696">
        <f>'КМУ параклиника '!N482</f>
        <v>8.2000430473983976E-2</v>
      </c>
      <c r="H321" s="696">
        <f>'КМУ параклиника '!S482</f>
        <v>9.8377551924086384E-2</v>
      </c>
      <c r="I321" s="696">
        <f>'КМУ параклиника '!Y482</f>
        <v>4.3489191438431192</v>
      </c>
      <c r="J321" s="696">
        <f>'КМУ параклиника '!Z482</f>
        <v>28.45134763527685</v>
      </c>
      <c r="K321" s="696">
        <f>I321+H321+G321+F321+E321+D321+J321</f>
        <v>50.333840288410713</v>
      </c>
      <c r="L321" s="863">
        <f>K321*20%</f>
        <v>10.066768057682143</v>
      </c>
      <c r="M321" s="864">
        <f t="shared" si="108"/>
        <v>60.400608346092852</v>
      </c>
      <c r="N321" s="865"/>
      <c r="O321" s="700">
        <v>61</v>
      </c>
      <c r="P321" s="866"/>
      <c r="Q321" s="964"/>
      <c r="R321" s="868">
        <f t="shared" si="105"/>
        <v>99.017390731299756</v>
      </c>
    </row>
    <row r="322" spans="1:18" x14ac:dyDescent="0.25">
      <c r="A322" s="1171" t="s">
        <v>1787</v>
      </c>
      <c r="B322" s="1165"/>
      <c r="C322" s="1165"/>
      <c r="D322" s="705"/>
      <c r="E322" s="706"/>
      <c r="F322" s="697"/>
      <c r="G322" s="697"/>
      <c r="H322" s="697"/>
      <c r="I322" s="696"/>
      <c r="J322" s="696"/>
      <c r="K322" s="696"/>
      <c r="L322" s="863"/>
      <c r="M322" s="864"/>
      <c r="N322" s="865"/>
      <c r="P322" s="866"/>
      <c r="R322" s="868"/>
    </row>
    <row r="323" spans="1:18" ht="15.6" x14ac:dyDescent="0.3">
      <c r="A323" s="691" t="s">
        <v>1913</v>
      </c>
      <c r="B323" s="691" t="str">
        <f>Прейскурант!A327</f>
        <v>В03.016.006.000</v>
      </c>
      <c r="C323" s="692" t="s">
        <v>1912</v>
      </c>
      <c r="D323" s="696">
        <f>'КМУ параклиника '!C282</f>
        <v>37.011966153328835</v>
      </c>
      <c r="E323" s="696">
        <f t="shared" si="109"/>
        <v>7.4764171629724245</v>
      </c>
      <c r="F323" s="696">
        <f>'КМУ параклиника '!I282</f>
        <v>6.5736000000000008</v>
      </c>
      <c r="G323" s="696">
        <f>'КМУ параклиника '!N282</f>
        <v>0.11480060266357756</v>
      </c>
      <c r="H323" s="696">
        <f>'КМУ параклиника '!S282</f>
        <v>0.44703241573155073</v>
      </c>
      <c r="I323" s="696">
        <f>'КМУ параклиника '!Y282</f>
        <v>4.3489191438431192</v>
      </c>
      <c r="J323" s="696">
        <f>'КМУ параклиника '!Z282</f>
        <v>72.775061801254822</v>
      </c>
      <c r="K323" s="696">
        <f t="shared" ref="K323:K326" si="110">I323+H323+G323+F323+E323+D323+J323</f>
        <v>128.74779727979433</v>
      </c>
      <c r="L323" s="863">
        <f t="shared" si="107"/>
        <v>2.5749559455958866</v>
      </c>
      <c r="M323" s="864">
        <f t="shared" si="108"/>
        <v>131.32275322539022</v>
      </c>
      <c r="N323" s="865"/>
      <c r="O323" s="700">
        <v>69</v>
      </c>
      <c r="P323" s="866"/>
      <c r="Q323" s="964"/>
      <c r="R323" s="868">
        <f t="shared" si="105"/>
        <v>190.32283076143511</v>
      </c>
    </row>
    <row r="324" spans="1:18" ht="15.6" hidden="1" x14ac:dyDescent="0.3">
      <c r="A324" s="691" t="s">
        <v>1782</v>
      </c>
      <c r="B324" s="691" t="str">
        <f>Прейскурант!A328</f>
        <v>А09.20.005</v>
      </c>
      <c r="C324" s="692" t="s">
        <v>1783</v>
      </c>
      <c r="D324" s="696">
        <f>'КМУ параклиника '!C432</f>
        <v>33.630185712019568</v>
      </c>
      <c r="E324" s="696">
        <f t="shared" si="109"/>
        <v>6.7932975138279525</v>
      </c>
      <c r="F324" s="696">
        <v>6.5</v>
      </c>
      <c r="G324" s="696">
        <v>8.4000000000000005E-2</v>
      </c>
      <c r="H324" s="696">
        <v>1.1379999999999999</v>
      </c>
      <c r="I324" s="696">
        <v>9.1999999999999998E-3</v>
      </c>
      <c r="J324" s="696">
        <f>'КМУ параклиника '!Z432</f>
        <v>68.899784444572944</v>
      </c>
      <c r="K324" s="696">
        <f t="shared" si="110"/>
        <v>117.05446767042046</v>
      </c>
      <c r="L324" s="863">
        <f t="shared" si="107"/>
        <v>2.3410893534084094</v>
      </c>
      <c r="M324" s="864">
        <f t="shared" si="108"/>
        <v>119.39555702382887</v>
      </c>
      <c r="N324" s="865"/>
      <c r="P324" s="866"/>
      <c r="Q324" s="964"/>
      <c r="R324" s="868" t="e">
        <f t="shared" si="105"/>
        <v>#DIV/0!</v>
      </c>
    </row>
    <row r="325" spans="1:18" ht="15.6" x14ac:dyDescent="0.3">
      <c r="A325" s="691" t="s">
        <v>1916</v>
      </c>
      <c r="B325" s="691" t="str">
        <f>Прейскурант!A329</f>
        <v>А09.28.003.000</v>
      </c>
      <c r="C325" s="692" t="s">
        <v>526</v>
      </c>
      <c r="D325" s="696">
        <f>'КМУ параклиника '!C312</f>
        <v>22.420123808013045</v>
      </c>
      <c r="E325" s="696">
        <f t="shared" si="109"/>
        <v>4.5288650092186344</v>
      </c>
      <c r="F325" s="696">
        <f>'КМУ параклиника '!I312</f>
        <v>9.3936000000000011</v>
      </c>
      <c r="G325" s="696">
        <f>'КМУ параклиника '!N312</f>
        <v>8.2000430473983976E-2</v>
      </c>
      <c r="H325" s="696">
        <f>'КМУ параклиника '!S312</f>
        <v>9.8377551924086384E-2</v>
      </c>
      <c r="I325" s="696">
        <f>'КМУ параклиника '!Y312</f>
        <v>4.3489191438431192</v>
      </c>
      <c r="J325" s="696">
        <f>'КМУ параклиника '!Z312</f>
        <v>53.141123085015408</v>
      </c>
      <c r="K325" s="696">
        <f t="shared" si="110"/>
        <v>94.013009028488284</v>
      </c>
      <c r="L325" s="863">
        <f t="shared" si="107"/>
        <v>1.8802601805697656</v>
      </c>
      <c r="M325" s="864">
        <f t="shared" si="108"/>
        <v>95.893269209058047</v>
      </c>
      <c r="N325" s="865"/>
      <c r="O325" s="700">
        <v>45</v>
      </c>
      <c r="P325" s="866"/>
      <c r="Q325" s="964"/>
      <c r="R325" s="868">
        <f t="shared" si="105"/>
        <v>213.09615379790677</v>
      </c>
    </row>
    <row r="326" spans="1:18" ht="15.6" x14ac:dyDescent="0.3">
      <c r="A326" s="691" t="s">
        <v>1906</v>
      </c>
      <c r="B326" s="691" t="str">
        <f>Прейскурант!A330</f>
        <v>A09.28.011.000</v>
      </c>
      <c r="C326" s="692" t="s">
        <v>450</v>
      </c>
      <c r="D326" s="696">
        <f>'КМУ параклиника '!C272</f>
        <v>11.210061904006523</v>
      </c>
      <c r="E326" s="696">
        <f t="shared" si="109"/>
        <v>2.2644325046093172</v>
      </c>
      <c r="F326" s="696">
        <f>'КМУ параклиника '!I272</f>
        <v>6.5736000000000008</v>
      </c>
      <c r="G326" s="696">
        <f>'КМУ параклиника '!N272</f>
        <v>4.1000215236991988E-2</v>
      </c>
      <c r="H326" s="696">
        <f>'КМУ параклиника '!S272</f>
        <v>0.44703241573155073</v>
      </c>
      <c r="I326" s="696">
        <f>'КМУ параклиника '!Y272</f>
        <v>4.3489191438431192</v>
      </c>
      <c r="J326" s="696">
        <f>'КМУ параклиника '!Z272</f>
        <v>32.35523078232216</v>
      </c>
      <c r="K326" s="696">
        <f t="shared" si="110"/>
        <v>57.240276965749658</v>
      </c>
      <c r="L326" s="863">
        <f>K326*10%</f>
        <v>5.7240276965749661</v>
      </c>
      <c r="M326" s="864">
        <f t="shared" si="108"/>
        <v>62.964304662324622</v>
      </c>
      <c r="N326" s="865"/>
      <c r="O326" s="700">
        <v>90</v>
      </c>
      <c r="P326" s="866"/>
      <c r="Q326" s="964"/>
      <c r="R326" s="868">
        <f t="shared" si="105"/>
        <v>69.960338513694026</v>
      </c>
    </row>
    <row r="327" spans="1:18" ht="15" customHeight="1" x14ac:dyDescent="0.25">
      <c r="A327" s="1169" t="s">
        <v>1788</v>
      </c>
      <c r="B327" s="1170"/>
      <c r="C327" s="1170"/>
      <c r="D327" s="708"/>
      <c r="E327" s="709"/>
      <c r="F327" s="696"/>
      <c r="G327" s="696"/>
      <c r="H327" s="696"/>
      <c r="I327" s="696"/>
      <c r="J327" s="696"/>
      <c r="K327" s="696"/>
      <c r="L327" s="863"/>
      <c r="M327" s="864"/>
      <c r="N327" s="865"/>
      <c r="P327" s="866"/>
      <c r="R327" s="868"/>
    </row>
    <row r="328" spans="1:18" ht="15.6" x14ac:dyDescent="0.3">
      <c r="A328" s="691" t="s">
        <v>1907</v>
      </c>
      <c r="B328" s="691" t="str">
        <f>Прейскурант!A332</f>
        <v>А26.21.001.000</v>
      </c>
      <c r="C328" s="692" t="s">
        <v>1784</v>
      </c>
      <c r="D328" s="696">
        <f>'КМУ параклиника '!C452</f>
        <v>44.84024761602609</v>
      </c>
      <c r="E328" s="696">
        <f>D328*20.2%</f>
        <v>9.0577300184372689</v>
      </c>
      <c r="F328" s="696">
        <f>'КМУ параклиника '!I452</f>
        <v>6.5736000000000008</v>
      </c>
      <c r="G328" s="696">
        <f>'КМУ параклиника '!N452</f>
        <v>0.16400086094796795</v>
      </c>
      <c r="H328" s="696">
        <f>'КМУ параклиника '!S452</f>
        <v>9.8377551924086384E-2</v>
      </c>
      <c r="I328" s="696">
        <f>'КМУ параклиника '!Y452</f>
        <v>4.3489191438431192</v>
      </c>
      <c r="J328" s="696">
        <f>'КМУ параклиника '!Z452</f>
        <v>84.619953335269074</v>
      </c>
      <c r="K328" s="696">
        <f t="shared" si="106"/>
        <v>149.7028285264476</v>
      </c>
      <c r="L328" s="863">
        <f t="shared" si="107"/>
        <v>2.9940565705289521</v>
      </c>
      <c r="M328" s="864">
        <f t="shared" si="108"/>
        <v>152.69688509697656</v>
      </c>
      <c r="N328" s="865"/>
      <c r="O328" s="700">
        <v>136</v>
      </c>
      <c r="P328" s="866"/>
      <c r="Q328" s="964"/>
      <c r="R328" s="868">
        <f t="shared" si="105"/>
        <v>112.2771213948357</v>
      </c>
    </row>
    <row r="329" spans="1:18" ht="15.6" x14ac:dyDescent="0.3">
      <c r="A329" s="710"/>
      <c r="B329" s="710"/>
      <c r="C329" s="711" t="s">
        <v>337</v>
      </c>
      <c r="D329" s="701"/>
      <c r="E329" s="701"/>
      <c r="F329" s="701"/>
      <c r="G329" s="701"/>
      <c r="H329" s="701"/>
      <c r="I329" s="701"/>
      <c r="J329" s="701"/>
      <c r="K329" s="701"/>
      <c r="L329" s="696"/>
      <c r="M329" s="975"/>
      <c r="N329" s="976"/>
      <c r="P329" s="866"/>
      <c r="Q329" s="964"/>
      <c r="R329" s="868"/>
    </row>
    <row r="330" spans="1:18" ht="27.6" x14ac:dyDescent="0.3">
      <c r="A330" s="691" t="s">
        <v>2056</v>
      </c>
      <c r="B330" s="691" t="str">
        <f>Прейскурант!A334</f>
        <v>B06.070.008.000</v>
      </c>
      <c r="C330" s="692" t="s">
        <v>2220</v>
      </c>
      <c r="D330" s="696">
        <f>'КМУ дневной стационар'!C7</f>
        <v>150.44221094057906</v>
      </c>
      <c r="E330" s="696">
        <f>D330*20.2%</f>
        <v>30.389326609996967</v>
      </c>
      <c r="F330" s="696">
        <f>'КМУ дневной стационар'!I7</f>
        <v>173.86430000000001</v>
      </c>
      <c r="G330" s="696">
        <f>'КМУ дневной стационар'!N7</f>
        <v>0.47597951022255069</v>
      </c>
      <c r="H330" s="696">
        <f>'КМУ дневной стационар'!S7</f>
        <v>9.3283608428571441</v>
      </c>
      <c r="I330" s="696">
        <f>'КМУ дневной стационар'!Y7</f>
        <v>5.6091361108207831</v>
      </c>
      <c r="J330" s="696">
        <f>'КМУ дневной стационар'!Z7</f>
        <v>481.21157507034104</v>
      </c>
      <c r="K330" s="696">
        <f>D330+E330+F330+I330+G330+H330+J330</f>
        <v>851.32088908481751</v>
      </c>
      <c r="L330" s="696">
        <f>K330*15%</f>
        <v>127.69813336272261</v>
      </c>
      <c r="M330" s="952">
        <f>K330+L330</f>
        <v>979.01902244754012</v>
      </c>
      <c r="N330" s="865"/>
      <c r="O330" s="700">
        <v>896</v>
      </c>
      <c r="P330" s="866"/>
      <c r="Q330" s="964"/>
      <c r="R330" s="868">
        <f t="shared" si="105"/>
        <v>109.26551589816296</v>
      </c>
    </row>
    <row r="331" spans="1:18" ht="15.6" x14ac:dyDescent="0.3">
      <c r="A331" s="977"/>
      <c r="B331" s="977"/>
      <c r="C331" s="978"/>
      <c r="D331" s="967"/>
      <c r="E331" s="967"/>
      <c r="F331" s="966"/>
      <c r="G331" s="966"/>
      <c r="H331" s="966"/>
      <c r="I331" s="967"/>
      <c r="J331" s="967"/>
      <c r="K331" s="967"/>
      <c r="L331" s="967"/>
      <c r="M331" s="976"/>
      <c r="R331" s="868"/>
    </row>
    <row r="333" spans="1:18" ht="15.6" x14ac:dyDescent="0.3">
      <c r="C333" s="979" t="s">
        <v>338</v>
      </c>
    </row>
  </sheetData>
  <mergeCells count="26">
    <mergeCell ref="B121:D121"/>
    <mergeCell ref="A6:K6"/>
    <mergeCell ref="A7:C7"/>
    <mergeCell ref="A41:C41"/>
    <mergeCell ref="A1:K1"/>
    <mergeCell ref="A2:K2"/>
    <mergeCell ref="A3:K3"/>
    <mergeCell ref="A4:K4"/>
    <mergeCell ref="A5:K5"/>
    <mergeCell ref="A8:C8"/>
    <mergeCell ref="A327:C327"/>
    <mergeCell ref="A301:C301"/>
    <mergeCell ref="A317:C317"/>
    <mergeCell ref="A300:C300"/>
    <mergeCell ref="A44:C44"/>
    <mergeCell ref="A90:C90"/>
    <mergeCell ref="A141:C141"/>
    <mergeCell ref="A229:C229"/>
    <mergeCell ref="A322:C322"/>
    <mergeCell ref="A259:C259"/>
    <mergeCell ref="A98:C98"/>
    <mergeCell ref="A111:C111"/>
    <mergeCell ref="A283:C283"/>
    <mergeCell ref="A165:K165"/>
    <mergeCell ref="A142:K142"/>
    <mergeCell ref="B51:C51"/>
  </mergeCells>
  <phoneticPr fontId="2" type="noConversion"/>
  <pageMargins left="0.35433070866141736" right="0.15748031496062992" top="0.55118110236220474" bottom="0.35433070866141736" header="0.35433070866141736" footer="0.19685039370078741"/>
  <pageSetup paperSize="9" scale="68" fitToWidth="5" orientation="landscape" r:id="rId1"/>
  <headerFooter alignWithMargins="0">
    <oddHeader>&amp;C&amp;F</oddHeader>
    <oddFooter>&amp;R&amp;P</oddFooter>
  </headerFooter>
  <rowBreaks count="5" manualBreakCount="5">
    <brk id="90" max="11" man="1"/>
    <brk id="141" max="12" man="1"/>
    <brk id="206" max="11" man="1"/>
    <brk id="244" max="11" man="1"/>
    <brk id="285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30"/>
  <sheetViews>
    <sheetView view="pageBreakPreview" topLeftCell="A48" zoomScale="75" zoomScaleSheetLayoutView="75" workbookViewId="0">
      <selection activeCell="M53" sqref="M53"/>
    </sheetView>
  </sheetViews>
  <sheetFormatPr defaultColWidth="9.109375" defaultRowHeight="15" x14ac:dyDescent="0.25"/>
  <cols>
    <col min="1" max="1" width="6.5546875" style="5" customWidth="1"/>
    <col min="2" max="2" width="57.88671875" style="5" customWidth="1"/>
    <col min="3" max="3" width="20.5546875" style="5" customWidth="1"/>
    <col min="4" max="4" width="12" style="5" customWidth="1"/>
    <col min="5" max="5" width="19" style="5" customWidth="1"/>
    <col min="6" max="6" width="11" style="5" customWidth="1"/>
    <col min="7" max="7" width="0.88671875" style="5" customWidth="1"/>
    <col min="8" max="8" width="20.44140625" style="185" customWidth="1"/>
    <col min="9" max="16384" width="9.109375" style="5"/>
  </cols>
  <sheetData>
    <row r="1" spans="1:6" ht="39.75" customHeight="1" x14ac:dyDescent="0.4">
      <c r="A1" s="996" t="s">
        <v>862</v>
      </c>
      <c r="B1" s="996"/>
      <c r="C1" s="996"/>
      <c r="D1" s="996"/>
      <c r="E1" s="996"/>
      <c r="F1" s="996"/>
    </row>
    <row r="2" spans="1:6" ht="15" customHeight="1" x14ac:dyDescent="0.35">
      <c r="A2" s="182"/>
      <c r="B2" s="182"/>
      <c r="C2" s="182"/>
      <c r="D2" s="182"/>
      <c r="E2" s="182"/>
      <c r="F2" s="182"/>
    </row>
    <row r="3" spans="1:6" ht="15" customHeight="1" x14ac:dyDescent="0.35">
      <c r="A3" s="182"/>
      <c r="B3" s="182"/>
      <c r="C3" s="182"/>
      <c r="D3" s="182"/>
      <c r="E3" s="182"/>
      <c r="F3" s="182"/>
    </row>
    <row r="4" spans="1:6" ht="15" customHeight="1" x14ac:dyDescent="0.35">
      <c r="A4" s="182"/>
      <c r="B4" s="182"/>
      <c r="C4" s="182"/>
      <c r="D4" s="182"/>
      <c r="E4" s="182"/>
      <c r="F4" s="182"/>
    </row>
    <row r="6" spans="1:6" ht="40.5" customHeight="1" x14ac:dyDescent="0.25">
      <c r="B6" s="999" t="s">
        <v>509</v>
      </c>
      <c r="C6" s="999"/>
    </row>
    <row r="8" spans="1:6" ht="50.25" customHeight="1" x14ac:dyDescent="0.25">
      <c r="B8" s="6" t="s">
        <v>493</v>
      </c>
      <c r="C8" s="6" t="s">
        <v>512</v>
      </c>
    </row>
    <row r="9" spans="1:6" ht="48.75" customHeight="1" x14ac:dyDescent="0.25">
      <c r="B9" s="7" t="s">
        <v>494</v>
      </c>
      <c r="C9" s="6">
        <v>0.92300000000000004</v>
      </c>
    </row>
    <row r="10" spans="1:6" ht="18" customHeight="1" x14ac:dyDescent="0.25">
      <c r="B10" s="7" t="s">
        <v>495</v>
      </c>
      <c r="C10" s="6">
        <v>0.75</v>
      </c>
    </row>
    <row r="11" spans="1:6" ht="32.25" customHeight="1" x14ac:dyDescent="0.25">
      <c r="B11" s="7" t="s">
        <v>496</v>
      </c>
      <c r="C11" s="6">
        <v>0.8</v>
      </c>
    </row>
    <row r="12" spans="1:6" ht="35.25" customHeight="1" x14ac:dyDescent="0.25">
      <c r="B12" s="7" t="s">
        <v>497</v>
      </c>
      <c r="C12" s="6">
        <v>0.9</v>
      </c>
    </row>
    <row r="13" spans="1:6" ht="20.25" customHeight="1" x14ac:dyDescent="0.25">
      <c r="B13" s="7" t="s">
        <v>498</v>
      </c>
      <c r="C13" s="6">
        <v>1</v>
      </c>
    </row>
    <row r="14" spans="1:6" ht="20.25" customHeight="1" x14ac:dyDescent="0.25">
      <c r="B14" s="7" t="s">
        <v>499</v>
      </c>
      <c r="C14" s="6">
        <v>0.84</v>
      </c>
    </row>
    <row r="15" spans="1:6" ht="20.25" customHeight="1" x14ac:dyDescent="0.25">
      <c r="B15" s="7" t="s">
        <v>500</v>
      </c>
      <c r="C15" s="6">
        <v>0.85</v>
      </c>
    </row>
    <row r="16" spans="1:6" ht="20.25" customHeight="1" x14ac:dyDescent="0.25">
      <c r="B16" s="7" t="s">
        <v>501</v>
      </c>
      <c r="C16" s="6">
        <v>0.85</v>
      </c>
    </row>
    <row r="17" spans="2:8" ht="20.25" customHeight="1" x14ac:dyDescent="0.25">
      <c r="B17" s="7" t="s">
        <v>502</v>
      </c>
      <c r="C17" s="6">
        <v>0.92300000000000004</v>
      </c>
    </row>
    <row r="18" spans="2:8" ht="20.25" customHeight="1" x14ac:dyDescent="0.25">
      <c r="B18" s="7" t="s">
        <v>503</v>
      </c>
      <c r="C18" s="6">
        <v>0.92300000000000004</v>
      </c>
    </row>
    <row r="19" spans="2:8" ht="31.5" customHeight="1" x14ac:dyDescent="0.25">
      <c r="B19" s="7" t="s">
        <v>504</v>
      </c>
      <c r="C19" s="6">
        <v>0.77</v>
      </c>
    </row>
    <row r="20" spans="2:8" ht="31.5" customHeight="1" x14ac:dyDescent="0.25">
      <c r="B20" s="7" t="s">
        <v>506</v>
      </c>
      <c r="C20" s="6">
        <v>1.1200000000000001</v>
      </c>
    </row>
    <row r="21" spans="2:8" ht="19.5" customHeight="1" x14ac:dyDescent="0.25">
      <c r="B21" s="7" t="s">
        <v>507</v>
      </c>
      <c r="C21" s="6">
        <v>0.92300000000000004</v>
      </c>
    </row>
    <row r="22" spans="2:8" ht="19.5" customHeight="1" x14ac:dyDescent="0.25">
      <c r="B22" s="7" t="s">
        <v>508</v>
      </c>
      <c r="C22" s="6">
        <v>0.9</v>
      </c>
    </row>
    <row r="24" spans="2:8" ht="21" customHeight="1" x14ac:dyDescent="0.3">
      <c r="B24" s="1000" t="s">
        <v>2087</v>
      </c>
      <c r="C24" s="1000"/>
    </row>
    <row r="25" spans="2:8" ht="9" customHeight="1" x14ac:dyDescent="0.25">
      <c r="B25" s="5" t="s">
        <v>962</v>
      </c>
    </row>
    <row r="26" spans="2:8" ht="49.5" customHeight="1" x14ac:dyDescent="0.25">
      <c r="B26" s="9" t="s">
        <v>485</v>
      </c>
      <c r="C26" s="10" t="s">
        <v>1129</v>
      </c>
      <c r="D26" s="10" t="s">
        <v>513</v>
      </c>
      <c r="E26" s="10" t="s">
        <v>510</v>
      </c>
      <c r="F26" s="10" t="s">
        <v>511</v>
      </c>
      <c r="H26" s="208" t="s">
        <v>869</v>
      </c>
    </row>
    <row r="27" spans="2:8" ht="20.25" customHeight="1" x14ac:dyDescent="0.25">
      <c r="B27" s="13" t="s">
        <v>843</v>
      </c>
      <c r="C27" s="10">
        <v>1911.8</v>
      </c>
      <c r="D27" s="10">
        <v>0.92300000000000004</v>
      </c>
      <c r="E27" s="11">
        <f t="shared" ref="E27:E36" si="0">C27*D27*60/10</f>
        <v>10587.5484</v>
      </c>
      <c r="F27" s="11">
        <f t="shared" ref="F27:F32" si="1">E27/12</f>
        <v>882.29570000000001</v>
      </c>
      <c r="H27" s="199">
        <f>$C$36*D27*60/10/12</f>
        <v>814.17830000000004</v>
      </c>
    </row>
    <row r="28" spans="2:8" ht="62.25" customHeight="1" x14ac:dyDescent="0.25">
      <c r="B28" s="13" t="s">
        <v>514</v>
      </c>
      <c r="C28" s="10">
        <v>1616.6</v>
      </c>
      <c r="D28" s="10">
        <v>0.92300000000000004</v>
      </c>
      <c r="E28" s="11">
        <f t="shared" si="0"/>
        <v>8952.7307999999994</v>
      </c>
      <c r="F28" s="11">
        <f t="shared" si="1"/>
        <v>746.06089999999995</v>
      </c>
      <c r="H28" s="199">
        <f>F28</f>
        <v>746.06089999999995</v>
      </c>
    </row>
    <row r="29" spans="2:8" ht="18" customHeight="1" x14ac:dyDescent="0.25">
      <c r="B29" s="13" t="s">
        <v>495</v>
      </c>
      <c r="C29" s="10">
        <v>1764.2</v>
      </c>
      <c r="D29" s="10">
        <v>0.75</v>
      </c>
      <c r="E29" s="11">
        <f>C29*D29*60/10</f>
        <v>7938.9</v>
      </c>
      <c r="F29" s="11">
        <f t="shared" si="1"/>
        <v>661.57499999999993</v>
      </c>
      <c r="H29" s="199">
        <f>$C$36*D29*60/10/12</f>
        <v>661.57499999999993</v>
      </c>
    </row>
    <row r="30" spans="2:8" ht="19.5" customHeight="1" x14ac:dyDescent="0.25">
      <c r="B30" s="13" t="s">
        <v>863</v>
      </c>
      <c r="C30" s="10">
        <v>1764.2</v>
      </c>
      <c r="D30" s="10">
        <v>0.75</v>
      </c>
      <c r="E30" s="11">
        <f t="shared" si="0"/>
        <v>7938.9</v>
      </c>
      <c r="F30" s="11">
        <f t="shared" si="1"/>
        <v>661.57499999999993</v>
      </c>
      <c r="H30" s="199">
        <f>$C$36*D30*60/10/12</f>
        <v>661.57499999999993</v>
      </c>
    </row>
    <row r="31" spans="2:8" ht="33.75" customHeight="1" x14ac:dyDescent="0.25">
      <c r="B31" s="13" t="s">
        <v>1128</v>
      </c>
      <c r="C31" s="10">
        <v>1469</v>
      </c>
      <c r="D31" s="12">
        <v>0.9</v>
      </c>
      <c r="E31" s="11">
        <f t="shared" si="0"/>
        <v>7932.6000000000013</v>
      </c>
      <c r="F31" s="11">
        <f t="shared" si="1"/>
        <v>661.05000000000007</v>
      </c>
      <c r="H31" s="199">
        <f>F31</f>
        <v>661.05000000000007</v>
      </c>
    </row>
    <row r="32" spans="2:8" ht="18.75" customHeight="1" x14ac:dyDescent="0.25">
      <c r="B32" s="13" t="s">
        <v>864</v>
      </c>
      <c r="C32" s="10">
        <v>1764.2</v>
      </c>
      <c r="D32" s="12">
        <v>0.92300000000000004</v>
      </c>
      <c r="E32" s="11">
        <f t="shared" si="0"/>
        <v>9770.1396000000004</v>
      </c>
      <c r="F32" s="11">
        <f t="shared" si="1"/>
        <v>814.17830000000004</v>
      </c>
      <c r="H32" s="199">
        <f>$C$36*D32*60/10/12</f>
        <v>814.17830000000004</v>
      </c>
    </row>
    <row r="33" spans="2:8" ht="18.75" customHeight="1" x14ac:dyDescent="0.25">
      <c r="B33" s="13" t="s">
        <v>499</v>
      </c>
      <c r="C33" s="10">
        <v>1911.8</v>
      </c>
      <c r="D33" s="12">
        <v>0.84</v>
      </c>
      <c r="E33" s="11">
        <f t="shared" si="0"/>
        <v>9635.4719999999979</v>
      </c>
      <c r="F33" s="11">
        <f t="shared" ref="F33:F47" si="2">E33/12</f>
        <v>802.95599999999979</v>
      </c>
      <c r="H33" s="199">
        <f>$C$36*D33*60/10/12</f>
        <v>740.96399999999994</v>
      </c>
    </row>
    <row r="34" spans="2:8" ht="34.5" customHeight="1" x14ac:dyDescent="0.25">
      <c r="B34" s="13" t="s">
        <v>515</v>
      </c>
      <c r="C34" s="10">
        <v>1911.8</v>
      </c>
      <c r="D34" s="12">
        <v>0.85</v>
      </c>
      <c r="E34" s="11">
        <f t="shared" si="0"/>
        <v>9750.18</v>
      </c>
      <c r="F34" s="11">
        <f t="shared" si="2"/>
        <v>812.51499999999999</v>
      </c>
      <c r="H34" s="199">
        <f>$C$36*D34*60/10/12</f>
        <v>749.78499999999997</v>
      </c>
    </row>
    <row r="35" spans="2:8" ht="66" customHeight="1" x14ac:dyDescent="0.25">
      <c r="B35" s="13" t="s">
        <v>866</v>
      </c>
      <c r="C35" s="10">
        <v>1616.6</v>
      </c>
      <c r="D35" s="12">
        <v>0.85</v>
      </c>
      <c r="E35" s="11">
        <f t="shared" si="0"/>
        <v>8244.66</v>
      </c>
      <c r="F35" s="11">
        <f t="shared" si="2"/>
        <v>687.05499999999995</v>
      </c>
      <c r="H35" s="199">
        <f>F35</f>
        <v>687.05499999999995</v>
      </c>
    </row>
    <row r="36" spans="2:8" ht="80.25" customHeight="1" x14ac:dyDescent="0.25">
      <c r="B36" s="13" t="s">
        <v>844</v>
      </c>
      <c r="C36" s="10">
        <v>1764.2</v>
      </c>
      <c r="D36" s="10">
        <v>0.92300000000000004</v>
      </c>
      <c r="E36" s="11">
        <f t="shared" si="0"/>
        <v>9770.1396000000004</v>
      </c>
      <c r="F36" s="11">
        <f t="shared" si="2"/>
        <v>814.17830000000004</v>
      </c>
      <c r="H36" s="199">
        <f>$C$36*D36*60/10/12</f>
        <v>814.17830000000004</v>
      </c>
    </row>
    <row r="37" spans="2:8" ht="25.5" customHeight="1" x14ac:dyDescent="0.25">
      <c r="B37" s="9" t="s">
        <v>486</v>
      </c>
      <c r="C37" s="10"/>
      <c r="D37" s="10"/>
      <c r="E37" s="10"/>
      <c r="F37" s="10"/>
      <c r="H37" s="188"/>
    </row>
    <row r="38" spans="2:8" ht="18.75" customHeight="1" x14ac:dyDescent="0.25">
      <c r="B38" s="13" t="s">
        <v>1130</v>
      </c>
      <c r="C38" s="10">
        <v>1616.6</v>
      </c>
      <c r="D38" s="10">
        <v>0.92300000000000004</v>
      </c>
      <c r="E38" s="11">
        <f t="shared" ref="E38:E47" si="3">C38*D38*60/10</f>
        <v>8952.7307999999994</v>
      </c>
      <c r="F38" s="11">
        <f>E38/12</f>
        <v>746.06089999999995</v>
      </c>
      <c r="H38" s="199">
        <f t="shared" ref="H38:H44" si="4">F38</f>
        <v>746.06089999999995</v>
      </c>
    </row>
    <row r="39" spans="2:8" ht="18.75" customHeight="1" x14ac:dyDescent="0.25">
      <c r="B39" s="13" t="s">
        <v>1131</v>
      </c>
      <c r="C39" s="10">
        <v>1764.2</v>
      </c>
      <c r="D39" s="10">
        <v>0.8</v>
      </c>
      <c r="E39" s="11">
        <f t="shared" si="3"/>
        <v>8468.16</v>
      </c>
      <c r="F39" s="11">
        <f>E39/12</f>
        <v>705.68</v>
      </c>
      <c r="H39" s="199">
        <f t="shared" si="4"/>
        <v>705.68</v>
      </c>
    </row>
    <row r="40" spans="2:8" ht="18.75" customHeight="1" x14ac:dyDescent="0.25">
      <c r="B40" s="13" t="s">
        <v>865</v>
      </c>
      <c r="C40" s="10">
        <v>1764.2</v>
      </c>
      <c r="D40" s="10">
        <v>0.92300000000000004</v>
      </c>
      <c r="E40" s="11">
        <f t="shared" si="3"/>
        <v>9770.1396000000004</v>
      </c>
      <c r="F40" s="11">
        <f>E40/12</f>
        <v>814.17830000000004</v>
      </c>
      <c r="H40" s="199">
        <f t="shared" si="4"/>
        <v>814.17830000000004</v>
      </c>
    </row>
    <row r="41" spans="2:8" ht="37.5" customHeight="1" x14ac:dyDescent="0.25">
      <c r="B41" s="13" t="s">
        <v>1125</v>
      </c>
      <c r="C41" s="10">
        <v>1764.2</v>
      </c>
      <c r="D41" s="10">
        <v>0.8</v>
      </c>
      <c r="E41" s="11">
        <f t="shared" si="3"/>
        <v>8468.16</v>
      </c>
      <c r="F41" s="11">
        <f t="shared" si="2"/>
        <v>705.68</v>
      </c>
      <c r="H41" s="199">
        <f t="shared" si="4"/>
        <v>705.68</v>
      </c>
    </row>
    <row r="42" spans="2:8" ht="32.25" customHeight="1" x14ac:dyDescent="0.25">
      <c r="B42" s="13" t="s">
        <v>1132</v>
      </c>
      <c r="C42" s="10">
        <v>1764.2</v>
      </c>
      <c r="D42" s="10">
        <v>0.8</v>
      </c>
      <c r="E42" s="11">
        <f t="shared" si="3"/>
        <v>8468.16</v>
      </c>
      <c r="F42" s="11">
        <f t="shared" si="2"/>
        <v>705.68</v>
      </c>
      <c r="H42" s="199">
        <f t="shared" si="4"/>
        <v>705.68</v>
      </c>
    </row>
    <row r="43" spans="2:8" ht="19.5" customHeight="1" x14ac:dyDescent="0.25">
      <c r="B43" s="13" t="s">
        <v>344</v>
      </c>
      <c r="C43" s="10">
        <v>1469</v>
      </c>
      <c r="D43" s="12">
        <v>0.9</v>
      </c>
      <c r="E43" s="11">
        <f t="shared" si="3"/>
        <v>7932.6000000000013</v>
      </c>
      <c r="F43" s="11">
        <f t="shared" si="2"/>
        <v>661.05000000000007</v>
      </c>
      <c r="H43" s="199">
        <f t="shared" si="4"/>
        <v>661.05000000000007</v>
      </c>
    </row>
    <row r="44" spans="2:8" ht="65.25" customHeight="1" x14ac:dyDescent="0.25">
      <c r="B44" s="13" t="s">
        <v>867</v>
      </c>
      <c r="C44" s="10">
        <v>1616.6</v>
      </c>
      <c r="D44" s="12">
        <v>0.85</v>
      </c>
      <c r="E44" s="11">
        <f t="shared" si="3"/>
        <v>8244.66</v>
      </c>
      <c r="F44" s="11">
        <f t="shared" si="2"/>
        <v>687.05499999999995</v>
      </c>
      <c r="H44" s="199">
        <f t="shared" si="4"/>
        <v>687.05499999999995</v>
      </c>
    </row>
    <row r="45" spans="2:8" ht="20.25" customHeight="1" x14ac:dyDescent="0.25">
      <c r="B45" s="13" t="s">
        <v>1126</v>
      </c>
      <c r="C45" s="10">
        <v>1911.8</v>
      </c>
      <c r="D45" s="10">
        <v>0.77</v>
      </c>
      <c r="E45" s="11">
        <f t="shared" si="3"/>
        <v>8832.5159999999996</v>
      </c>
      <c r="F45" s="11">
        <f t="shared" si="2"/>
        <v>736.04300000000001</v>
      </c>
      <c r="H45" s="199">
        <f>$C$36*D45*60/10/12</f>
        <v>679.21699999999998</v>
      </c>
    </row>
    <row r="46" spans="2:8" ht="22.5" customHeight="1" x14ac:dyDescent="0.25">
      <c r="B46" s="13" t="s">
        <v>1127</v>
      </c>
      <c r="C46" s="10">
        <v>1616.6</v>
      </c>
      <c r="D46" s="10">
        <v>1.1200000000000001</v>
      </c>
      <c r="E46" s="11">
        <f t="shared" si="3"/>
        <v>10863.552</v>
      </c>
      <c r="F46" s="11">
        <f t="shared" si="2"/>
        <v>905.29599999999994</v>
      </c>
      <c r="H46" s="199">
        <f>$C$36*D46*60/10/12</f>
        <v>987.95200000000023</v>
      </c>
    </row>
    <row r="47" spans="2:8" ht="108.75" customHeight="1" x14ac:dyDescent="0.25">
      <c r="B47" s="13" t="s">
        <v>777</v>
      </c>
      <c r="C47" s="10">
        <v>1764.2</v>
      </c>
      <c r="D47" s="10">
        <v>0.92300000000000004</v>
      </c>
      <c r="E47" s="11">
        <f t="shared" si="3"/>
        <v>9770.1396000000004</v>
      </c>
      <c r="F47" s="11">
        <f t="shared" si="2"/>
        <v>814.17830000000004</v>
      </c>
      <c r="H47" s="199">
        <f>F47</f>
        <v>814.17830000000004</v>
      </c>
    </row>
    <row r="48" spans="2:8" ht="4.5" customHeight="1" x14ac:dyDescent="0.25">
      <c r="B48" s="209"/>
      <c r="C48" s="210"/>
      <c r="D48" s="210"/>
      <c r="E48" s="211"/>
      <c r="F48" s="211"/>
      <c r="H48" s="212"/>
    </row>
    <row r="49" spans="1:8" ht="30.75" customHeight="1" x14ac:dyDescent="0.25">
      <c r="B49" s="13" t="s">
        <v>870</v>
      </c>
      <c r="C49" s="10">
        <v>1911.8</v>
      </c>
      <c r="D49" s="10">
        <v>0.92300000000000004</v>
      </c>
      <c r="E49" s="11">
        <f>C49*D49*60/10</f>
        <v>10587.5484</v>
      </c>
      <c r="F49" s="11">
        <f>E49/12</f>
        <v>882.29570000000001</v>
      </c>
      <c r="H49" s="199">
        <f>$C$36*D49*60/10/12</f>
        <v>814.17830000000004</v>
      </c>
    </row>
    <row r="50" spans="1:8" ht="4.5" customHeight="1" x14ac:dyDescent="0.25">
      <c r="B50" s="209"/>
      <c r="C50" s="210"/>
      <c r="D50" s="210"/>
      <c r="E50" s="211"/>
      <c r="F50" s="211"/>
      <c r="H50" s="212"/>
    </row>
    <row r="51" spans="1:8" ht="30.75" customHeight="1" x14ac:dyDescent="0.25">
      <c r="B51" s="1002" t="s">
        <v>999</v>
      </c>
      <c r="C51" s="1002"/>
      <c r="D51" s="1002"/>
      <c r="E51" s="1002"/>
      <c r="F51" s="1002"/>
      <c r="H51" s="212"/>
    </row>
    <row r="52" spans="1:8" ht="65.25" customHeight="1" x14ac:dyDescent="0.25">
      <c r="B52" s="994" t="s">
        <v>2088</v>
      </c>
      <c r="C52" s="994"/>
      <c r="D52" s="994"/>
      <c r="E52" s="233">
        <f>1915.8*0.923*60/10</f>
        <v>10609.7004</v>
      </c>
      <c r="F52" s="207">
        <f>E52/12</f>
        <v>884.14170000000001</v>
      </c>
    </row>
    <row r="53" spans="1:8" ht="90.75" customHeight="1" x14ac:dyDescent="0.25">
      <c r="B53" s="994" t="s">
        <v>1387</v>
      </c>
      <c r="C53" s="994"/>
      <c r="D53" s="994"/>
      <c r="E53" s="233">
        <f>1768.2*0.923*60/10</f>
        <v>9792.2916000000005</v>
      </c>
      <c r="F53" s="207">
        <f>E53/12</f>
        <v>816.02430000000004</v>
      </c>
    </row>
    <row r="54" spans="1:8" ht="60.75" customHeight="1" x14ac:dyDescent="0.25">
      <c r="B54" s="994" t="s">
        <v>855</v>
      </c>
      <c r="C54" s="994"/>
      <c r="D54" s="994"/>
      <c r="E54" s="233">
        <f>1768.2*0.923*60/10</f>
        <v>9792.2916000000005</v>
      </c>
      <c r="F54" s="207">
        <f>E54/12</f>
        <v>816.02430000000004</v>
      </c>
    </row>
    <row r="55" spans="1:8" ht="24" customHeight="1" x14ac:dyDescent="0.25">
      <c r="A55" s="1001" t="s">
        <v>781</v>
      </c>
      <c r="B55" s="1001"/>
      <c r="C55" s="1001"/>
      <c r="D55" s="29"/>
    </row>
    <row r="56" spans="1:8" x14ac:dyDescent="0.25">
      <c r="A56" s="15"/>
      <c r="B56" s="15"/>
      <c r="C56" s="15"/>
      <c r="D56" s="17"/>
    </row>
    <row r="57" spans="1:8" ht="30" x14ac:dyDescent="0.25">
      <c r="A57" s="188" t="s">
        <v>346</v>
      </c>
      <c r="B57" s="188" t="s">
        <v>347</v>
      </c>
      <c r="C57" s="10" t="s">
        <v>2091</v>
      </c>
      <c r="D57" s="21"/>
    </row>
    <row r="58" spans="1:8" ht="48.75" customHeight="1" x14ac:dyDescent="0.25">
      <c r="A58" s="188">
        <v>1</v>
      </c>
      <c r="B58" s="194" t="s">
        <v>1395</v>
      </c>
      <c r="C58" s="737">
        <v>7580901.04</v>
      </c>
      <c r="D58" s="16"/>
      <c r="E58" s="153"/>
    </row>
    <row r="59" spans="1:8" x14ac:dyDescent="0.25">
      <c r="A59" s="188">
        <v>2</v>
      </c>
      <c r="B59" s="195" t="s">
        <v>348</v>
      </c>
      <c r="C59" s="737">
        <v>1531342.01</v>
      </c>
      <c r="D59" s="22"/>
    </row>
    <row r="60" spans="1:8" x14ac:dyDescent="0.25">
      <c r="A60" s="188">
        <v>3</v>
      </c>
      <c r="B60" s="196" t="s">
        <v>349</v>
      </c>
      <c r="C60" s="188">
        <f>C61+C62+C63+C64</f>
        <v>1096727.4099999999</v>
      </c>
      <c r="D60" s="16"/>
    </row>
    <row r="61" spans="1:8" x14ac:dyDescent="0.25">
      <c r="A61" s="188"/>
      <c r="B61" s="197" t="s">
        <v>350</v>
      </c>
      <c r="C61" s="190">
        <v>487579.79</v>
      </c>
      <c r="D61" s="16"/>
    </row>
    <row r="62" spans="1:8" x14ac:dyDescent="0.25">
      <c r="A62" s="188"/>
      <c r="B62" s="197" t="s">
        <v>351</v>
      </c>
      <c r="C62" s="190"/>
      <c r="D62" s="16"/>
    </row>
    <row r="63" spans="1:8" x14ac:dyDescent="0.25">
      <c r="A63" s="188"/>
      <c r="B63" s="198" t="s">
        <v>352</v>
      </c>
      <c r="C63" s="190">
        <v>36107.25</v>
      </c>
      <c r="D63" s="16"/>
    </row>
    <row r="64" spans="1:8" x14ac:dyDescent="0.25">
      <c r="A64" s="188"/>
      <c r="B64" s="198" t="s">
        <v>353</v>
      </c>
      <c r="C64" s="190">
        <v>573040.37</v>
      </c>
      <c r="D64" s="16"/>
    </row>
    <row r="65" spans="1:7" ht="15.75" customHeight="1" x14ac:dyDescent="0.25">
      <c r="A65" s="188">
        <v>4</v>
      </c>
      <c r="B65" s="198" t="s">
        <v>778</v>
      </c>
      <c r="C65" s="190">
        <v>314726</v>
      </c>
      <c r="D65" s="16"/>
    </row>
    <row r="66" spans="1:7" ht="30" customHeight="1" x14ac:dyDescent="0.25">
      <c r="A66" s="188"/>
      <c r="B66" s="193" t="s">
        <v>782</v>
      </c>
      <c r="C66" s="199">
        <f>C58+C59+C60+C65</f>
        <v>10523696.460000001</v>
      </c>
      <c r="D66" s="16"/>
    </row>
    <row r="67" spans="1:7" x14ac:dyDescent="0.25">
      <c r="A67" s="185"/>
      <c r="B67" s="185"/>
      <c r="C67" s="185"/>
      <c r="D67" s="17"/>
    </row>
    <row r="68" spans="1:7" ht="36.75" customHeight="1" x14ac:dyDescent="0.25">
      <c r="A68" s="188" t="s">
        <v>346</v>
      </c>
      <c r="B68" s="188" t="s">
        <v>355</v>
      </c>
      <c r="C68" s="10" t="s">
        <v>2090</v>
      </c>
      <c r="D68" s="4"/>
    </row>
    <row r="69" spans="1:7" x14ac:dyDescent="0.25">
      <c r="A69" s="188"/>
      <c r="B69" s="188"/>
      <c r="C69" s="10"/>
      <c r="D69" s="4"/>
    </row>
    <row r="70" spans="1:7" ht="47.25" customHeight="1" x14ac:dyDescent="0.25">
      <c r="A70" s="188">
        <v>1</v>
      </c>
      <c r="B70" s="189" t="s">
        <v>357</v>
      </c>
      <c r="C70" s="188">
        <f>C71+C72+C73+C74+C75+C76+C77</f>
        <v>6441000.5999999996</v>
      </c>
      <c r="D70" s="17"/>
      <c r="E70" s="153">
        <f>C66+C89+1247291</f>
        <v>25453768.079999998</v>
      </c>
      <c r="G70" s="5">
        <f>C70+C58</f>
        <v>14021901.640000001</v>
      </c>
    </row>
    <row r="71" spans="1:7" ht="68.25" customHeight="1" x14ac:dyDescent="0.25">
      <c r="A71" s="188" t="s">
        <v>358</v>
      </c>
      <c r="B71" s="200" t="s">
        <v>1396</v>
      </c>
      <c r="C71" s="190">
        <v>5422067.9299999997</v>
      </c>
      <c r="D71" s="30"/>
      <c r="E71" s="748"/>
    </row>
    <row r="72" spans="1:7" ht="54" customHeight="1" x14ac:dyDescent="0.25">
      <c r="A72" s="188" t="s">
        <v>359</v>
      </c>
      <c r="B72" s="200" t="s">
        <v>824</v>
      </c>
      <c r="C72" s="190"/>
      <c r="D72" s="30"/>
      <c r="E72" s="748"/>
    </row>
    <row r="73" spans="1:7" ht="20.25" customHeight="1" x14ac:dyDescent="0.25">
      <c r="A73" s="188" t="s">
        <v>360</v>
      </c>
      <c r="B73" s="200" t="s">
        <v>361</v>
      </c>
      <c r="C73" s="190"/>
      <c r="D73" s="30"/>
      <c r="E73" s="31"/>
    </row>
    <row r="74" spans="1:7" ht="20.25" customHeight="1" x14ac:dyDescent="0.25">
      <c r="A74" s="188" t="s">
        <v>362</v>
      </c>
      <c r="B74" s="200" t="s">
        <v>363</v>
      </c>
      <c r="C74" s="190"/>
      <c r="D74" s="30"/>
      <c r="E74" s="31"/>
    </row>
    <row r="75" spans="1:7" ht="17.25" customHeight="1" x14ac:dyDescent="0.25">
      <c r="A75" s="188" t="s">
        <v>364</v>
      </c>
      <c r="B75" s="200" t="s">
        <v>365</v>
      </c>
      <c r="C75" s="190">
        <v>205668.22</v>
      </c>
      <c r="D75" s="30"/>
      <c r="E75" s="31"/>
    </row>
    <row r="76" spans="1:7" ht="18.75" customHeight="1" x14ac:dyDescent="0.25">
      <c r="A76" s="188" t="s">
        <v>366</v>
      </c>
      <c r="B76" s="200" t="s">
        <v>367</v>
      </c>
      <c r="C76" s="190"/>
      <c r="D76" s="30"/>
      <c r="E76" s="31"/>
    </row>
    <row r="77" spans="1:7" ht="20.25" customHeight="1" x14ac:dyDescent="0.25">
      <c r="A77" s="188" t="s">
        <v>368</v>
      </c>
      <c r="B77" s="200" t="s">
        <v>369</v>
      </c>
      <c r="C77" s="190">
        <v>813264.45</v>
      </c>
      <c r="D77" s="30"/>
      <c r="E77" s="31"/>
    </row>
    <row r="78" spans="1:7" ht="39" customHeight="1" x14ac:dyDescent="0.25">
      <c r="A78" s="188">
        <v>2</v>
      </c>
      <c r="B78" s="189" t="s">
        <v>372</v>
      </c>
      <c r="C78" s="737">
        <v>1252867.57</v>
      </c>
      <c r="D78" s="32"/>
      <c r="E78" s="31"/>
    </row>
    <row r="79" spans="1:7" ht="54" customHeight="1" x14ac:dyDescent="0.25">
      <c r="A79" s="188">
        <v>3</v>
      </c>
      <c r="B79" s="189" t="s">
        <v>462</v>
      </c>
      <c r="C79" s="188">
        <f>C80+C81+C82+C83+C84+C85+C86+C87+C88</f>
        <v>5988912.4499999993</v>
      </c>
      <c r="D79" s="30"/>
      <c r="E79" s="31"/>
    </row>
    <row r="80" spans="1:7" ht="22.5" customHeight="1" x14ac:dyDescent="0.25">
      <c r="A80" s="188" t="s">
        <v>463</v>
      </c>
      <c r="B80" s="200" t="s">
        <v>464</v>
      </c>
      <c r="C80" s="190">
        <v>1774045.27</v>
      </c>
      <c r="D80" s="30"/>
      <c r="E80" s="31"/>
    </row>
    <row r="81" spans="1:8" ht="22.5" customHeight="1" x14ac:dyDescent="0.25">
      <c r="A81" s="188" t="s">
        <v>465</v>
      </c>
      <c r="B81" s="200" t="s">
        <v>466</v>
      </c>
      <c r="C81" s="190">
        <v>144614.82999999999</v>
      </c>
      <c r="D81" s="30"/>
      <c r="E81" s="31"/>
    </row>
    <row r="82" spans="1:8" ht="22.5" customHeight="1" x14ac:dyDescent="0.25">
      <c r="A82" s="188" t="s">
        <v>467</v>
      </c>
      <c r="B82" s="200" t="s">
        <v>468</v>
      </c>
      <c r="C82" s="190">
        <v>876340.45</v>
      </c>
      <c r="D82" s="30"/>
      <c r="E82" s="31"/>
    </row>
    <row r="83" spans="1:8" ht="32.25" customHeight="1" x14ac:dyDescent="0.25">
      <c r="A83" s="188">
        <v>4</v>
      </c>
      <c r="B83" s="189" t="s">
        <v>469</v>
      </c>
      <c r="C83" s="190"/>
      <c r="D83" s="30"/>
      <c r="E83" s="31"/>
    </row>
    <row r="84" spans="1:8" ht="26.25" customHeight="1" x14ac:dyDescent="0.25">
      <c r="A84" s="188">
        <v>5</v>
      </c>
      <c r="B84" s="189" t="s">
        <v>470</v>
      </c>
      <c r="C84" s="190">
        <v>103981.28</v>
      </c>
      <c r="D84" s="30"/>
      <c r="E84" s="31"/>
    </row>
    <row r="85" spans="1:8" ht="35.25" customHeight="1" x14ac:dyDescent="0.25">
      <c r="A85" s="188">
        <v>6</v>
      </c>
      <c r="B85" s="189" t="s">
        <v>471</v>
      </c>
      <c r="C85" s="190"/>
      <c r="D85" s="30"/>
      <c r="E85" s="31"/>
      <c r="H85" s="237"/>
    </row>
    <row r="86" spans="1:8" ht="26.25" customHeight="1" x14ac:dyDescent="0.25">
      <c r="A86" s="188">
        <v>7</v>
      </c>
      <c r="B86" s="189" t="s">
        <v>472</v>
      </c>
      <c r="C86" s="190"/>
      <c r="D86" s="30"/>
      <c r="E86" s="31"/>
    </row>
    <row r="87" spans="1:8" ht="41.25" customHeight="1" x14ac:dyDescent="0.25">
      <c r="A87" s="188">
        <v>8</v>
      </c>
      <c r="B87" s="189" t="s">
        <v>473</v>
      </c>
      <c r="C87" s="190">
        <v>1377928.57</v>
      </c>
      <c r="D87" s="30"/>
      <c r="E87" s="31"/>
    </row>
    <row r="88" spans="1:8" ht="21.75" customHeight="1" x14ac:dyDescent="0.25">
      <c r="A88" s="188">
        <v>9</v>
      </c>
      <c r="B88" s="189" t="s">
        <v>474</v>
      </c>
      <c r="C88" s="190">
        <v>1712002.05</v>
      </c>
      <c r="D88" s="30"/>
      <c r="E88" s="31"/>
    </row>
    <row r="89" spans="1:8" ht="25.5" customHeight="1" x14ac:dyDescent="0.25">
      <c r="A89" s="188"/>
      <c r="B89" s="189" t="s">
        <v>354</v>
      </c>
      <c r="C89" s="201">
        <f>C70+C78+C79+83:83</f>
        <v>13682780.619999999</v>
      </c>
      <c r="D89" s="33"/>
      <c r="E89" s="31"/>
    </row>
    <row r="90" spans="1:8" x14ac:dyDescent="0.25">
      <c r="A90" s="202"/>
      <c r="B90" s="192"/>
      <c r="C90" s="202"/>
      <c r="D90" s="30"/>
      <c r="E90" s="31"/>
    </row>
    <row r="91" spans="1:8" ht="15" customHeight="1" x14ac:dyDescent="0.25">
      <c r="A91" s="185"/>
      <c r="B91" s="154" t="s">
        <v>783</v>
      </c>
      <c r="C91" s="203">
        <f>C89/C66</f>
        <v>1.3001876927947804</v>
      </c>
      <c r="D91" s="23"/>
    </row>
    <row r="92" spans="1:8" ht="17.25" customHeight="1" x14ac:dyDescent="0.25">
      <c r="A92" s="185"/>
      <c r="B92" s="204" t="s">
        <v>1191</v>
      </c>
      <c r="C92" s="205"/>
      <c r="D92" s="23"/>
    </row>
    <row r="93" spans="1:8" ht="30.75" customHeight="1" x14ac:dyDescent="0.25">
      <c r="A93" s="185"/>
      <c r="B93" s="184" t="s">
        <v>832</v>
      </c>
      <c r="C93" s="205"/>
      <c r="D93" s="23"/>
    </row>
    <row r="94" spans="1:8" ht="16.5" customHeight="1" x14ac:dyDescent="0.25">
      <c r="A94" s="185"/>
      <c r="B94" s="158" t="s">
        <v>1192</v>
      </c>
      <c r="C94" s="124">
        <f>(C70+C78)/(C58+C59)</f>
        <v>0.84434404655174333</v>
      </c>
      <c r="D94" s="23"/>
    </row>
    <row r="95" spans="1:8" ht="15" customHeight="1" x14ac:dyDescent="0.25">
      <c r="A95" s="185"/>
      <c r="B95" s="154"/>
      <c r="C95" s="203"/>
      <c r="D95" s="23"/>
    </row>
    <row r="96" spans="1:8" ht="14.25" customHeight="1" x14ac:dyDescent="0.25">
      <c r="A96" s="15"/>
      <c r="B96" s="18"/>
      <c r="C96" s="19"/>
      <c r="D96" s="24"/>
    </row>
    <row r="97" spans="1:4" x14ac:dyDescent="0.25">
      <c r="A97" s="15"/>
      <c r="B97" s="15"/>
      <c r="C97" s="15"/>
      <c r="D97" s="17"/>
    </row>
    <row r="98" spans="1:4" ht="54" customHeight="1" x14ac:dyDescent="0.25">
      <c r="A98" s="997" t="s">
        <v>475</v>
      </c>
      <c r="B98" s="998"/>
      <c r="C98" s="998"/>
      <c r="D98" s="27"/>
    </row>
    <row r="99" spans="1:4" ht="33" customHeight="1" x14ac:dyDescent="0.25">
      <c r="A99" s="15"/>
      <c r="B99" s="14" t="s">
        <v>860</v>
      </c>
      <c r="C99" s="15"/>
      <c r="D99" s="17"/>
    </row>
    <row r="100" spans="1:4" ht="94.5" customHeight="1" x14ac:dyDescent="0.25">
      <c r="A100" s="188" t="s">
        <v>346</v>
      </c>
      <c r="B100" s="188" t="s">
        <v>355</v>
      </c>
      <c r="C100" s="10" t="s">
        <v>2089</v>
      </c>
      <c r="D100" s="4"/>
    </row>
    <row r="101" spans="1:4" ht="21" customHeight="1" x14ac:dyDescent="0.25">
      <c r="A101" s="188">
        <v>1</v>
      </c>
      <c r="B101" s="189" t="s">
        <v>476</v>
      </c>
      <c r="C101" s="190"/>
      <c r="D101" s="17"/>
    </row>
    <row r="102" spans="1:4" ht="21" customHeight="1" x14ac:dyDescent="0.25">
      <c r="A102" s="188">
        <v>2</v>
      </c>
      <c r="B102" s="189" t="s">
        <v>784</v>
      </c>
      <c r="C102" s="191">
        <v>77067.06</v>
      </c>
      <c r="D102" s="17"/>
    </row>
    <row r="103" spans="1:4" ht="21" customHeight="1" x14ac:dyDescent="0.25">
      <c r="A103" s="188">
        <v>3</v>
      </c>
      <c r="B103" s="189" t="s">
        <v>477</v>
      </c>
      <c r="C103" s="737">
        <v>25804.799999999999</v>
      </c>
      <c r="D103" s="17"/>
    </row>
    <row r="104" spans="1:4" ht="21" customHeight="1" x14ac:dyDescent="0.25">
      <c r="A104" s="188">
        <v>4</v>
      </c>
      <c r="B104" s="189" t="s">
        <v>785</v>
      </c>
      <c r="C104" s="190"/>
      <c r="D104" s="17"/>
    </row>
    <row r="105" spans="1:4" ht="37.5" customHeight="1" x14ac:dyDescent="0.25">
      <c r="A105" s="188">
        <v>5</v>
      </c>
      <c r="B105" s="189" t="s">
        <v>345</v>
      </c>
      <c r="C105" s="736">
        <v>61723.12</v>
      </c>
      <c r="D105" s="25"/>
    </row>
    <row r="106" spans="1:4" ht="33.75" customHeight="1" x14ac:dyDescent="0.25">
      <c r="A106" s="188">
        <v>6</v>
      </c>
      <c r="B106" s="189" t="s">
        <v>478</v>
      </c>
      <c r="C106" s="190">
        <v>627050.37</v>
      </c>
      <c r="D106" s="17"/>
    </row>
    <row r="107" spans="1:4" ht="24" customHeight="1" x14ac:dyDescent="0.25">
      <c r="A107" s="188">
        <v>7</v>
      </c>
      <c r="B107" s="189" t="s">
        <v>479</v>
      </c>
      <c r="C107" s="190">
        <v>125538.08</v>
      </c>
      <c r="D107" s="17"/>
    </row>
    <row r="108" spans="1:4" ht="41.25" customHeight="1" x14ac:dyDescent="0.25">
      <c r="A108" s="188">
        <v>8</v>
      </c>
      <c r="B108" s="189" t="s">
        <v>480</v>
      </c>
      <c r="C108" s="190"/>
      <c r="D108" s="17"/>
    </row>
    <row r="109" spans="1:4" ht="53.25" customHeight="1" x14ac:dyDescent="0.25">
      <c r="A109" s="188">
        <v>9</v>
      </c>
      <c r="B109" s="189" t="s">
        <v>786</v>
      </c>
      <c r="C109" s="190">
        <v>180823</v>
      </c>
      <c r="D109" s="17"/>
    </row>
    <row r="110" spans="1:4" ht="33.75" customHeight="1" x14ac:dyDescent="0.25">
      <c r="A110" s="188">
        <v>10</v>
      </c>
      <c r="B110" s="189" t="s">
        <v>481</v>
      </c>
      <c r="C110" s="190"/>
      <c r="D110" s="17"/>
    </row>
    <row r="111" spans="1:4" ht="52.5" customHeight="1" x14ac:dyDescent="0.25">
      <c r="A111" s="188">
        <v>11</v>
      </c>
      <c r="B111" s="189" t="s">
        <v>482</v>
      </c>
      <c r="C111" s="190">
        <v>13978.78</v>
      </c>
      <c r="D111" s="17"/>
    </row>
    <row r="112" spans="1:4" ht="37.5" customHeight="1" x14ac:dyDescent="0.25">
      <c r="A112" s="188">
        <v>12</v>
      </c>
      <c r="B112" s="192" t="s">
        <v>963</v>
      </c>
      <c r="C112" s="190">
        <v>670027.43999999994</v>
      </c>
      <c r="D112" s="26"/>
    </row>
    <row r="113" spans="1:8" ht="24.75" customHeight="1" x14ac:dyDescent="0.25">
      <c r="A113" s="188"/>
      <c r="B113" s="193" t="s">
        <v>354</v>
      </c>
      <c r="C113" s="188">
        <f>SUM(C101:C112)</f>
        <v>1782012.65</v>
      </c>
      <c r="D113" s="26"/>
    </row>
    <row r="114" spans="1:8" x14ac:dyDescent="0.25">
      <c r="A114" s="15"/>
      <c r="B114" s="14" t="s">
        <v>1190</v>
      </c>
      <c r="C114" s="183">
        <v>14021901.640000001</v>
      </c>
      <c r="D114" s="17"/>
    </row>
    <row r="115" spans="1:8" ht="51.75" customHeight="1" x14ac:dyDescent="0.25">
      <c r="A115" s="15"/>
      <c r="B115" s="184" t="s">
        <v>1163</v>
      </c>
      <c r="C115" s="183"/>
      <c r="D115" s="17"/>
    </row>
    <row r="116" spans="1:8" ht="20.25" customHeight="1" x14ac:dyDescent="0.25">
      <c r="A116" s="15"/>
      <c r="B116" s="14" t="s">
        <v>483</v>
      </c>
      <c r="C116" s="185">
        <f>C114-C115</f>
        <v>14021901.640000001</v>
      </c>
      <c r="D116" s="17"/>
    </row>
    <row r="117" spans="1:8" x14ac:dyDescent="0.25">
      <c r="A117" s="15"/>
      <c r="B117" s="14"/>
      <c r="C117" s="185"/>
      <c r="D117" s="28"/>
    </row>
    <row r="118" spans="1:8" ht="41.25" customHeight="1" x14ac:dyDescent="0.25">
      <c r="A118" s="20"/>
      <c r="B118" s="186" t="s">
        <v>484</v>
      </c>
      <c r="C118" s="187">
        <f>C113/(C116-C113)</f>
        <v>0.14559058921661019</v>
      </c>
      <c r="D118" s="8"/>
    </row>
    <row r="119" spans="1:8" x14ac:dyDescent="0.25">
      <c r="B119" s="8"/>
      <c r="C119" s="8"/>
      <c r="D119" s="8"/>
    </row>
    <row r="120" spans="1:8" x14ac:dyDescent="0.25">
      <c r="B120" s="8"/>
      <c r="C120" s="8"/>
      <c r="D120" s="8"/>
    </row>
    <row r="121" spans="1:8" x14ac:dyDescent="0.25">
      <c r="B121" s="8"/>
      <c r="C121" s="8"/>
      <c r="D121" s="8"/>
    </row>
    <row r="122" spans="1:8" ht="78" customHeight="1" x14ac:dyDescent="0.3">
      <c r="B122" s="995" t="s">
        <v>1397</v>
      </c>
      <c r="C122" s="995"/>
      <c r="D122" s="995"/>
      <c r="E122" s="995"/>
      <c r="F122" s="995"/>
      <c r="G122" s="995"/>
      <c r="H122" s="995"/>
    </row>
    <row r="123" spans="1:8" ht="100.5" customHeight="1" x14ac:dyDescent="0.25">
      <c r="B123" s="188" t="s">
        <v>1388</v>
      </c>
      <c r="C123" s="10" t="s">
        <v>1389</v>
      </c>
      <c r="D123" s="10" t="s">
        <v>1390</v>
      </c>
      <c r="E123" s="10" t="s">
        <v>1398</v>
      </c>
      <c r="F123" s="235" t="s">
        <v>1391</v>
      </c>
      <c r="G123" s="188"/>
      <c r="H123" s="10" t="s">
        <v>1393</v>
      </c>
    </row>
    <row r="124" spans="1:8" x14ac:dyDescent="0.25">
      <c r="B124" s="234" t="s">
        <v>1435</v>
      </c>
      <c r="C124" s="238">
        <v>6785401.3499999996</v>
      </c>
      <c r="D124" s="236">
        <v>1.3599999999999999E-2</v>
      </c>
      <c r="E124" s="234">
        <v>2978.5</v>
      </c>
      <c r="F124" s="234"/>
      <c r="G124" s="234"/>
      <c r="H124" s="201">
        <f t="shared" ref="H124:H129" si="5">C124*D124/(E124-F124)</f>
        <v>30.982527567567566</v>
      </c>
    </row>
    <row r="125" spans="1:8" x14ac:dyDescent="0.25">
      <c r="B125" s="234"/>
      <c r="C125" s="234"/>
      <c r="D125" s="236"/>
      <c r="E125" s="234"/>
      <c r="F125" s="234"/>
      <c r="G125" s="234"/>
      <c r="H125" s="201" t="e">
        <f t="shared" si="5"/>
        <v>#DIV/0!</v>
      </c>
    </row>
    <row r="126" spans="1:8" x14ac:dyDescent="0.25">
      <c r="B126" s="234"/>
      <c r="C126" s="234"/>
      <c r="D126" s="236"/>
      <c r="E126" s="234"/>
      <c r="F126" s="234"/>
      <c r="G126" s="234"/>
      <c r="H126" s="201" t="e">
        <f t="shared" si="5"/>
        <v>#DIV/0!</v>
      </c>
    </row>
    <row r="127" spans="1:8" x14ac:dyDescent="0.25">
      <c r="B127" s="234"/>
      <c r="C127" s="234"/>
      <c r="D127" s="236"/>
      <c r="E127" s="234"/>
      <c r="F127" s="234"/>
      <c r="G127" s="234"/>
      <c r="H127" s="201" t="e">
        <f t="shared" si="5"/>
        <v>#DIV/0!</v>
      </c>
    </row>
    <row r="128" spans="1:8" x14ac:dyDescent="0.25">
      <c r="B128" s="234"/>
      <c r="C128" s="234"/>
      <c r="D128" s="236"/>
      <c r="E128" s="234"/>
      <c r="F128" s="234"/>
      <c r="G128" s="234"/>
      <c r="H128" s="201" t="e">
        <f t="shared" si="5"/>
        <v>#DIV/0!</v>
      </c>
    </row>
    <row r="129" spans="2:8" x14ac:dyDescent="0.25">
      <c r="B129" s="234"/>
      <c r="C129" s="234"/>
      <c r="D129" s="236"/>
      <c r="E129" s="234"/>
      <c r="F129" s="234"/>
      <c r="G129" s="234"/>
      <c r="H129" s="201" t="e">
        <f t="shared" si="5"/>
        <v>#DIV/0!</v>
      </c>
    </row>
    <row r="130" spans="2:8" x14ac:dyDescent="0.25">
      <c r="E130" s="8"/>
      <c r="F130" s="8"/>
    </row>
  </sheetData>
  <mergeCells count="10">
    <mergeCell ref="B53:D53"/>
    <mergeCell ref="B54:D54"/>
    <mergeCell ref="B122:H122"/>
    <mergeCell ref="A1:F1"/>
    <mergeCell ref="A98:C98"/>
    <mergeCell ref="B6:C6"/>
    <mergeCell ref="B24:C24"/>
    <mergeCell ref="A55:C55"/>
    <mergeCell ref="B51:F51"/>
    <mergeCell ref="B52:D52"/>
  </mergeCells>
  <phoneticPr fontId="2" type="noConversion"/>
  <pageMargins left="0.42" right="0.23" top="0.47" bottom="0.35" header="0.32" footer="0.17"/>
  <pageSetup paperSize="9" scale="70" orientation="portrait" r:id="rId1"/>
  <headerFooter alignWithMargins="0">
    <oddFooter>&amp;R&amp;P</oddFooter>
  </headerFooter>
  <rowBreaks count="4" manualBreakCount="4">
    <brk id="23" max="16383" man="1"/>
    <brk id="54" max="7" man="1"/>
    <brk id="94" max="7" man="1"/>
    <brk id="119" max="7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26"/>
  <sheetViews>
    <sheetView topLeftCell="A162" workbookViewId="0">
      <selection activeCell="B321" sqref="B321"/>
    </sheetView>
  </sheetViews>
  <sheetFormatPr defaultRowHeight="13.2" x14ac:dyDescent="0.25"/>
  <cols>
    <col min="1" max="1" width="11.5546875" customWidth="1"/>
    <col min="2" max="2" width="64.33203125" customWidth="1"/>
    <col min="3" max="3" width="13.44140625" customWidth="1"/>
    <col min="4" max="4" width="12.33203125" customWidth="1"/>
  </cols>
  <sheetData>
    <row r="2" spans="1:4" ht="12.75" customHeight="1" x14ac:dyDescent="0.25">
      <c r="A2" s="1088" t="s">
        <v>1038</v>
      </c>
      <c r="B2" s="1088"/>
      <c r="C2" s="1088"/>
      <c r="D2" s="1088"/>
    </row>
    <row r="3" spans="1:4" x14ac:dyDescent="0.25">
      <c r="A3" s="1089" t="s">
        <v>1039</v>
      </c>
      <c r="B3" s="1089"/>
      <c r="C3" s="1089"/>
      <c r="D3" s="1089"/>
    </row>
    <row r="4" spans="1:4" x14ac:dyDescent="0.25">
      <c r="A4" s="1089" t="s">
        <v>192</v>
      </c>
      <c r="B4" s="1089"/>
      <c r="C4" s="1089"/>
      <c r="D4" s="1089"/>
    </row>
    <row r="5" spans="1:4" ht="13.8" x14ac:dyDescent="0.3">
      <c r="A5" t="s">
        <v>1040</v>
      </c>
      <c r="B5" s="397"/>
      <c r="C5" s="398"/>
      <c r="D5" s="397"/>
    </row>
    <row r="6" spans="1:4" x14ac:dyDescent="0.25">
      <c r="A6" s="1089" t="s">
        <v>193</v>
      </c>
      <c r="B6" s="1089"/>
      <c r="C6" s="1089"/>
      <c r="D6" s="1089"/>
    </row>
    <row r="7" spans="1:4" x14ac:dyDescent="0.25">
      <c r="B7" s="1092"/>
      <c r="C7" s="1093"/>
      <c r="D7" s="1093"/>
    </row>
    <row r="12" spans="1:4" ht="21.6" x14ac:dyDescent="0.4">
      <c r="A12" s="1094" t="s">
        <v>1041</v>
      </c>
      <c r="B12" s="1094"/>
      <c r="C12" s="1094"/>
    </row>
    <row r="13" spans="1:4" ht="13.8" x14ac:dyDescent="0.25">
      <c r="A13" s="1090" t="s">
        <v>194</v>
      </c>
      <c r="B13" s="1090"/>
      <c r="C13" s="1090"/>
    </row>
    <row r="14" spans="1:4" x14ac:dyDescent="0.25">
      <c r="A14" s="1091" t="s">
        <v>370</v>
      </c>
      <c r="B14" s="1091"/>
      <c r="C14" s="1091"/>
    </row>
    <row r="15" spans="1:4" x14ac:dyDescent="0.25">
      <c r="A15" s="1095" t="s">
        <v>847</v>
      </c>
      <c r="B15" s="1095"/>
      <c r="C15" s="1095"/>
    </row>
    <row r="16" spans="1:4" ht="12.75" customHeight="1" x14ac:dyDescent="0.25">
      <c r="A16" s="1097" t="s">
        <v>848</v>
      </c>
      <c r="B16" s="1098" t="s">
        <v>849</v>
      </c>
      <c r="C16" s="1098" t="s">
        <v>1042</v>
      </c>
      <c r="D16" s="1104"/>
    </row>
    <row r="17" spans="1:4" x14ac:dyDescent="0.25">
      <c r="A17" s="1097"/>
      <c r="B17" s="1099"/>
      <c r="C17" s="1099"/>
      <c r="D17" s="1104"/>
    </row>
    <row r="18" spans="1:4" ht="13.8" x14ac:dyDescent="0.3">
      <c r="A18" s="396" t="s">
        <v>888</v>
      </c>
      <c r="B18" s="588" t="s">
        <v>889</v>
      </c>
      <c r="C18" s="251" t="e">
        <f>'Сводный расчет стоимости'!#REF!</f>
        <v>#REF!</v>
      </c>
    </row>
    <row r="19" spans="1:4" ht="13.8" x14ac:dyDescent="0.3">
      <c r="A19" s="396" t="s">
        <v>893</v>
      </c>
      <c r="B19" s="588" t="s">
        <v>892</v>
      </c>
      <c r="C19" s="251" t="e">
        <f>'Сводный расчет стоимости'!#REF!</f>
        <v>#REF!</v>
      </c>
    </row>
    <row r="20" spans="1:4" ht="13.8" x14ac:dyDescent="0.3">
      <c r="A20" s="396" t="s">
        <v>897</v>
      </c>
      <c r="B20" s="588" t="s">
        <v>896</v>
      </c>
      <c r="C20" s="251" t="e">
        <f>'Сводный расчет стоимости'!#REF!</f>
        <v>#REF!</v>
      </c>
    </row>
    <row r="21" spans="1:4" ht="12" customHeight="1" x14ac:dyDescent="0.3">
      <c r="A21" s="396" t="s">
        <v>901</v>
      </c>
      <c r="B21" s="588" t="s">
        <v>900</v>
      </c>
      <c r="C21" s="251" t="e">
        <f>'Сводный расчет стоимости'!#REF!</f>
        <v>#REF!</v>
      </c>
    </row>
    <row r="22" spans="1:4" ht="12" customHeight="1" x14ac:dyDescent="0.3">
      <c r="A22" s="396" t="s">
        <v>904</v>
      </c>
      <c r="B22" s="588" t="s">
        <v>906</v>
      </c>
      <c r="C22" s="251" t="e">
        <f>'Сводный расчет стоимости'!#REF!</f>
        <v>#REF!</v>
      </c>
    </row>
    <row r="23" spans="1:4" ht="12" customHeight="1" x14ac:dyDescent="0.3">
      <c r="A23" s="396" t="s">
        <v>909</v>
      </c>
      <c r="B23" s="588" t="s">
        <v>908</v>
      </c>
      <c r="C23" s="251" t="e">
        <f>'Сводный расчет стоимости'!#REF!</f>
        <v>#REF!</v>
      </c>
    </row>
    <row r="24" spans="1:4" ht="12.75" customHeight="1" x14ac:dyDescent="0.3">
      <c r="A24" s="396" t="s">
        <v>913</v>
      </c>
      <c r="B24" s="588" t="s">
        <v>912</v>
      </c>
      <c r="C24" s="251" t="e">
        <f>'Сводный расчет стоимости'!#REF!</f>
        <v>#REF!</v>
      </c>
    </row>
    <row r="25" spans="1:4" ht="14.25" customHeight="1" x14ac:dyDescent="0.3">
      <c r="A25" s="396"/>
      <c r="B25" s="248"/>
      <c r="C25" s="251"/>
    </row>
    <row r="26" spans="1:4" ht="13.8" x14ac:dyDescent="0.3">
      <c r="A26" s="396" t="s">
        <v>891</v>
      </c>
      <c r="B26" s="588" t="s">
        <v>890</v>
      </c>
      <c r="C26" s="251" t="e">
        <f>'Сводный расчет стоимости'!#REF!</f>
        <v>#REF!</v>
      </c>
    </row>
    <row r="27" spans="1:4" ht="15" customHeight="1" x14ac:dyDescent="0.3">
      <c r="A27" s="396" t="s">
        <v>895</v>
      </c>
      <c r="B27" s="588" t="s">
        <v>894</v>
      </c>
      <c r="C27" s="251" t="e">
        <f>'Сводный расчет стоимости'!#REF!</f>
        <v>#REF!</v>
      </c>
    </row>
    <row r="28" spans="1:4" ht="13.8" x14ac:dyDescent="0.3">
      <c r="A28" s="396" t="s">
        <v>899</v>
      </c>
      <c r="B28" s="588" t="s">
        <v>898</v>
      </c>
      <c r="C28" s="251" t="e">
        <f>'Сводный расчет стоимости'!#REF!</f>
        <v>#REF!</v>
      </c>
    </row>
    <row r="29" spans="1:4" ht="13.5" customHeight="1" x14ac:dyDescent="0.3">
      <c r="A29" s="396" t="s">
        <v>903</v>
      </c>
      <c r="B29" s="588" t="s">
        <v>902</v>
      </c>
      <c r="C29" s="251" t="e">
        <f>'Сводный расчет стоимости'!#REF!</f>
        <v>#REF!</v>
      </c>
    </row>
    <row r="30" spans="1:4" ht="12" customHeight="1" x14ac:dyDescent="0.3">
      <c r="A30" s="396" t="s">
        <v>907</v>
      </c>
      <c r="B30" s="588" t="s">
        <v>905</v>
      </c>
      <c r="C30" s="251" t="e">
        <f>'Сводный расчет стоимости'!#REF!</f>
        <v>#REF!</v>
      </c>
    </row>
    <row r="31" spans="1:4" ht="12" customHeight="1" x14ac:dyDescent="0.3">
      <c r="A31" s="396" t="s">
        <v>911</v>
      </c>
      <c r="B31" s="588" t="s">
        <v>910</v>
      </c>
      <c r="C31" s="251" t="e">
        <f>'Сводный расчет стоимости'!#REF!</f>
        <v>#REF!</v>
      </c>
    </row>
    <row r="32" spans="1:4" ht="13.8" x14ac:dyDescent="0.3">
      <c r="A32" s="396" t="s">
        <v>915</v>
      </c>
      <c r="B32" s="588" t="s">
        <v>914</v>
      </c>
      <c r="C32" s="251" t="e">
        <f>'Сводный расчет стоимости'!#REF!</f>
        <v>#REF!</v>
      </c>
    </row>
    <row r="33" spans="1:3" ht="14.25" customHeight="1" x14ac:dyDescent="0.3">
      <c r="A33" s="396"/>
      <c r="B33" s="248"/>
      <c r="C33" s="251"/>
    </row>
    <row r="34" spans="1:3" ht="13.8" x14ac:dyDescent="0.3">
      <c r="A34" s="396" t="s">
        <v>929</v>
      </c>
      <c r="B34" s="588" t="s">
        <v>928</v>
      </c>
      <c r="C34" s="251" t="e">
        <f>'Сводный расчет стоимости'!#REF!</f>
        <v>#REF!</v>
      </c>
    </row>
    <row r="35" spans="1:3" ht="13.8" x14ac:dyDescent="0.3">
      <c r="A35" s="396" t="s">
        <v>925</v>
      </c>
      <c r="B35" s="588" t="s">
        <v>924</v>
      </c>
      <c r="C35" s="251" t="e">
        <f>'Сводный расчет стоимости'!#REF!</f>
        <v>#REF!</v>
      </c>
    </row>
    <row r="36" spans="1:3" ht="13.8" x14ac:dyDescent="0.3">
      <c r="A36" s="396" t="s">
        <v>921</v>
      </c>
      <c r="B36" s="588" t="s">
        <v>920</v>
      </c>
      <c r="C36" s="251" t="e">
        <f>'Сводный расчет стоимости'!#REF!</f>
        <v>#REF!</v>
      </c>
    </row>
    <row r="37" spans="1:3" ht="13.8" x14ac:dyDescent="0.3">
      <c r="A37" s="396" t="s">
        <v>927</v>
      </c>
      <c r="B37" s="588" t="s">
        <v>926</v>
      </c>
      <c r="C37" s="251" t="e">
        <f>'Сводный расчет стоимости'!#REF!</f>
        <v>#REF!</v>
      </c>
    </row>
    <row r="38" spans="1:3" ht="13.8" x14ac:dyDescent="0.3">
      <c r="A38" s="396" t="s">
        <v>923</v>
      </c>
      <c r="B38" s="588" t="s">
        <v>922</v>
      </c>
      <c r="C38" s="251" t="e">
        <f>'Сводный расчет стоимости'!#REF!</f>
        <v>#REF!</v>
      </c>
    </row>
    <row r="39" spans="1:3" ht="12" customHeight="1" x14ac:dyDescent="0.3">
      <c r="A39" s="396" t="s">
        <v>917</v>
      </c>
      <c r="B39" s="588" t="s">
        <v>916</v>
      </c>
      <c r="C39" s="251" t="e">
        <f>'Сводный расчет стоимости'!#REF!</f>
        <v>#REF!</v>
      </c>
    </row>
    <row r="40" spans="1:3" ht="15" customHeight="1" x14ac:dyDescent="0.3">
      <c r="A40" s="396"/>
      <c r="B40" s="248"/>
      <c r="C40" s="251"/>
    </row>
    <row r="41" spans="1:3" ht="13.8" x14ac:dyDescent="0.3">
      <c r="A41" s="396" t="s">
        <v>1058</v>
      </c>
      <c r="B41" s="248" t="s">
        <v>819</v>
      </c>
      <c r="C41" s="251" t="e">
        <f>'Сводный расчет стоимости'!#REF!</f>
        <v>#REF!</v>
      </c>
    </row>
    <row r="42" spans="1:3" ht="14.25" customHeight="1" x14ac:dyDescent="0.3">
      <c r="A42" s="396" t="s">
        <v>1059</v>
      </c>
      <c r="B42" s="248" t="s">
        <v>820</v>
      </c>
      <c r="C42" s="251" t="e">
        <f>'Сводный расчет стоимости'!#REF!</f>
        <v>#REF!</v>
      </c>
    </row>
    <row r="43" spans="1:3" ht="13.8" x14ac:dyDescent="0.3">
      <c r="A43" s="396" t="s">
        <v>1060</v>
      </c>
      <c r="B43" s="248" t="s">
        <v>821</v>
      </c>
      <c r="C43" s="251" t="e">
        <f>'Сводный расчет стоимости'!#REF!</f>
        <v>#REF!</v>
      </c>
    </row>
    <row r="44" spans="1:3" ht="13.8" x14ac:dyDescent="0.3">
      <c r="A44" s="396" t="s">
        <v>1061</v>
      </c>
      <c r="B44" s="248" t="s">
        <v>822</v>
      </c>
      <c r="C44" s="251" t="e">
        <f>'Сводный расчет стоимости'!#REF!</f>
        <v>#REF!</v>
      </c>
    </row>
    <row r="45" spans="1:3" ht="13.8" x14ac:dyDescent="0.3">
      <c r="A45" s="396" t="s">
        <v>930</v>
      </c>
      <c r="B45" s="588" t="s">
        <v>1244</v>
      </c>
      <c r="C45" s="251" t="e">
        <f>'Сводный расчет стоимости'!#REF!</f>
        <v>#REF!</v>
      </c>
    </row>
    <row r="46" spans="1:3" ht="15.75" customHeight="1" x14ac:dyDescent="0.25">
      <c r="A46" s="422"/>
      <c r="B46" s="247"/>
      <c r="C46" s="251"/>
    </row>
    <row r="47" spans="1:3" ht="13.8" x14ac:dyDescent="0.25">
      <c r="A47" s="584" t="s">
        <v>1446</v>
      </c>
      <c r="B47" s="583">
        <f>'Сводный расчет стоимости'!C36</f>
        <v>0</v>
      </c>
      <c r="C47" s="251" t="e">
        <f>'Сводный расчет стоимости'!#REF!</f>
        <v>#REF!</v>
      </c>
    </row>
    <row r="48" spans="1:3" ht="13.8" x14ac:dyDescent="0.25">
      <c r="A48" s="584" t="s">
        <v>1497</v>
      </c>
      <c r="B48" s="583" t="str">
        <f>'Сводный расчет стоимости'!C37</f>
        <v>Предрейсовый (предсменный) медицинский осмотр с АСПО</v>
      </c>
      <c r="C48" s="251" t="e">
        <f>'Сводный расчет стоимости'!#REF!</f>
        <v>#REF!</v>
      </c>
    </row>
    <row r="49" spans="1:3" ht="13.8" x14ac:dyDescent="0.25">
      <c r="A49" s="584" t="s">
        <v>1498</v>
      </c>
      <c r="B49" s="583" t="e">
        <f>'Сводный расчет стоимости'!#REF!</f>
        <v>#REF!</v>
      </c>
      <c r="C49" s="251" t="e">
        <f>'Сводный расчет стоимости'!#REF!</f>
        <v>#REF!</v>
      </c>
    </row>
    <row r="50" spans="1:3" ht="13.8" x14ac:dyDescent="0.3">
      <c r="A50" s="581"/>
      <c r="B50" s="582"/>
      <c r="C50" s="255"/>
    </row>
    <row r="51" spans="1:3" x14ac:dyDescent="0.25">
      <c r="A51" s="1105" t="s">
        <v>605</v>
      </c>
      <c r="B51" s="1105"/>
    </row>
    <row r="52" spans="1:3" ht="12.75" customHeight="1" x14ac:dyDescent="0.3">
      <c r="A52" s="396" t="s">
        <v>1496</v>
      </c>
      <c r="B52" s="592" t="s">
        <v>1495</v>
      </c>
      <c r="C52" s="251" t="e">
        <f>'Сводный расчет стоимости'!#REF!</f>
        <v>#REF!</v>
      </c>
    </row>
    <row r="53" spans="1:3" ht="12.75" customHeight="1" x14ac:dyDescent="0.25">
      <c r="A53" s="1106" t="s">
        <v>1025</v>
      </c>
      <c r="B53" s="1106"/>
      <c r="C53" s="426"/>
    </row>
    <row r="54" spans="1:3" ht="12.75" customHeight="1" x14ac:dyDescent="0.25">
      <c r="A54" s="423" t="s">
        <v>444</v>
      </c>
      <c r="B54" s="589" t="s">
        <v>445</v>
      </c>
      <c r="C54" s="251" t="e">
        <f>'Сводный расчет стоимости'!#REF!</f>
        <v>#REF!</v>
      </c>
    </row>
    <row r="55" spans="1:3" ht="12.75" customHeight="1" x14ac:dyDescent="0.25">
      <c r="A55" s="423" t="s">
        <v>1299</v>
      </c>
      <c r="B55" s="614" t="s">
        <v>1298</v>
      </c>
      <c r="C55" s="251" t="e">
        <f>'Сводный расчет стоимости'!#REF!</f>
        <v>#REF!</v>
      </c>
    </row>
    <row r="56" spans="1:3" ht="12.75" customHeight="1" x14ac:dyDescent="0.25">
      <c r="A56" s="423" t="s">
        <v>932</v>
      </c>
      <c r="B56" s="589" t="s">
        <v>931</v>
      </c>
      <c r="C56" s="251" t="e">
        <f>'Сводный расчет стоимости'!#REF!</f>
        <v>#REF!</v>
      </c>
    </row>
    <row r="57" spans="1:3" ht="13.5" customHeight="1" x14ac:dyDescent="0.25">
      <c r="A57" s="423" t="s">
        <v>934</v>
      </c>
      <c r="B57" s="589" t="s">
        <v>933</v>
      </c>
      <c r="C57" s="251" t="e">
        <f>'Сводный расчет стоимости'!#REF!</f>
        <v>#REF!</v>
      </c>
    </row>
    <row r="58" spans="1:3" ht="15.75" customHeight="1" x14ac:dyDescent="0.25">
      <c r="A58" s="423" t="s">
        <v>936</v>
      </c>
      <c r="B58" s="589" t="s">
        <v>935</v>
      </c>
      <c r="C58" s="251" t="e">
        <f>'Сводный расчет стоимости'!#REF!</f>
        <v>#REF!</v>
      </c>
    </row>
    <row r="59" spans="1:3" ht="12.75" customHeight="1" x14ac:dyDescent="0.25">
      <c r="A59" s="423" t="s">
        <v>937</v>
      </c>
      <c r="B59" s="589" t="s">
        <v>1032</v>
      </c>
      <c r="C59" s="251" t="e">
        <f>'Сводный расчет стоимости'!#REF!</f>
        <v>#REF!</v>
      </c>
    </row>
    <row r="60" spans="1:3" ht="12.75" customHeight="1" x14ac:dyDescent="0.25">
      <c r="A60" s="1095" t="s">
        <v>240</v>
      </c>
      <c r="B60" s="1095"/>
    </row>
    <row r="61" spans="1:3" ht="14.25" customHeight="1" x14ac:dyDescent="0.3">
      <c r="A61" s="396" t="s">
        <v>939</v>
      </c>
      <c r="B61" s="588" t="s">
        <v>938</v>
      </c>
      <c r="C61" s="251" t="e">
        <f>'Сводный расчет стоимости'!#REF!</f>
        <v>#REF!</v>
      </c>
    </row>
    <row r="62" spans="1:3" ht="12.75" customHeight="1" x14ac:dyDescent="0.3">
      <c r="A62" s="396" t="s">
        <v>941</v>
      </c>
      <c r="B62" s="588" t="s">
        <v>940</v>
      </c>
      <c r="C62" s="251" t="e">
        <f>'Сводный расчет стоимости'!#REF!</f>
        <v>#REF!</v>
      </c>
    </row>
    <row r="63" spans="1:3" ht="12.75" customHeight="1" x14ac:dyDescent="0.3">
      <c r="A63" s="396" t="s">
        <v>919</v>
      </c>
      <c r="B63" s="588" t="s">
        <v>918</v>
      </c>
      <c r="C63" s="251" t="e">
        <f>'Сводный расчет стоимости'!#REF!</f>
        <v>#REF!</v>
      </c>
    </row>
    <row r="64" spans="1:3" ht="12.75" customHeight="1" x14ac:dyDescent="0.3">
      <c r="A64" s="396" t="s">
        <v>942</v>
      </c>
      <c r="B64" s="588" t="s">
        <v>1241</v>
      </c>
      <c r="C64" s="251" t="e">
        <f>'Сводный расчет стоимости'!#REF!</f>
        <v>#REF!</v>
      </c>
    </row>
    <row r="65" spans="1:3" ht="12.75" customHeight="1" x14ac:dyDescent="0.3">
      <c r="A65" s="396" t="s">
        <v>944</v>
      </c>
      <c r="B65" s="588" t="s">
        <v>943</v>
      </c>
      <c r="C65" s="251" t="e">
        <f>'Сводный расчет стоимости'!#REF!</f>
        <v>#REF!</v>
      </c>
    </row>
    <row r="66" spans="1:3" ht="12.75" customHeight="1" x14ac:dyDescent="0.3">
      <c r="A66" s="396" t="s">
        <v>946</v>
      </c>
      <c r="B66" s="588" t="s">
        <v>945</v>
      </c>
      <c r="C66" s="251" t="e">
        <f>'Сводный расчет стоимости'!#REF!</f>
        <v>#REF!</v>
      </c>
    </row>
    <row r="67" spans="1:3" ht="12.75" customHeight="1" x14ac:dyDescent="0.3">
      <c r="A67" s="396" t="s">
        <v>947</v>
      </c>
      <c r="B67" s="588" t="s">
        <v>1252</v>
      </c>
      <c r="C67" s="251" t="e">
        <f>'Сводный расчет стоимости'!#REF!</f>
        <v>#REF!</v>
      </c>
    </row>
    <row r="68" spans="1:3" ht="12.75" customHeight="1" x14ac:dyDescent="0.3">
      <c r="A68" s="396" t="s">
        <v>949</v>
      </c>
      <c r="B68" s="588" t="s">
        <v>948</v>
      </c>
      <c r="C68" s="251" t="e">
        <f>'Сводный расчет стоимости'!#REF!</f>
        <v>#REF!</v>
      </c>
    </row>
    <row r="69" spans="1:3" ht="12.75" customHeight="1" x14ac:dyDescent="0.3">
      <c r="A69" s="396" t="s">
        <v>950</v>
      </c>
      <c r="B69" s="588" t="s">
        <v>768</v>
      </c>
      <c r="C69" s="251" t="e">
        <f>'Сводный расчет стоимости'!#REF!</f>
        <v>#REF!</v>
      </c>
    </row>
    <row r="70" spans="1:3" ht="12.75" customHeight="1" x14ac:dyDescent="0.25">
      <c r="A70" s="1095" t="s">
        <v>692</v>
      </c>
      <c r="B70" s="1095"/>
      <c r="C70" s="427"/>
    </row>
    <row r="71" spans="1:3" ht="12.75" customHeight="1" x14ac:dyDescent="0.3">
      <c r="A71" s="396" t="s">
        <v>952</v>
      </c>
      <c r="B71" s="588" t="s">
        <v>951</v>
      </c>
      <c r="C71" s="251" t="e">
        <f>'Сводный расчет стоимости'!#REF!</f>
        <v>#REF!</v>
      </c>
    </row>
    <row r="72" spans="1:3" ht="12.75" customHeight="1" x14ac:dyDescent="0.3">
      <c r="A72" s="396" t="s">
        <v>972</v>
      </c>
      <c r="B72" s="588" t="s">
        <v>971</v>
      </c>
      <c r="C72" s="251" t="e">
        <f>'Сводный расчет стоимости'!#REF!</f>
        <v>#REF!</v>
      </c>
    </row>
    <row r="73" spans="1:3" ht="12.75" customHeight="1" x14ac:dyDescent="0.3">
      <c r="A73" s="396" t="s">
        <v>974</v>
      </c>
      <c r="B73" s="588" t="s">
        <v>973</v>
      </c>
      <c r="C73" s="251" t="e">
        <f>'Сводный расчет стоимости'!#REF!</f>
        <v>#REF!</v>
      </c>
    </row>
    <row r="74" spans="1:3" ht="12.75" customHeight="1" x14ac:dyDescent="0.3">
      <c r="A74" s="396" t="s">
        <v>975</v>
      </c>
      <c r="B74" s="588" t="str">
        <f>'Сводный расчет стоимости'!C115</f>
        <v>Вскрытие панариция</v>
      </c>
      <c r="C74" s="251" t="e">
        <f>'Сводный расчет стоимости'!#REF!</f>
        <v>#REF!</v>
      </c>
    </row>
    <row r="75" spans="1:3" ht="12.75" customHeight="1" x14ac:dyDescent="0.3">
      <c r="A75" s="396" t="s">
        <v>976</v>
      </c>
      <c r="B75" s="588" t="s">
        <v>1541</v>
      </c>
      <c r="C75" s="251" t="e">
        <f>'Сводный расчет стоимости'!#REF!</f>
        <v>#REF!</v>
      </c>
    </row>
    <row r="76" spans="1:3" ht="15" customHeight="1" x14ac:dyDescent="0.3">
      <c r="A76" s="396" t="s">
        <v>977</v>
      </c>
      <c r="B76" s="588" t="s">
        <v>1247</v>
      </c>
      <c r="C76" s="251" t="e">
        <f>'Сводный расчет стоимости'!#REF!</f>
        <v>#REF!</v>
      </c>
    </row>
    <row r="77" spans="1:3" ht="12.75" customHeight="1" x14ac:dyDescent="0.3">
      <c r="A77" s="396" t="s">
        <v>89</v>
      </c>
      <c r="B77" s="588" t="s">
        <v>88</v>
      </c>
      <c r="C77" s="251" t="e">
        <f>'Сводный расчет стоимости'!#REF!</f>
        <v>#REF!</v>
      </c>
    </row>
    <row r="78" spans="1:3" ht="12.75" customHeight="1" x14ac:dyDescent="0.3">
      <c r="A78" s="396" t="s">
        <v>87</v>
      </c>
      <c r="B78" s="588" t="s">
        <v>86</v>
      </c>
      <c r="C78" s="251" t="e">
        <f>'Сводный расчет стоимости'!#REF!</f>
        <v>#REF!</v>
      </c>
    </row>
    <row r="79" spans="1:3" ht="12.75" customHeight="1" x14ac:dyDescent="0.3">
      <c r="A79" s="396" t="s">
        <v>989</v>
      </c>
      <c r="B79" s="588" t="s">
        <v>988</v>
      </c>
      <c r="C79" s="251" t="e">
        <f>'Сводный расчет стоимости'!#REF!</f>
        <v>#REF!</v>
      </c>
    </row>
    <row r="80" spans="1:3" ht="12.75" customHeight="1" x14ac:dyDescent="0.3">
      <c r="A80" s="396" t="s">
        <v>990</v>
      </c>
      <c r="B80" s="588" t="str">
        <f>'Сводный расчет стоимости'!C120</f>
        <v>Хирургическая обработка раны или инфицированной ткани</v>
      </c>
      <c r="C80" s="251" t="e">
        <f>'Сводный расчет стоимости'!#REF!</f>
        <v>#REF!</v>
      </c>
    </row>
    <row r="81" spans="1:3" ht="12.75" customHeight="1" x14ac:dyDescent="0.25">
      <c r="A81" s="1095" t="s">
        <v>623</v>
      </c>
      <c r="B81" s="1095"/>
      <c r="C81" s="255"/>
    </row>
    <row r="82" spans="1:3" ht="12.75" customHeight="1" x14ac:dyDescent="0.25">
      <c r="A82" s="1095" t="s">
        <v>1561</v>
      </c>
      <c r="B82" s="1095"/>
      <c r="C82" s="255"/>
    </row>
    <row r="83" spans="1:3" ht="15" customHeight="1" x14ac:dyDescent="0.3">
      <c r="A83" s="396" t="s">
        <v>992</v>
      </c>
      <c r="B83" s="588" t="s">
        <v>991</v>
      </c>
      <c r="C83" s="251" t="e">
        <f>'Сводный расчет стоимости'!#REF!</f>
        <v>#REF!</v>
      </c>
    </row>
    <row r="84" spans="1:3" ht="13.5" customHeight="1" x14ac:dyDescent="0.3">
      <c r="A84" s="396" t="s">
        <v>994</v>
      </c>
      <c r="B84" s="588" t="s">
        <v>993</v>
      </c>
      <c r="C84" s="251" t="e">
        <f>'Сводный расчет стоимости'!#REF!</f>
        <v>#REF!</v>
      </c>
    </row>
    <row r="85" spans="1:3" ht="12.75" customHeight="1" x14ac:dyDescent="0.3">
      <c r="A85" s="396" t="s">
        <v>1375</v>
      </c>
      <c r="B85" s="616" t="s">
        <v>1374</v>
      </c>
      <c r="C85" s="251"/>
    </row>
    <row r="86" spans="1:3" ht="12.75" customHeight="1" x14ac:dyDescent="0.3">
      <c r="A86" s="396" t="s">
        <v>1076</v>
      </c>
      <c r="B86" s="248" t="s">
        <v>1133</v>
      </c>
      <c r="C86" s="251" t="e">
        <f>'Сводный расчет стоимости'!#REF!</f>
        <v>#REF!</v>
      </c>
    </row>
    <row r="87" spans="1:3" ht="12.75" customHeight="1" x14ac:dyDescent="0.3">
      <c r="A87" s="396" t="s">
        <v>1525</v>
      </c>
      <c r="B87" s="248" t="s">
        <v>1573</v>
      </c>
      <c r="C87" s="251" t="e">
        <f>'Сводный расчет стоимости'!#REF!</f>
        <v>#REF!</v>
      </c>
    </row>
    <row r="88" spans="1:3" ht="12.75" customHeight="1" x14ac:dyDescent="0.3">
      <c r="A88" s="396" t="s">
        <v>1078</v>
      </c>
      <c r="B88" s="248" t="s">
        <v>666</v>
      </c>
      <c r="C88" s="251" t="e">
        <f>'Сводный расчет стоимости'!#REF!</f>
        <v>#REF!</v>
      </c>
    </row>
    <row r="89" spans="1:3" ht="12.75" customHeight="1" x14ac:dyDescent="0.3">
      <c r="A89" s="396" t="s">
        <v>1079</v>
      </c>
      <c r="B89" s="248" t="s">
        <v>1280</v>
      </c>
      <c r="C89" s="251" t="e">
        <f>'Сводный расчет стоимости'!#REF!</f>
        <v>#REF!</v>
      </c>
    </row>
    <row r="90" spans="1:3" ht="12.75" customHeight="1" x14ac:dyDescent="0.3">
      <c r="A90" s="396" t="s">
        <v>373</v>
      </c>
      <c r="B90" s="588" t="s">
        <v>1566</v>
      </c>
      <c r="C90" s="251" t="e">
        <f>'Сводный расчет стоимости'!#REF!</f>
        <v>#REF!</v>
      </c>
    </row>
    <row r="91" spans="1:3" ht="12.75" customHeight="1" x14ac:dyDescent="0.3">
      <c r="A91" s="396" t="s">
        <v>375</v>
      </c>
      <c r="B91" s="588" t="s">
        <v>374</v>
      </c>
      <c r="C91" s="251" t="e">
        <f>'Сводный расчет стоимости'!#REF!</f>
        <v>#REF!</v>
      </c>
    </row>
    <row r="92" spans="1:3" ht="12.75" customHeight="1" x14ac:dyDescent="0.3">
      <c r="A92" s="396" t="s">
        <v>1082</v>
      </c>
      <c r="B92" s="248" t="s">
        <v>1273</v>
      </c>
      <c r="C92" s="251" t="e">
        <f>'Сводный расчет стоимости'!#REF!</f>
        <v>#REF!</v>
      </c>
    </row>
    <row r="93" spans="1:3" ht="12.75" customHeight="1" x14ac:dyDescent="0.3">
      <c r="A93" s="396" t="s">
        <v>1083</v>
      </c>
      <c r="B93" s="248" t="s">
        <v>1571</v>
      </c>
      <c r="C93" s="251" t="e">
        <f>'Сводный расчет стоимости'!#REF!</f>
        <v>#REF!</v>
      </c>
    </row>
    <row r="94" spans="1:3" ht="12.75" customHeight="1" x14ac:dyDescent="0.3">
      <c r="A94" s="396" t="s">
        <v>1377</v>
      </c>
      <c r="B94" s="592" t="s">
        <v>1376</v>
      </c>
      <c r="C94" s="251" t="e">
        <f>'Сводный расчет стоимости'!#REF!</f>
        <v>#REF!</v>
      </c>
    </row>
    <row r="95" spans="1:3" ht="12.75" customHeight="1" x14ac:dyDescent="0.3">
      <c r="A95" s="396" t="s">
        <v>1085</v>
      </c>
      <c r="B95" s="248" t="s">
        <v>1274</v>
      </c>
      <c r="C95" s="251" t="e">
        <f>'Сводный расчет стоимости'!#REF!</f>
        <v>#REF!</v>
      </c>
    </row>
    <row r="96" spans="1:3" ht="13.8" x14ac:dyDescent="0.3">
      <c r="A96" s="396" t="s">
        <v>1086</v>
      </c>
      <c r="B96" s="248" t="s">
        <v>1564</v>
      </c>
      <c r="C96" s="251" t="e">
        <f>'Сводный расчет стоимости'!#REF!</f>
        <v>#REF!</v>
      </c>
    </row>
    <row r="97" spans="1:20" ht="13.8" x14ac:dyDescent="0.3">
      <c r="A97" s="396" t="s">
        <v>1379</v>
      </c>
      <c r="B97" s="592" t="s">
        <v>1378</v>
      </c>
      <c r="C97" s="251" t="e">
        <f>'Сводный расчет стоимости'!#REF!</f>
        <v>#REF!</v>
      </c>
    </row>
    <row r="98" spans="1:20" ht="13.8" x14ac:dyDescent="0.3">
      <c r="A98" s="396" t="s">
        <v>1381</v>
      </c>
      <c r="B98" s="606" t="s">
        <v>1380</v>
      </c>
      <c r="C98" s="251" t="e">
        <f>'Сводный расчет стоимости'!#REF!</f>
        <v>#REF!</v>
      </c>
    </row>
    <row r="99" spans="1:20" ht="13.8" x14ac:dyDescent="0.3">
      <c r="A99" s="396" t="s">
        <v>1089</v>
      </c>
      <c r="B99" s="248" t="s">
        <v>1570</v>
      </c>
      <c r="C99" s="251" t="e">
        <f>'Сводный расчет стоимости'!#REF!</f>
        <v>#REF!</v>
      </c>
    </row>
    <row r="100" spans="1:20" ht="13.8" x14ac:dyDescent="0.3">
      <c r="A100" s="396" t="s">
        <v>1383</v>
      </c>
      <c r="B100" s="606" t="s">
        <v>1382</v>
      </c>
      <c r="C100" s="251" t="e">
        <f>'Сводный расчет стоимости'!#REF!</f>
        <v>#REF!</v>
      </c>
    </row>
    <row r="101" spans="1:20" ht="13.8" x14ac:dyDescent="0.3">
      <c r="A101" s="396" t="s">
        <v>1091</v>
      </c>
      <c r="B101" s="248" t="s">
        <v>1278</v>
      </c>
      <c r="C101" s="251" t="e">
        <f>'Сводный расчет стоимости'!#REF!</f>
        <v>#REF!</v>
      </c>
    </row>
    <row r="102" spans="1:20" ht="13.8" x14ac:dyDescent="0.3">
      <c r="A102" s="396" t="s">
        <v>1092</v>
      </c>
      <c r="B102" s="248" t="s">
        <v>1283</v>
      </c>
      <c r="C102" s="251" t="e">
        <f>'Сводный расчет стоимости'!#REF!</f>
        <v>#REF!</v>
      </c>
    </row>
    <row r="103" spans="1:20" ht="13.8" x14ac:dyDescent="0.3">
      <c r="A103" s="396" t="s">
        <v>672</v>
      </c>
      <c r="B103" s="606" t="s">
        <v>671</v>
      </c>
      <c r="C103" s="251" t="e">
        <f>'Сводный расчет стоимости'!#REF!</f>
        <v>#REF!</v>
      </c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</row>
    <row r="104" spans="1:20" x14ac:dyDescent="0.25">
      <c r="A104" s="246"/>
      <c r="B104" s="430" t="s">
        <v>1576</v>
      </c>
      <c r="C104" s="431"/>
      <c r="D104" s="430"/>
      <c r="E104" s="430"/>
      <c r="F104" s="430"/>
      <c r="G104" s="430"/>
      <c r="H104" s="430"/>
      <c r="I104" s="430"/>
      <c r="J104" s="430"/>
      <c r="K104" s="430"/>
      <c r="L104" s="430"/>
      <c r="M104" s="430"/>
      <c r="N104" s="246"/>
      <c r="O104" s="246"/>
      <c r="P104" s="246"/>
      <c r="Q104" s="246"/>
      <c r="R104" s="246"/>
      <c r="S104" s="246"/>
      <c r="T104" s="246"/>
    </row>
    <row r="105" spans="1:20" ht="13.8" x14ac:dyDescent="0.3">
      <c r="A105" s="428" t="s">
        <v>1385</v>
      </c>
      <c r="B105" s="607" t="s">
        <v>1384</v>
      </c>
      <c r="C105" s="251" t="e">
        <f>'Сводный расчет стоимости'!#REF!</f>
        <v>#REF!</v>
      </c>
    </row>
    <row r="106" spans="1:20" ht="13.8" x14ac:dyDescent="0.3">
      <c r="A106" s="428" t="s">
        <v>656</v>
      </c>
      <c r="B106" s="607" t="s">
        <v>1386</v>
      </c>
      <c r="C106" s="251"/>
    </row>
    <row r="107" spans="1:20" ht="13.8" x14ac:dyDescent="0.3">
      <c r="A107" s="428" t="s">
        <v>658</v>
      </c>
      <c r="B107" s="607" t="s">
        <v>657</v>
      </c>
      <c r="C107" s="251"/>
    </row>
    <row r="108" spans="1:20" ht="13.8" x14ac:dyDescent="0.3">
      <c r="A108" s="428" t="s">
        <v>1095</v>
      </c>
      <c r="B108" s="248" t="s">
        <v>149</v>
      </c>
      <c r="C108" s="251" t="e">
        <f>'Сводный расчет стоимости'!#REF!</f>
        <v>#REF!</v>
      </c>
    </row>
    <row r="109" spans="1:20" ht="13.8" x14ac:dyDescent="0.3">
      <c r="A109" s="428" t="s">
        <v>1096</v>
      </c>
      <c r="B109" s="248" t="s">
        <v>143</v>
      </c>
      <c r="C109" s="251" t="e">
        <f>'Сводный расчет стоимости'!#REF!</f>
        <v>#REF!</v>
      </c>
    </row>
    <row r="110" spans="1:20" ht="13.5" customHeight="1" x14ac:dyDescent="0.3">
      <c r="A110" s="428" t="s">
        <v>1097</v>
      </c>
      <c r="B110" s="248" t="s">
        <v>132</v>
      </c>
      <c r="C110" s="251" t="e">
        <f>'Сводный расчет стоимости'!#REF!</f>
        <v>#REF!</v>
      </c>
    </row>
    <row r="111" spans="1:20" ht="15.75" customHeight="1" x14ac:dyDescent="0.3">
      <c r="A111" s="428" t="s">
        <v>1098</v>
      </c>
      <c r="B111" s="248" t="s">
        <v>131</v>
      </c>
      <c r="C111" s="251" t="e">
        <f>'Сводный расчет стоимости'!#REF!</f>
        <v>#REF!</v>
      </c>
    </row>
    <row r="112" spans="1:20" ht="12.75" customHeight="1" x14ac:dyDescent="0.3">
      <c r="A112" s="428" t="s">
        <v>1099</v>
      </c>
      <c r="B112" s="248" t="s">
        <v>140</v>
      </c>
      <c r="C112" s="251" t="e">
        <f>'Сводный расчет стоимости'!#REF!</f>
        <v>#REF!</v>
      </c>
    </row>
    <row r="113" spans="1:3" ht="13.8" x14ac:dyDescent="0.3">
      <c r="A113" s="428" t="s">
        <v>660</v>
      </c>
      <c r="B113" s="607" t="s">
        <v>659</v>
      </c>
      <c r="C113" s="251" t="e">
        <f>'Сводный расчет стоимости'!#REF!</f>
        <v>#REF!</v>
      </c>
    </row>
    <row r="114" spans="1:3" ht="12.75" customHeight="1" x14ac:dyDescent="0.3">
      <c r="A114" s="428" t="s">
        <v>662</v>
      </c>
      <c r="B114" s="607" t="s">
        <v>661</v>
      </c>
      <c r="C114" s="251" t="e">
        <f>'Сводный расчет стоимости'!#REF!</f>
        <v>#REF!</v>
      </c>
    </row>
    <row r="115" spans="1:3" ht="27.6" x14ac:dyDescent="0.3">
      <c r="A115" s="428" t="s">
        <v>1102</v>
      </c>
      <c r="B115" s="248" t="s">
        <v>1507</v>
      </c>
      <c r="C115" s="251" t="e">
        <f>'Сводный расчет стоимости'!#REF!</f>
        <v>#REF!</v>
      </c>
    </row>
    <row r="116" spans="1:3" ht="27.6" x14ac:dyDescent="0.3">
      <c r="A116" s="428" t="s">
        <v>1103</v>
      </c>
      <c r="B116" s="248" t="s">
        <v>1508</v>
      </c>
      <c r="C116" s="251" t="e">
        <f>'Сводный расчет стоимости'!#REF!</f>
        <v>#REF!</v>
      </c>
    </row>
    <row r="117" spans="1:3" ht="27.6" x14ac:dyDescent="0.3">
      <c r="A117" s="428" t="s">
        <v>1104</v>
      </c>
      <c r="B117" s="248" t="s">
        <v>1509</v>
      </c>
      <c r="C117" s="251" t="e">
        <f>'Сводный расчет стоимости'!#REF!</f>
        <v>#REF!</v>
      </c>
    </row>
    <row r="118" spans="1:3" ht="27.6" x14ac:dyDescent="0.3">
      <c r="A118" s="428" t="s">
        <v>1105</v>
      </c>
      <c r="B118" s="248" t="s">
        <v>1510</v>
      </c>
      <c r="C118" s="251" t="e">
        <f>'Сводный расчет стоимости'!#REF!</f>
        <v>#REF!</v>
      </c>
    </row>
    <row r="119" spans="1:3" ht="27.6" x14ac:dyDescent="0.3">
      <c r="A119" s="428" t="s">
        <v>1106</v>
      </c>
      <c r="B119" s="248" t="s">
        <v>1511</v>
      </c>
      <c r="C119" s="251" t="e">
        <f>'Сводный расчет стоимости'!#REF!</f>
        <v>#REF!</v>
      </c>
    </row>
    <row r="120" spans="1:3" ht="27.6" x14ac:dyDescent="0.3">
      <c r="A120" s="428" t="s">
        <v>1107</v>
      </c>
      <c r="B120" s="248" t="s">
        <v>1512</v>
      </c>
      <c r="C120" s="251" t="e">
        <f>'Сводный расчет стоимости'!#REF!</f>
        <v>#REF!</v>
      </c>
    </row>
    <row r="121" spans="1:3" ht="13.8" x14ac:dyDescent="0.3">
      <c r="A121" s="428" t="s">
        <v>1109</v>
      </c>
      <c r="B121" s="428" t="s">
        <v>616</v>
      </c>
      <c r="C121" s="251" t="e">
        <f>'Сводный расчет стоимости'!#REF!</f>
        <v>#REF!</v>
      </c>
    </row>
    <row r="122" spans="1:3" ht="29.25" customHeight="1" x14ac:dyDescent="0.3">
      <c r="A122" s="428" t="s">
        <v>1110</v>
      </c>
      <c r="B122" s="248" t="s">
        <v>138</v>
      </c>
      <c r="C122" s="251" t="e">
        <f>'Сводный расчет стоимости'!#REF!</f>
        <v>#REF!</v>
      </c>
    </row>
    <row r="123" spans="1:3" ht="26.25" customHeight="1" x14ac:dyDescent="0.3">
      <c r="A123" s="428" t="s">
        <v>1111</v>
      </c>
      <c r="B123" s="248" t="s">
        <v>136</v>
      </c>
      <c r="C123" s="251" t="e">
        <f>'Сводный расчет стоимости'!#REF!</f>
        <v>#REF!</v>
      </c>
    </row>
    <row r="124" spans="1:3" ht="29.25" customHeight="1" x14ac:dyDescent="0.3">
      <c r="A124" s="428" t="s">
        <v>1112</v>
      </c>
      <c r="B124" s="248" t="s">
        <v>137</v>
      </c>
      <c r="C124" s="251" t="e">
        <f>'Сводный расчет стоимости'!#REF!</f>
        <v>#REF!</v>
      </c>
    </row>
    <row r="125" spans="1:3" ht="26.25" customHeight="1" x14ac:dyDescent="0.3">
      <c r="A125" s="428" t="s">
        <v>1113</v>
      </c>
      <c r="B125" s="248" t="s">
        <v>135</v>
      </c>
      <c r="C125" s="251" t="e">
        <f>'Сводный расчет стоимости'!#REF!</f>
        <v>#REF!</v>
      </c>
    </row>
    <row r="126" spans="1:3" ht="13.8" x14ac:dyDescent="0.3">
      <c r="A126" s="428" t="s">
        <v>1114</v>
      </c>
      <c r="B126" s="248" t="s">
        <v>550</v>
      </c>
      <c r="C126" s="251" t="e">
        <f>'Сводный расчет стоимости'!#REF!</f>
        <v>#REF!</v>
      </c>
    </row>
    <row r="127" spans="1:3" ht="27.6" x14ac:dyDescent="0.3">
      <c r="A127" s="428" t="s">
        <v>1115</v>
      </c>
      <c r="B127" s="248" t="s">
        <v>101</v>
      </c>
      <c r="C127" s="251" t="e">
        <f>'Сводный расчет стоимости'!#REF!</f>
        <v>#REF!</v>
      </c>
    </row>
    <row r="128" spans="1:3" ht="27.6" x14ac:dyDescent="0.3">
      <c r="A128" s="428" t="s">
        <v>1116</v>
      </c>
      <c r="B128" s="248" t="s">
        <v>1139</v>
      </c>
      <c r="C128" s="251" t="e">
        <f>'Сводный расчет стоимости'!#REF!</f>
        <v>#REF!</v>
      </c>
    </row>
    <row r="129" spans="1:3" ht="27.6" x14ac:dyDescent="0.3">
      <c r="A129" s="428" t="s">
        <v>1117</v>
      </c>
      <c r="B129" s="248" t="s">
        <v>102</v>
      </c>
      <c r="C129" s="251" t="e">
        <f>'Сводный расчет стоимости'!#REF!</f>
        <v>#REF!</v>
      </c>
    </row>
    <row r="130" spans="1:3" ht="27.6" x14ac:dyDescent="0.3">
      <c r="A130" s="428" t="s">
        <v>1118</v>
      </c>
      <c r="B130" s="248" t="s">
        <v>1140</v>
      </c>
      <c r="C130" s="251" t="e">
        <f>'Сводный расчет стоимости'!#REF!</f>
        <v>#REF!</v>
      </c>
    </row>
    <row r="131" spans="1:3" ht="27.6" x14ac:dyDescent="0.3">
      <c r="A131" s="428" t="s">
        <v>1119</v>
      </c>
      <c r="B131" s="248" t="s">
        <v>103</v>
      </c>
      <c r="C131" s="251" t="e">
        <f>'Сводный расчет стоимости'!#REF!</f>
        <v>#REF!</v>
      </c>
    </row>
    <row r="132" spans="1:3" ht="27.6" x14ac:dyDescent="0.3">
      <c r="A132" s="428" t="s">
        <v>151</v>
      </c>
      <c r="B132" s="248" t="s">
        <v>1141</v>
      </c>
      <c r="C132" s="251" t="e">
        <f>'Сводный расчет стоимости'!#REF!</f>
        <v>#REF!</v>
      </c>
    </row>
    <row r="133" spans="1:3" ht="17.25" customHeight="1" x14ac:dyDescent="0.3">
      <c r="A133" s="428" t="s">
        <v>152</v>
      </c>
      <c r="B133" s="248" t="s">
        <v>147</v>
      </c>
      <c r="C133" s="251" t="e">
        <f>'Сводный расчет стоимости'!#REF!</f>
        <v>#REF!</v>
      </c>
    </row>
    <row r="134" spans="1:3" ht="15" customHeight="1" x14ac:dyDescent="0.3">
      <c r="A134" s="428" t="s">
        <v>154</v>
      </c>
      <c r="B134" s="248" t="s">
        <v>148</v>
      </c>
      <c r="C134" s="251" t="e">
        <f>'Сводный расчет стоимости'!#REF!</f>
        <v>#REF!</v>
      </c>
    </row>
    <row r="135" spans="1:3" ht="18" customHeight="1" x14ac:dyDescent="0.3">
      <c r="A135" s="428" t="s">
        <v>155</v>
      </c>
      <c r="B135" s="248" t="s">
        <v>146</v>
      </c>
      <c r="C135" s="251" t="e">
        <f>'Сводный расчет стоимости'!#REF!</f>
        <v>#REF!</v>
      </c>
    </row>
    <row r="136" spans="1:3" ht="15" customHeight="1" x14ac:dyDescent="0.3">
      <c r="A136" s="428" t="s">
        <v>156</v>
      </c>
      <c r="B136" s="248" t="s">
        <v>145</v>
      </c>
      <c r="C136" s="251" t="e">
        <f>'Сводный расчет стоимости'!#REF!</f>
        <v>#REF!</v>
      </c>
    </row>
    <row r="137" spans="1:3" ht="27.75" customHeight="1" x14ac:dyDescent="0.3">
      <c r="A137" s="428" t="s">
        <v>158</v>
      </c>
      <c r="B137" s="248" t="s">
        <v>1197</v>
      </c>
      <c r="C137" s="251" t="e">
        <f>'Сводный расчет стоимости'!#REF!</f>
        <v>#REF!</v>
      </c>
    </row>
    <row r="138" spans="1:3" ht="27.75" customHeight="1" x14ac:dyDescent="0.3">
      <c r="A138" s="428" t="s">
        <v>159</v>
      </c>
      <c r="B138" s="248" t="s">
        <v>376</v>
      </c>
      <c r="C138" s="251" t="e">
        <f>'Сводный расчет стоимости'!#REF!</f>
        <v>#REF!</v>
      </c>
    </row>
    <row r="139" spans="1:3" ht="29.25" customHeight="1" x14ac:dyDescent="0.3">
      <c r="A139" s="428" t="s">
        <v>160</v>
      </c>
      <c r="B139" s="248" t="s">
        <v>377</v>
      </c>
      <c r="C139" s="251" t="e">
        <f>'Сводный расчет стоимости'!#REF!</f>
        <v>#REF!</v>
      </c>
    </row>
    <row r="140" spans="1:3" ht="27.6" x14ac:dyDescent="0.3">
      <c r="A140" s="428" t="s">
        <v>161</v>
      </c>
      <c r="B140" s="248" t="s">
        <v>878</v>
      </c>
      <c r="C140" s="251" t="e">
        <f>'Сводный расчет стоимости'!#REF!</f>
        <v>#REF!</v>
      </c>
    </row>
    <row r="141" spans="1:3" ht="27.6" x14ac:dyDescent="0.3">
      <c r="A141" s="428" t="s">
        <v>162</v>
      </c>
      <c r="B141" s="248" t="s">
        <v>879</v>
      </c>
      <c r="C141" s="251" t="e">
        <f>'Сводный расчет стоимости'!#REF!</f>
        <v>#REF!</v>
      </c>
    </row>
    <row r="142" spans="1:3" ht="27.6" x14ac:dyDescent="0.3">
      <c r="A142" s="428" t="s">
        <v>163</v>
      </c>
      <c r="B142" s="248" t="s">
        <v>880</v>
      </c>
      <c r="C142" s="251" t="e">
        <f>'Сводный расчет стоимости'!#REF!</f>
        <v>#REF!</v>
      </c>
    </row>
    <row r="143" spans="1:3" ht="27.6" x14ac:dyDescent="0.3">
      <c r="A143" s="428" t="s">
        <v>164</v>
      </c>
      <c r="B143" s="593" t="s">
        <v>1693</v>
      </c>
      <c r="C143" s="251" t="e">
        <f>'Сводный расчет стоимости'!#REF!</f>
        <v>#REF!</v>
      </c>
    </row>
    <row r="144" spans="1:3" ht="27.6" x14ac:dyDescent="0.3">
      <c r="A144" s="428" t="s">
        <v>165</v>
      </c>
      <c r="B144" s="593" t="s">
        <v>1694</v>
      </c>
      <c r="C144" s="251" t="e">
        <f>'Сводный расчет стоимости'!#REF!</f>
        <v>#REF!</v>
      </c>
    </row>
    <row r="145" spans="1:3" ht="27.6" x14ac:dyDescent="0.3">
      <c r="A145" s="428" t="s">
        <v>166</v>
      </c>
      <c r="B145" s="593" t="s">
        <v>1695</v>
      </c>
      <c r="C145" s="251" t="e">
        <f>'Сводный расчет стоимости'!#REF!</f>
        <v>#REF!</v>
      </c>
    </row>
    <row r="146" spans="1:3" ht="13.8" x14ac:dyDescent="0.3">
      <c r="A146" s="428" t="s">
        <v>668</v>
      </c>
      <c r="B146" s="607" t="s">
        <v>667</v>
      </c>
      <c r="C146" s="251" t="e">
        <f>'Сводный расчет стоимости'!#REF!</f>
        <v>#REF!</v>
      </c>
    </row>
    <row r="147" spans="1:3" ht="13.8" x14ac:dyDescent="0.3">
      <c r="A147" s="428" t="s">
        <v>670</v>
      </c>
      <c r="B147" s="607" t="s">
        <v>669</v>
      </c>
      <c r="C147" s="251"/>
    </row>
    <row r="148" spans="1:3" ht="13.8" x14ac:dyDescent="0.3">
      <c r="A148" s="428" t="s">
        <v>674</v>
      </c>
      <c r="B148" s="606" t="s">
        <v>673</v>
      </c>
      <c r="C148" s="251"/>
    </row>
    <row r="149" spans="1:3" ht="13.8" x14ac:dyDescent="0.3">
      <c r="A149" s="428" t="s">
        <v>168</v>
      </c>
      <c r="B149" s="248" t="s">
        <v>560</v>
      </c>
      <c r="C149" s="251" t="e">
        <f>'Сводный расчет стоимости'!#REF!</f>
        <v>#REF!</v>
      </c>
    </row>
    <row r="150" spans="1:3" ht="13.8" x14ac:dyDescent="0.3">
      <c r="A150" s="428" t="s">
        <v>169</v>
      </c>
      <c r="B150" s="428" t="s">
        <v>1550</v>
      </c>
      <c r="C150" s="251" t="e">
        <f>'Сводный расчет стоимости'!#REF!</f>
        <v>#REF!</v>
      </c>
    </row>
    <row r="151" spans="1:3" ht="13.8" x14ac:dyDescent="0.3">
      <c r="A151" s="428" t="s">
        <v>172</v>
      </c>
      <c r="B151" s="428" t="s">
        <v>1548</v>
      </c>
      <c r="C151" s="251" t="e">
        <f>'Сводный расчет стоимости'!#REF!</f>
        <v>#REF!</v>
      </c>
    </row>
    <row r="152" spans="1:3" ht="27.6" x14ac:dyDescent="0.3">
      <c r="A152" s="428" t="s">
        <v>173</v>
      </c>
      <c r="B152" s="248" t="s">
        <v>133</v>
      </c>
      <c r="C152" s="251" t="e">
        <f>'Сводный расчет стоимости'!#REF!</f>
        <v>#REF!</v>
      </c>
    </row>
    <row r="153" spans="1:3" ht="27.6" x14ac:dyDescent="0.3">
      <c r="A153" s="428" t="s">
        <v>174</v>
      </c>
      <c r="B153" s="248" t="s">
        <v>134</v>
      </c>
      <c r="C153" s="251" t="e">
        <f>'Сводный расчет стоимости'!#REF!</f>
        <v>#REF!</v>
      </c>
    </row>
    <row r="154" spans="1:3" ht="13.8" x14ac:dyDescent="0.3">
      <c r="A154" s="428" t="s">
        <v>990</v>
      </c>
      <c r="B154" s="606" t="s">
        <v>663</v>
      </c>
      <c r="C154" s="251" t="e">
        <f>'Сводный расчет стоимости'!#REF!</f>
        <v>#REF!</v>
      </c>
    </row>
    <row r="155" spans="1:3" ht="13.8" x14ac:dyDescent="0.3">
      <c r="A155" s="428" t="s">
        <v>176</v>
      </c>
      <c r="B155" s="248" t="s">
        <v>139</v>
      </c>
      <c r="C155" s="251" t="e">
        <f>'Сводный расчет стоимости'!#REF!</f>
        <v>#REF!</v>
      </c>
    </row>
    <row r="156" spans="1:3" ht="12" customHeight="1" x14ac:dyDescent="0.3">
      <c r="A156" s="428" t="s">
        <v>177</v>
      </c>
      <c r="B156" s="248" t="s">
        <v>141</v>
      </c>
      <c r="C156" s="251" t="e">
        <f>'Сводный расчет стоимости'!#REF!</f>
        <v>#REF!</v>
      </c>
    </row>
    <row r="157" spans="1:3" ht="13.8" x14ac:dyDescent="0.3">
      <c r="A157" s="428" t="s">
        <v>379</v>
      </c>
      <c r="B157" s="588" t="s">
        <v>378</v>
      </c>
      <c r="C157" s="251" t="e">
        <f>'Сводный расчет стоимости'!#REF!</f>
        <v>#REF!</v>
      </c>
    </row>
    <row r="158" spans="1:3" ht="27.6" x14ac:dyDescent="0.3">
      <c r="A158" s="428" t="s">
        <v>179</v>
      </c>
      <c r="B158" s="248" t="s">
        <v>170</v>
      </c>
      <c r="C158" s="251" t="e">
        <f>'Сводный расчет стоимости'!#REF!</f>
        <v>#REF!</v>
      </c>
    </row>
    <row r="159" spans="1:3" ht="13.8" x14ac:dyDescent="0.3">
      <c r="A159" s="428" t="s">
        <v>381</v>
      </c>
      <c r="B159" s="590" t="s">
        <v>380</v>
      </c>
      <c r="C159" s="251" t="e">
        <f>'Сводный расчет стоимости'!#REF!</f>
        <v>#REF!</v>
      </c>
    </row>
    <row r="160" spans="1:3" ht="13.8" x14ac:dyDescent="0.3">
      <c r="A160" s="428" t="s">
        <v>665</v>
      </c>
      <c r="B160" s="606" t="s">
        <v>664</v>
      </c>
      <c r="C160" s="251" t="e">
        <f>'Сводный расчет стоимости'!#REF!</f>
        <v>#REF!</v>
      </c>
    </row>
    <row r="161" spans="1:3" ht="26.25" customHeight="1" x14ac:dyDescent="0.3">
      <c r="A161" s="428" t="s">
        <v>182</v>
      </c>
      <c r="B161" s="428" t="s">
        <v>618</v>
      </c>
      <c r="C161" s="251" t="e">
        <f>'Сводный расчет стоимости'!#REF!</f>
        <v>#REF!</v>
      </c>
    </row>
    <row r="162" spans="1:3" ht="16.5" customHeight="1" x14ac:dyDescent="0.3">
      <c r="A162" s="428" t="s">
        <v>183</v>
      </c>
      <c r="B162" s="428" t="s">
        <v>1582</v>
      </c>
      <c r="C162" s="251" t="e">
        <f>'Сводный расчет стоимости'!#REF!</f>
        <v>#REF!</v>
      </c>
    </row>
    <row r="163" spans="1:3" ht="15" customHeight="1" x14ac:dyDescent="0.3">
      <c r="A163" s="428" t="s">
        <v>184</v>
      </c>
      <c r="B163" s="248" t="s">
        <v>1557</v>
      </c>
      <c r="C163" s="251" t="e">
        <f>'Сводный расчет стоимости'!#REF!</f>
        <v>#REF!</v>
      </c>
    </row>
    <row r="164" spans="1:3" ht="13.8" x14ac:dyDescent="0.3">
      <c r="A164" s="428" t="s">
        <v>505</v>
      </c>
      <c r="B164" s="248" t="s">
        <v>144</v>
      </c>
      <c r="C164" s="251" t="e">
        <f>'Сводный расчет стоимости'!#REF!</f>
        <v>#REF!</v>
      </c>
    </row>
    <row r="165" spans="1:3" ht="13.8" x14ac:dyDescent="0.3">
      <c r="A165" s="428" t="s">
        <v>771</v>
      </c>
      <c r="B165" s="428" t="s">
        <v>620</v>
      </c>
      <c r="C165" s="251" t="e">
        <f>'Сводный расчет стоимости'!#REF!</f>
        <v>#REF!</v>
      </c>
    </row>
    <row r="166" spans="1:3" ht="26.25" customHeight="1" x14ac:dyDescent="0.3">
      <c r="A166" s="428" t="s">
        <v>1690</v>
      </c>
      <c r="B166" s="428" t="s">
        <v>621</v>
      </c>
      <c r="C166" s="251" t="e">
        <f>'Сводный расчет стоимости'!#REF!</f>
        <v>#REF!</v>
      </c>
    </row>
    <row r="167" spans="1:3" ht="12" customHeight="1" x14ac:dyDescent="0.3">
      <c r="A167" s="428" t="s">
        <v>1691</v>
      </c>
      <c r="B167" s="428" t="s">
        <v>619</v>
      </c>
      <c r="C167" s="251" t="e">
        <f>'Сводный расчет стоимости'!#REF!</f>
        <v>#REF!</v>
      </c>
    </row>
    <row r="168" spans="1:3" ht="13.8" x14ac:dyDescent="0.3">
      <c r="A168" s="428" t="s">
        <v>1692</v>
      </c>
      <c r="B168" s="428" t="s">
        <v>617</v>
      </c>
      <c r="C168" s="251" t="e">
        <f>'Сводный расчет стоимости'!#REF!</f>
        <v>#REF!</v>
      </c>
    </row>
    <row r="169" spans="1:3" x14ac:dyDescent="0.25">
      <c r="A169" s="1095" t="s">
        <v>242</v>
      </c>
      <c r="B169" s="1095"/>
      <c r="C169" s="429"/>
    </row>
    <row r="170" spans="1:3" ht="13.8" x14ac:dyDescent="0.3">
      <c r="A170" s="424" t="s">
        <v>383</v>
      </c>
      <c r="B170" s="591" t="s">
        <v>382</v>
      </c>
      <c r="C170" s="251" t="e">
        <f>'Сводный расчет стоимости'!#REF!</f>
        <v>#REF!</v>
      </c>
    </row>
    <row r="171" spans="1:3" ht="13.8" x14ac:dyDescent="0.3">
      <c r="A171" s="424" t="s">
        <v>384</v>
      </c>
      <c r="B171" s="591" t="str">
        <f>'Сводный расчет стоимости'!C232</f>
        <v>Рентгенография  бедренной кости</v>
      </c>
      <c r="C171" s="251" t="e">
        <f>'Сводный расчет стоимости'!#REF!</f>
        <v>#REF!</v>
      </c>
    </row>
    <row r="172" spans="1:3" ht="13.8" x14ac:dyDescent="0.3">
      <c r="A172" s="424" t="s">
        <v>386</v>
      </c>
      <c r="B172" s="591" t="s">
        <v>385</v>
      </c>
      <c r="C172" s="251" t="e">
        <f>'Сводный расчет стоимости'!#REF!</f>
        <v>#REF!</v>
      </c>
    </row>
    <row r="173" spans="1:3" ht="13.8" x14ac:dyDescent="0.3">
      <c r="A173" s="424" t="s">
        <v>388</v>
      </c>
      <c r="B173" s="591" t="s">
        <v>387</v>
      </c>
      <c r="C173" s="251"/>
    </row>
    <row r="174" spans="1:3" ht="13.8" x14ac:dyDescent="0.3">
      <c r="A174" s="424" t="s">
        <v>390</v>
      </c>
      <c r="B174" s="591" t="s">
        <v>389</v>
      </c>
      <c r="C174" s="251" t="e">
        <f>'Сводный расчет стоимости'!#REF!</f>
        <v>#REF!</v>
      </c>
    </row>
    <row r="175" spans="1:3" ht="13.8" x14ac:dyDescent="0.3">
      <c r="A175" s="424" t="s">
        <v>391</v>
      </c>
      <c r="B175" s="591" t="str">
        <f>'Сводный расчет стоимости'!C234</f>
        <v>Рентгенография  всего таза</v>
      </c>
      <c r="C175" s="251" t="e">
        <f>'Сводный расчет стоимости'!#REF!</f>
        <v>#REF!</v>
      </c>
    </row>
    <row r="176" spans="1:3" ht="13.8" x14ac:dyDescent="0.3">
      <c r="A176" s="424" t="s">
        <v>393</v>
      </c>
      <c r="B176" s="591" t="s">
        <v>392</v>
      </c>
      <c r="C176" s="251" t="e">
        <f>'Сводный расчет стоимости'!#REF!</f>
        <v>#REF!</v>
      </c>
    </row>
    <row r="177" spans="1:3" ht="13.8" x14ac:dyDescent="0.3">
      <c r="A177" s="424" t="s">
        <v>394</v>
      </c>
      <c r="B177" s="591" t="s">
        <v>1613</v>
      </c>
      <c r="C177" s="251" t="e">
        <f>'Сводный расчет стоимости'!#REF!</f>
        <v>#REF!</v>
      </c>
    </row>
    <row r="178" spans="1:3" ht="13.8" x14ac:dyDescent="0.3">
      <c r="A178" s="424" t="s">
        <v>395</v>
      </c>
      <c r="B178" s="591" t="s">
        <v>1616</v>
      </c>
      <c r="C178" s="251" t="e">
        <f>'Сводный расчет стоимости'!#REF!</f>
        <v>#REF!</v>
      </c>
    </row>
    <row r="179" spans="1:3" ht="13.8" x14ac:dyDescent="0.3">
      <c r="A179" s="424" t="s">
        <v>396</v>
      </c>
      <c r="B179" s="591" t="s">
        <v>1617</v>
      </c>
      <c r="C179" s="251" t="e">
        <f>'Сводный расчет стоимости'!#REF!</f>
        <v>#REF!</v>
      </c>
    </row>
    <row r="180" spans="1:3" ht="13.8" x14ac:dyDescent="0.3">
      <c r="A180" s="424" t="s">
        <v>398</v>
      </c>
      <c r="B180" s="591" t="s">
        <v>397</v>
      </c>
      <c r="C180" s="251" t="e">
        <f>'Сводный расчет стоимости'!#REF!</f>
        <v>#REF!</v>
      </c>
    </row>
    <row r="181" spans="1:3" ht="13.8" x14ac:dyDescent="0.3">
      <c r="A181" s="424" t="s">
        <v>399</v>
      </c>
      <c r="B181" s="591" t="s">
        <v>1621</v>
      </c>
      <c r="C181" s="251" t="e">
        <f>'Сводный расчет стоимости'!#REF!</f>
        <v>#REF!</v>
      </c>
    </row>
    <row r="182" spans="1:3" ht="13.8" x14ac:dyDescent="0.3">
      <c r="A182" s="424" t="s">
        <v>400</v>
      </c>
      <c r="B182" s="591" t="s">
        <v>1629</v>
      </c>
      <c r="C182" s="251" t="e">
        <f>'Сводный расчет стоимости'!#REF!</f>
        <v>#REF!</v>
      </c>
    </row>
    <row r="183" spans="1:3" ht="13.8" x14ac:dyDescent="0.3">
      <c r="A183" s="424" t="s">
        <v>401</v>
      </c>
      <c r="B183" s="591" t="s">
        <v>1631</v>
      </c>
      <c r="C183" s="251" t="e">
        <f>'Сводный расчет стоимости'!#REF!</f>
        <v>#REF!</v>
      </c>
    </row>
    <row r="184" spans="1:3" ht="13.8" x14ac:dyDescent="0.3">
      <c r="A184" s="424" t="s">
        <v>403</v>
      </c>
      <c r="B184" s="591" t="s">
        <v>402</v>
      </c>
      <c r="C184" s="251" t="e">
        <f>'Сводный расчет стоимости'!#REF!</f>
        <v>#REF!</v>
      </c>
    </row>
    <row r="185" spans="1:3" ht="13.8" x14ac:dyDescent="0.3">
      <c r="A185" s="424" t="s">
        <v>405</v>
      </c>
      <c r="B185" s="591" t="s">
        <v>404</v>
      </c>
      <c r="C185" s="251" t="e">
        <f>'Сводный расчет стоимости'!#REF!</f>
        <v>#REF!</v>
      </c>
    </row>
    <row r="186" spans="1:3" ht="13.8" x14ac:dyDescent="0.3">
      <c r="A186" s="424" t="s">
        <v>406</v>
      </c>
      <c r="B186" s="591" t="s">
        <v>1609</v>
      </c>
      <c r="C186" s="251" t="e">
        <f>'Сводный расчет стоимости'!#REF!</f>
        <v>#REF!</v>
      </c>
    </row>
    <row r="187" spans="1:3" ht="13.8" x14ac:dyDescent="0.3">
      <c r="A187" s="424" t="s">
        <v>407</v>
      </c>
      <c r="B187" s="591" t="s">
        <v>1610</v>
      </c>
      <c r="C187" s="251" t="e">
        <f>'Сводный расчет стоимости'!#REF!</f>
        <v>#REF!</v>
      </c>
    </row>
    <row r="188" spans="1:3" ht="13.8" x14ac:dyDescent="0.3">
      <c r="A188" s="424" t="s">
        <v>408</v>
      </c>
      <c r="B188" s="591" t="s">
        <v>1614</v>
      </c>
      <c r="C188" s="251" t="e">
        <f>'Сводный расчет стоимости'!#REF!</f>
        <v>#REF!</v>
      </c>
    </row>
    <row r="189" spans="1:3" ht="13.8" x14ac:dyDescent="0.3">
      <c r="A189" s="424" t="s">
        <v>409</v>
      </c>
      <c r="B189" s="591" t="s">
        <v>1615</v>
      </c>
      <c r="C189" s="251" t="e">
        <f>'Сводный расчет стоимости'!#REF!</f>
        <v>#REF!</v>
      </c>
    </row>
    <row r="190" spans="1:3" ht="13.8" x14ac:dyDescent="0.3">
      <c r="A190" s="424" t="s">
        <v>410</v>
      </c>
      <c r="B190" s="591" t="s">
        <v>1618</v>
      </c>
      <c r="C190" s="251" t="e">
        <f>'Сводный расчет стоимости'!#REF!</f>
        <v>#REF!</v>
      </c>
    </row>
    <row r="191" spans="1:3" ht="13.8" x14ac:dyDescent="0.3">
      <c r="A191" s="424" t="s">
        <v>411</v>
      </c>
      <c r="B191" s="591" t="s">
        <v>1600</v>
      </c>
      <c r="C191" s="251" t="e">
        <f>'Сводный расчет стоимости'!#REF!</f>
        <v>#REF!</v>
      </c>
    </row>
    <row r="192" spans="1:3" ht="13.8" x14ac:dyDescent="0.3">
      <c r="A192" s="424" t="s">
        <v>412</v>
      </c>
      <c r="B192" s="591" t="s">
        <v>1620</v>
      </c>
      <c r="C192" s="251" t="e">
        <f>'Сводный расчет стоимости'!#REF!</f>
        <v>#REF!</v>
      </c>
    </row>
    <row r="193" spans="1:3" ht="13.8" x14ac:dyDescent="0.3">
      <c r="A193" s="424" t="s">
        <v>413</v>
      </c>
      <c r="B193" s="591" t="s">
        <v>1622</v>
      </c>
      <c r="C193" s="251" t="e">
        <f>'Сводный расчет стоимости'!#REF!</f>
        <v>#REF!</v>
      </c>
    </row>
    <row r="194" spans="1:3" ht="13.8" x14ac:dyDescent="0.3">
      <c r="A194" s="424" t="s">
        <v>415</v>
      </c>
      <c r="B194" s="591" t="s">
        <v>414</v>
      </c>
      <c r="C194" s="251" t="e">
        <f>'Сводный расчет стоимости'!#REF!</f>
        <v>#REF!</v>
      </c>
    </row>
    <row r="195" spans="1:3" ht="13.8" x14ac:dyDescent="0.3">
      <c r="A195" s="424" t="s">
        <v>416</v>
      </c>
      <c r="B195" s="591" t="s">
        <v>1624</v>
      </c>
      <c r="C195" s="251" t="e">
        <f>'Сводный расчет стоимости'!#REF!</f>
        <v>#REF!</v>
      </c>
    </row>
    <row r="196" spans="1:3" ht="13.8" x14ac:dyDescent="0.3">
      <c r="A196" s="424" t="s">
        <v>417</v>
      </c>
      <c r="B196" s="591" t="s">
        <v>1625</v>
      </c>
      <c r="C196" s="251" t="e">
        <f>'Сводный расчет стоимости'!#REF!</f>
        <v>#REF!</v>
      </c>
    </row>
    <row r="197" spans="1:3" ht="13.8" x14ac:dyDescent="0.3">
      <c r="A197" s="424" t="s">
        <v>418</v>
      </c>
      <c r="B197" s="591" t="s">
        <v>1626</v>
      </c>
      <c r="C197" s="251" t="e">
        <f>'Сводный расчет стоимости'!#REF!</f>
        <v>#REF!</v>
      </c>
    </row>
    <row r="198" spans="1:3" ht="13.8" x14ac:dyDescent="0.3">
      <c r="A198" s="424" t="s">
        <v>419</v>
      </c>
      <c r="B198" s="591" t="s">
        <v>1627</v>
      </c>
      <c r="C198" s="251" t="e">
        <f>'Сводный расчет стоимости'!#REF!</f>
        <v>#REF!</v>
      </c>
    </row>
    <row r="199" spans="1:3" ht="13.8" x14ac:dyDescent="0.3">
      <c r="A199" s="424" t="s">
        <v>420</v>
      </c>
      <c r="B199" s="591" t="s">
        <v>1628</v>
      </c>
      <c r="C199" s="251" t="e">
        <f>'Сводный расчет стоимости'!#REF!</f>
        <v>#REF!</v>
      </c>
    </row>
    <row r="200" spans="1:3" ht="13.8" x14ac:dyDescent="0.3">
      <c r="A200" s="424" t="s">
        <v>422</v>
      </c>
      <c r="B200" s="591" t="s">
        <v>421</v>
      </c>
      <c r="C200" s="251" t="e">
        <f>'Сводный расчет стоимости'!#REF!</f>
        <v>#REF!</v>
      </c>
    </row>
    <row r="201" spans="1:3" ht="13.8" x14ac:dyDescent="0.3">
      <c r="A201" s="424" t="s">
        <v>423</v>
      </c>
      <c r="B201" s="591" t="s">
        <v>1630</v>
      </c>
      <c r="C201" s="251" t="e">
        <f>'Сводный расчет стоимости'!#REF!</f>
        <v>#REF!</v>
      </c>
    </row>
    <row r="202" spans="1:3" ht="13.8" x14ac:dyDescent="0.3">
      <c r="A202" s="424" t="s">
        <v>424</v>
      </c>
      <c r="B202" s="591" t="s">
        <v>1632</v>
      </c>
      <c r="C202" s="251" t="e">
        <f>'Сводный расчет стоимости'!#REF!</f>
        <v>#REF!</v>
      </c>
    </row>
    <row r="203" spans="1:3" ht="13.8" x14ac:dyDescent="0.3">
      <c r="A203" s="424" t="s">
        <v>425</v>
      </c>
      <c r="B203" s="591" t="s">
        <v>1633</v>
      </c>
      <c r="C203" s="251" t="e">
        <f>'Сводный расчет стоимости'!#REF!</f>
        <v>#REF!</v>
      </c>
    </row>
    <row r="204" spans="1:3" ht="13.8" x14ac:dyDescent="0.3">
      <c r="A204" s="424" t="s">
        <v>426</v>
      </c>
      <c r="B204" s="591" t="s">
        <v>1634</v>
      </c>
      <c r="C204" s="251" t="e">
        <f>'Сводный расчет стоимости'!#REF!</f>
        <v>#REF!</v>
      </c>
    </row>
    <row r="205" spans="1:3" ht="13.8" x14ac:dyDescent="0.3">
      <c r="A205" s="424" t="s">
        <v>427</v>
      </c>
      <c r="B205" s="591" t="s">
        <v>1635</v>
      </c>
      <c r="C205" s="251" t="e">
        <f>'Сводный расчет стоимости'!#REF!</f>
        <v>#REF!</v>
      </c>
    </row>
    <row r="206" spans="1:3" ht="13.8" x14ac:dyDescent="0.3">
      <c r="A206" s="424" t="s">
        <v>428</v>
      </c>
      <c r="B206" s="591" t="s">
        <v>745</v>
      </c>
      <c r="C206" s="251" t="e">
        <f>'Сводный расчет стоимости'!#REF!</f>
        <v>#REF!</v>
      </c>
    </row>
    <row r="207" spans="1:3" ht="13.8" x14ac:dyDescent="0.3">
      <c r="A207" s="424" t="s">
        <v>429</v>
      </c>
      <c r="B207" s="591" t="s">
        <v>1636</v>
      </c>
      <c r="C207" s="251" t="e">
        <f>'Сводный расчет стоимости'!#REF!</f>
        <v>#REF!</v>
      </c>
    </row>
    <row r="208" spans="1:3" ht="13.8" x14ac:dyDescent="0.3">
      <c r="A208" s="424" t="s">
        <v>430</v>
      </c>
      <c r="B208" s="591" t="s">
        <v>1637</v>
      </c>
      <c r="C208" s="251" t="e">
        <f>'Сводный расчет стоимости'!#REF!</f>
        <v>#REF!</v>
      </c>
    </row>
    <row r="209" spans="1:3" ht="13.8" x14ac:dyDescent="0.3">
      <c r="A209" s="424" t="s">
        <v>431</v>
      </c>
      <c r="B209" s="591" t="s">
        <v>1638</v>
      </c>
      <c r="C209" s="251" t="e">
        <f>'Сводный расчет стоимости'!#REF!</f>
        <v>#REF!</v>
      </c>
    </row>
    <row r="210" spans="1:3" ht="13.8" x14ac:dyDescent="0.3">
      <c r="A210" s="424" t="s">
        <v>432</v>
      </c>
      <c r="B210" s="591" t="s">
        <v>1639</v>
      </c>
      <c r="C210" s="251" t="e">
        <f>'Сводный расчет стоимости'!#REF!</f>
        <v>#REF!</v>
      </c>
    </row>
    <row r="211" spans="1:3" ht="13.8" x14ac:dyDescent="0.3">
      <c r="A211" s="424" t="s">
        <v>433</v>
      </c>
      <c r="B211" s="591" t="s">
        <v>1640</v>
      </c>
      <c r="C211" s="251" t="e">
        <f>'Сводный расчет стоимости'!#REF!</f>
        <v>#REF!</v>
      </c>
    </row>
    <row r="212" spans="1:3" ht="13.8" x14ac:dyDescent="0.3">
      <c r="A212" s="424" t="s">
        <v>434</v>
      </c>
      <c r="B212" s="591" t="s">
        <v>1641</v>
      </c>
      <c r="C212" s="251" t="e">
        <f>'Сводный расчет стоимости'!#REF!</f>
        <v>#REF!</v>
      </c>
    </row>
    <row r="213" spans="1:3" ht="13.8" x14ac:dyDescent="0.3">
      <c r="A213" s="424" t="s">
        <v>435</v>
      </c>
      <c r="B213" s="591" t="s">
        <v>1642</v>
      </c>
      <c r="C213" s="251" t="e">
        <f>'Сводный расчет стоимости'!#REF!</f>
        <v>#REF!</v>
      </c>
    </row>
    <row r="214" spans="1:3" ht="13.8" x14ac:dyDescent="0.3">
      <c r="A214" s="424" t="s">
        <v>436</v>
      </c>
      <c r="B214" s="591" t="s">
        <v>1643</v>
      </c>
      <c r="C214" s="251" t="e">
        <f>'Сводный расчет стоимости'!#REF!</f>
        <v>#REF!</v>
      </c>
    </row>
    <row r="215" spans="1:3" ht="13.8" x14ac:dyDescent="0.3">
      <c r="A215" s="424" t="s">
        <v>437</v>
      </c>
      <c r="B215" s="591" t="s">
        <v>1644</v>
      </c>
      <c r="C215" s="251" t="e">
        <f>'Сводный расчет стоимости'!#REF!</f>
        <v>#REF!</v>
      </c>
    </row>
    <row r="216" spans="1:3" ht="13.8" x14ac:dyDescent="0.3">
      <c r="A216" s="424" t="s">
        <v>438</v>
      </c>
      <c r="B216" s="591" t="s">
        <v>1649</v>
      </c>
      <c r="C216" s="251" t="e">
        <f>'Сводный расчет стоимости'!#REF!</f>
        <v>#REF!</v>
      </c>
    </row>
    <row r="217" spans="1:3" ht="13.8" x14ac:dyDescent="0.3">
      <c r="A217" s="424" t="s">
        <v>439</v>
      </c>
      <c r="B217" s="591" t="s">
        <v>1673</v>
      </c>
      <c r="C217" s="251" t="e">
        <f>'Сводный расчет стоимости'!#REF!</f>
        <v>#REF!</v>
      </c>
    </row>
    <row r="218" spans="1:3" ht="13.8" x14ac:dyDescent="0.3">
      <c r="A218" s="424" t="s">
        <v>441</v>
      </c>
      <c r="B218" s="591" t="s">
        <v>440</v>
      </c>
      <c r="C218" s="251" t="e">
        <f>'Сводный расчет стоимости'!#REF!</f>
        <v>#REF!</v>
      </c>
    </row>
    <row r="219" spans="1:3" ht="13.8" x14ac:dyDescent="0.3">
      <c r="A219" s="424" t="s">
        <v>442</v>
      </c>
      <c r="B219" s="591" t="s">
        <v>1676</v>
      </c>
      <c r="C219" s="251" t="e">
        <f>'Сводный расчет стоимости'!#REF!</f>
        <v>#REF!</v>
      </c>
    </row>
    <row r="220" spans="1:3" ht="13.8" x14ac:dyDescent="0.3">
      <c r="A220" s="424" t="s">
        <v>443</v>
      </c>
      <c r="B220" s="591" t="s">
        <v>1675</v>
      </c>
      <c r="C220" s="251" t="e">
        <f>'Сводный расчет стоимости'!#REF!</f>
        <v>#REF!</v>
      </c>
    </row>
    <row r="221" spans="1:3" ht="13.8" x14ac:dyDescent="0.3">
      <c r="A221" s="424" t="s">
        <v>454</v>
      </c>
      <c r="B221" s="591" t="s">
        <v>1677</v>
      </c>
      <c r="C221" s="251" t="e">
        <f>'Сводный расчет стоимости'!#REF!</f>
        <v>#REF!</v>
      </c>
    </row>
    <row r="222" spans="1:3" ht="13.8" x14ac:dyDescent="0.3">
      <c r="A222" s="424" t="s">
        <v>455</v>
      </c>
      <c r="B222" s="591" t="s">
        <v>1678</v>
      </c>
      <c r="C222" s="251" t="e">
        <f>'Сводный расчет стоимости'!#REF!</f>
        <v>#REF!</v>
      </c>
    </row>
    <row r="223" spans="1:3" ht="13.8" x14ac:dyDescent="0.3">
      <c r="A223" s="424" t="s">
        <v>457</v>
      </c>
      <c r="B223" s="591" t="s">
        <v>456</v>
      </c>
      <c r="C223" s="251" t="e">
        <f>'Сводный расчет стоимости'!#REF!</f>
        <v>#REF!</v>
      </c>
    </row>
    <row r="224" spans="1:3" ht="13.8" x14ac:dyDescent="0.3">
      <c r="A224" s="424" t="s">
        <v>458</v>
      </c>
      <c r="B224" s="591" t="s">
        <v>1680</v>
      </c>
      <c r="C224" s="251" t="e">
        <f>'Сводный расчет стоимости'!#REF!</f>
        <v>#REF!</v>
      </c>
    </row>
    <row r="225" spans="1:3" ht="15" customHeight="1" x14ac:dyDescent="0.3">
      <c r="A225" s="424" t="s">
        <v>459</v>
      </c>
      <c r="B225" s="591" t="s">
        <v>1681</v>
      </c>
      <c r="C225" s="251" t="e">
        <f>'Сводный расчет стоимости'!#REF!</f>
        <v>#REF!</v>
      </c>
    </row>
    <row r="226" spans="1:3" ht="13.8" x14ac:dyDescent="0.3">
      <c r="A226" s="424" t="s">
        <v>460</v>
      </c>
      <c r="B226" s="591" t="s">
        <v>1682</v>
      </c>
      <c r="C226" s="251" t="e">
        <f>'Сводный расчет стоимости'!#REF!</f>
        <v>#REF!</v>
      </c>
    </row>
    <row r="227" spans="1:3" ht="13.8" x14ac:dyDescent="0.3">
      <c r="A227" s="424" t="s">
        <v>461</v>
      </c>
      <c r="B227" s="591" t="s">
        <v>1683</v>
      </c>
      <c r="C227" s="251" t="e">
        <f>'Сводный расчет стоимости'!#REF!</f>
        <v>#REF!</v>
      </c>
    </row>
    <row r="228" spans="1:3" x14ac:dyDescent="0.25">
      <c r="A228" s="1095" t="s">
        <v>280</v>
      </c>
      <c r="B228" s="1095"/>
    </row>
    <row r="229" spans="1:3" ht="13.8" x14ac:dyDescent="0.3">
      <c r="A229" s="396" t="s">
        <v>1451</v>
      </c>
      <c r="B229" s="592" t="s">
        <v>1449</v>
      </c>
      <c r="C229" s="251" t="e">
        <f>'Сводный расчет стоимости'!#REF!</f>
        <v>#REF!</v>
      </c>
    </row>
    <row r="230" spans="1:3" ht="13.8" x14ac:dyDescent="0.3">
      <c r="A230" s="396" t="s">
        <v>1452</v>
      </c>
      <c r="B230" s="592" t="s">
        <v>1450</v>
      </c>
      <c r="C230" s="251"/>
    </row>
    <row r="231" spans="1:3" ht="13.8" x14ac:dyDescent="0.3">
      <c r="A231" s="396" t="s">
        <v>1301</v>
      </c>
      <c r="B231" s="592" t="s">
        <v>1300</v>
      </c>
      <c r="C231" s="251"/>
    </row>
    <row r="232" spans="1:3" ht="13.8" x14ac:dyDescent="0.3">
      <c r="A232" s="396" t="s">
        <v>1303</v>
      </c>
      <c r="B232" s="608" t="s">
        <v>1302</v>
      </c>
      <c r="C232" s="609"/>
    </row>
    <row r="233" spans="1:3" ht="13.8" x14ac:dyDescent="0.3">
      <c r="A233" s="396" t="s">
        <v>1305</v>
      </c>
      <c r="B233" s="607" t="s">
        <v>1304</v>
      </c>
      <c r="C233" s="251"/>
    </row>
    <row r="234" spans="1:3" ht="13.8" x14ac:dyDescent="0.3">
      <c r="A234" s="396" t="s">
        <v>1307</v>
      </c>
      <c r="B234" s="607" t="s">
        <v>1306</v>
      </c>
      <c r="C234" s="251"/>
    </row>
    <row r="235" spans="1:3" ht="13.8" x14ac:dyDescent="0.3">
      <c r="A235" s="396" t="s">
        <v>1309</v>
      </c>
      <c r="B235" s="607" t="s">
        <v>1308</v>
      </c>
      <c r="C235" s="251"/>
    </row>
    <row r="236" spans="1:3" ht="13.8" x14ac:dyDescent="0.3">
      <c r="A236" s="396" t="s">
        <v>1311</v>
      </c>
      <c r="B236" s="607" t="s">
        <v>1310</v>
      </c>
      <c r="C236" s="251"/>
    </row>
    <row r="237" spans="1:3" ht="13.8" x14ac:dyDescent="0.3">
      <c r="A237" s="396" t="s">
        <v>1313</v>
      </c>
      <c r="B237" s="607" t="s">
        <v>1312</v>
      </c>
      <c r="C237" s="251"/>
    </row>
    <row r="238" spans="1:3" ht="13.8" x14ac:dyDescent="0.3">
      <c r="A238" s="396" t="s">
        <v>1315</v>
      </c>
      <c r="B238" s="607" t="s">
        <v>1314</v>
      </c>
      <c r="C238" s="251"/>
    </row>
    <row r="239" spans="1:3" ht="13.8" x14ac:dyDescent="0.3">
      <c r="A239" s="396" t="s">
        <v>1317</v>
      </c>
      <c r="B239" s="607" t="s">
        <v>1316</v>
      </c>
      <c r="C239" s="251"/>
    </row>
    <row r="240" spans="1:3" ht="13.8" x14ac:dyDescent="0.3">
      <c r="A240" s="396" t="s">
        <v>1319</v>
      </c>
      <c r="B240" s="607" t="s">
        <v>1318</v>
      </c>
      <c r="C240" s="251"/>
    </row>
    <row r="241" spans="1:3" ht="13.8" x14ac:dyDescent="0.3">
      <c r="A241" s="396" t="s">
        <v>1321</v>
      </c>
      <c r="B241" s="607" t="s">
        <v>1320</v>
      </c>
      <c r="C241" s="251"/>
    </row>
    <row r="242" spans="1:3" ht="27.6" x14ac:dyDescent="0.3">
      <c r="A242" s="396" t="s">
        <v>1323</v>
      </c>
      <c r="B242" s="592" t="s">
        <v>1322</v>
      </c>
      <c r="C242" s="251"/>
    </row>
    <row r="243" spans="1:3" ht="13.8" x14ac:dyDescent="0.3">
      <c r="A243" s="396" t="s">
        <v>1325</v>
      </c>
      <c r="B243" s="592" t="s">
        <v>1324</v>
      </c>
      <c r="C243" s="251"/>
    </row>
    <row r="244" spans="1:3" ht="13.8" x14ac:dyDescent="0.3">
      <c r="A244" s="396" t="s">
        <v>1327</v>
      </c>
      <c r="B244" s="607" t="s">
        <v>1326</v>
      </c>
      <c r="C244" s="251"/>
    </row>
    <row r="245" spans="1:3" ht="13.8" x14ac:dyDescent="0.3">
      <c r="A245" s="396" t="s">
        <v>1329</v>
      </c>
      <c r="B245" s="607" t="s">
        <v>1328</v>
      </c>
      <c r="C245" s="251"/>
    </row>
    <row r="246" spans="1:3" ht="13.8" x14ac:dyDescent="0.3">
      <c r="A246" s="396" t="s">
        <v>1453</v>
      </c>
      <c r="B246" s="617" t="s">
        <v>1454</v>
      </c>
      <c r="C246" s="251"/>
    </row>
    <row r="247" spans="1:3" ht="13.8" x14ac:dyDescent="0.3">
      <c r="A247" s="610" t="s">
        <v>1455</v>
      </c>
      <c r="B247" s="606" t="s">
        <v>1456</v>
      </c>
      <c r="C247" s="251">
        <v>71</v>
      </c>
    </row>
    <row r="248" spans="1:3" ht="13.8" x14ac:dyDescent="0.3">
      <c r="A248" s="611" t="s">
        <v>1331</v>
      </c>
      <c r="B248" s="607" t="s">
        <v>1330</v>
      </c>
      <c r="C248" s="251">
        <v>124</v>
      </c>
    </row>
    <row r="249" spans="1:3" ht="12.75" customHeight="1" x14ac:dyDescent="0.3">
      <c r="A249" s="611" t="s">
        <v>1334</v>
      </c>
      <c r="B249" s="607" t="s">
        <v>1332</v>
      </c>
      <c r="C249" s="251">
        <v>124</v>
      </c>
    </row>
    <row r="250" spans="1:3" ht="12.75" customHeight="1" x14ac:dyDescent="0.3">
      <c r="A250" s="611" t="s">
        <v>1336</v>
      </c>
      <c r="B250" s="612" t="s">
        <v>1335</v>
      </c>
      <c r="C250" s="251">
        <v>124</v>
      </c>
    </row>
    <row r="251" spans="1:3" ht="13.8" x14ac:dyDescent="0.3">
      <c r="A251" s="396" t="s">
        <v>1333</v>
      </c>
      <c r="B251" s="607" t="s">
        <v>1339</v>
      </c>
      <c r="C251" s="251"/>
    </row>
    <row r="252" spans="1:3" ht="13.8" x14ac:dyDescent="0.3">
      <c r="A252" s="396" t="s">
        <v>1338</v>
      </c>
      <c r="B252" s="607" t="s">
        <v>1337</v>
      </c>
      <c r="C252" s="251">
        <v>121</v>
      </c>
    </row>
    <row r="253" spans="1:3" ht="13.8" x14ac:dyDescent="0.3">
      <c r="A253" s="396" t="s">
        <v>1343</v>
      </c>
      <c r="B253" s="607" t="s">
        <v>1342</v>
      </c>
      <c r="C253" s="251"/>
    </row>
    <row r="254" spans="1:3" ht="13.8" x14ac:dyDescent="0.3">
      <c r="A254" s="396" t="s">
        <v>1341</v>
      </c>
      <c r="B254" s="592" t="s">
        <v>1340</v>
      </c>
      <c r="C254" s="251">
        <v>173</v>
      </c>
    </row>
    <row r="255" spans="1:3" ht="13.8" x14ac:dyDescent="0.3">
      <c r="A255" s="396" t="s">
        <v>1345</v>
      </c>
      <c r="B255" s="592" t="s">
        <v>1344</v>
      </c>
      <c r="C255" s="251"/>
    </row>
    <row r="256" spans="1:3" ht="13.8" x14ac:dyDescent="0.3">
      <c r="A256" s="396" t="s">
        <v>1347</v>
      </c>
      <c r="B256" s="592" t="s">
        <v>1346</v>
      </c>
      <c r="C256" s="251"/>
    </row>
    <row r="257" spans="1:3" ht="12.75" customHeight="1" x14ac:dyDescent="0.3">
      <c r="A257" s="396" t="s">
        <v>1349</v>
      </c>
      <c r="B257" s="607" t="s">
        <v>1348</v>
      </c>
      <c r="C257" s="251"/>
    </row>
    <row r="258" spans="1:3" ht="12.75" customHeight="1" x14ac:dyDescent="0.3">
      <c r="A258" s="396" t="s">
        <v>1351</v>
      </c>
      <c r="B258" s="592" t="s">
        <v>1350</v>
      </c>
      <c r="C258" s="251"/>
    </row>
    <row r="259" spans="1:3" ht="13.8" x14ac:dyDescent="0.3">
      <c r="A259" s="396" t="s">
        <v>1353</v>
      </c>
      <c r="B259" s="607" t="s">
        <v>1352</v>
      </c>
      <c r="C259" s="251">
        <v>185</v>
      </c>
    </row>
    <row r="260" spans="1:3" ht="13.8" x14ac:dyDescent="0.3">
      <c r="A260" s="396" t="s">
        <v>1355</v>
      </c>
      <c r="B260" s="607" t="s">
        <v>1354</v>
      </c>
      <c r="C260" s="251">
        <v>106</v>
      </c>
    </row>
    <row r="261" spans="1:3" ht="13.8" x14ac:dyDescent="0.3">
      <c r="A261" s="396" t="s">
        <v>1458</v>
      </c>
      <c r="B261" s="607" t="s">
        <v>1457</v>
      </c>
      <c r="C261" s="251"/>
    </row>
    <row r="262" spans="1:3" ht="13.8" x14ac:dyDescent="0.3">
      <c r="A262" s="396" t="s">
        <v>1460</v>
      </c>
      <c r="B262" s="607" t="s">
        <v>1459</v>
      </c>
      <c r="C262" s="251"/>
    </row>
    <row r="263" spans="1:3" ht="13.8" x14ac:dyDescent="0.3">
      <c r="A263" s="396" t="s">
        <v>1462</v>
      </c>
      <c r="B263" s="607" t="s">
        <v>1461</v>
      </c>
      <c r="C263" s="251"/>
    </row>
    <row r="264" spans="1:3" ht="13.8" x14ac:dyDescent="0.3">
      <c r="A264" s="396" t="s">
        <v>1464</v>
      </c>
      <c r="B264" s="607" t="s">
        <v>1463</v>
      </c>
      <c r="C264" s="251"/>
    </row>
    <row r="265" spans="1:3" ht="27.6" x14ac:dyDescent="0.3">
      <c r="A265" s="396" t="s">
        <v>1466</v>
      </c>
      <c r="B265" s="592" t="s">
        <v>1465</v>
      </c>
      <c r="C265" s="251"/>
    </row>
    <row r="266" spans="1:3" ht="27.6" x14ac:dyDescent="0.3">
      <c r="A266" s="396" t="s">
        <v>1469</v>
      </c>
      <c r="B266" s="592" t="s">
        <v>1467</v>
      </c>
      <c r="C266" s="251"/>
    </row>
    <row r="267" spans="1:3" ht="12.75" customHeight="1" x14ac:dyDescent="0.3">
      <c r="A267" s="396" t="s">
        <v>1470</v>
      </c>
      <c r="B267" s="592" t="s">
        <v>1468</v>
      </c>
      <c r="C267" s="251"/>
    </row>
    <row r="268" spans="1:3" ht="13.8" x14ac:dyDescent="0.3">
      <c r="A268" s="396" t="s">
        <v>1357</v>
      </c>
      <c r="B268" s="607" t="s">
        <v>1356</v>
      </c>
      <c r="C268" s="251"/>
    </row>
    <row r="269" spans="1:3" ht="13.8" x14ac:dyDescent="0.3">
      <c r="A269" s="396" t="s">
        <v>1359</v>
      </c>
      <c r="B269" s="607" t="s">
        <v>1358</v>
      </c>
      <c r="C269" s="251"/>
    </row>
    <row r="270" spans="1:3" ht="13.8" x14ac:dyDescent="0.3">
      <c r="A270" s="396" t="s">
        <v>1363</v>
      </c>
      <c r="B270" s="607" t="s">
        <v>1362</v>
      </c>
      <c r="C270" s="251"/>
    </row>
    <row r="271" spans="1:3" ht="27.6" x14ac:dyDescent="0.3">
      <c r="A271" s="396" t="s">
        <v>1361</v>
      </c>
      <c r="B271" s="592" t="s">
        <v>1360</v>
      </c>
      <c r="C271" s="251"/>
    </row>
    <row r="272" spans="1:3" ht="27.6" x14ac:dyDescent="0.3">
      <c r="A272" s="396" t="s">
        <v>1365</v>
      </c>
      <c r="B272" s="592" t="s">
        <v>1364</v>
      </c>
      <c r="C272" s="251"/>
    </row>
    <row r="273" spans="1:3" ht="13.8" x14ac:dyDescent="0.3">
      <c r="A273" s="396" t="s">
        <v>1367</v>
      </c>
      <c r="B273" s="607" t="s">
        <v>1366</v>
      </c>
      <c r="C273" s="251"/>
    </row>
    <row r="274" spans="1:3" ht="13.8" x14ac:dyDescent="0.3">
      <c r="A274" s="396" t="s">
        <v>1472</v>
      </c>
      <c r="B274" s="607" t="s">
        <v>1471</v>
      </c>
      <c r="C274" s="251"/>
    </row>
    <row r="275" spans="1:3" ht="12.75" customHeight="1" x14ac:dyDescent="0.3">
      <c r="A275" s="396" t="s">
        <v>1474</v>
      </c>
      <c r="B275" s="607" t="s">
        <v>1473</v>
      </c>
      <c r="C275" s="251"/>
    </row>
    <row r="276" spans="1:3" ht="13.8" x14ac:dyDescent="0.3">
      <c r="A276" s="396" t="s">
        <v>1475</v>
      </c>
      <c r="B276" s="607" t="s">
        <v>1476</v>
      </c>
      <c r="C276" s="251"/>
    </row>
    <row r="277" spans="1:3" ht="12.75" customHeight="1" x14ac:dyDescent="0.3">
      <c r="A277" s="396" t="s">
        <v>1477</v>
      </c>
      <c r="B277" s="607" t="s">
        <v>1478</v>
      </c>
      <c r="C277" s="251"/>
    </row>
    <row r="278" spans="1:3" ht="13.8" x14ac:dyDescent="0.3">
      <c r="A278" s="396" t="s">
        <v>1480</v>
      </c>
      <c r="B278" s="607" t="s">
        <v>1479</v>
      </c>
      <c r="C278" s="251"/>
    </row>
    <row r="279" spans="1:3" ht="13.8" x14ac:dyDescent="0.3">
      <c r="A279" s="396" t="s">
        <v>1481</v>
      </c>
      <c r="B279" s="607" t="s">
        <v>1485</v>
      </c>
      <c r="C279" s="251"/>
    </row>
    <row r="280" spans="1:3" ht="13.8" x14ac:dyDescent="0.3">
      <c r="A280" s="396" t="s">
        <v>1482</v>
      </c>
      <c r="B280" s="607" t="s">
        <v>1486</v>
      </c>
      <c r="C280" s="251"/>
    </row>
    <row r="281" spans="1:3" ht="12.75" customHeight="1" x14ac:dyDescent="0.3">
      <c r="A281" s="396" t="s">
        <v>1483</v>
      </c>
      <c r="B281" s="607" t="s">
        <v>1487</v>
      </c>
      <c r="C281" s="251"/>
    </row>
    <row r="282" spans="1:3" ht="13.8" x14ac:dyDescent="0.3">
      <c r="A282" s="396" t="s">
        <v>1484</v>
      </c>
      <c r="B282" s="607" t="s">
        <v>1488</v>
      </c>
      <c r="C282" s="251"/>
    </row>
    <row r="283" spans="1:3" ht="27.6" x14ac:dyDescent="0.3">
      <c r="A283" s="396" t="s">
        <v>1490</v>
      </c>
      <c r="B283" s="592" t="s">
        <v>1489</v>
      </c>
      <c r="C283" s="251"/>
    </row>
    <row r="284" spans="1:3" ht="27.6" x14ac:dyDescent="0.3">
      <c r="A284" s="396" t="s">
        <v>1492</v>
      </c>
      <c r="B284" s="592" t="s">
        <v>1491</v>
      </c>
      <c r="C284" s="251"/>
    </row>
    <row r="285" spans="1:3" ht="13.8" x14ac:dyDescent="0.3">
      <c r="A285" s="396" t="s">
        <v>1494</v>
      </c>
      <c r="B285" s="607" t="s">
        <v>1493</v>
      </c>
      <c r="C285" s="251"/>
    </row>
    <row r="286" spans="1:3" x14ac:dyDescent="0.25">
      <c r="A286" s="1095" t="s">
        <v>1123</v>
      </c>
      <c r="B286" s="1095"/>
    </row>
    <row r="287" spans="1:3" ht="13.8" x14ac:dyDescent="0.3">
      <c r="A287" s="396" t="s">
        <v>1415</v>
      </c>
      <c r="B287" s="592" t="s">
        <v>697</v>
      </c>
      <c r="C287" s="251" t="e">
        <f>'Сводный расчет стоимости'!#REF!</f>
        <v>#REF!</v>
      </c>
    </row>
    <row r="288" spans="1:3" ht="13.8" x14ac:dyDescent="0.3">
      <c r="A288" s="396" t="s">
        <v>1416</v>
      </c>
      <c r="B288" s="592" t="s">
        <v>301</v>
      </c>
      <c r="C288" s="251" t="e">
        <f>'Сводный расчет стоимости'!#REF!</f>
        <v>#REF!</v>
      </c>
    </row>
    <row r="289" spans="1:3" ht="13.8" x14ac:dyDescent="0.3">
      <c r="A289" s="396" t="s">
        <v>1417</v>
      </c>
      <c r="B289" s="592" t="s">
        <v>698</v>
      </c>
      <c r="C289" s="251" t="e">
        <f>'Сводный расчет стоимости'!#REF!</f>
        <v>#REF!</v>
      </c>
    </row>
    <row r="290" spans="1:3" ht="13.8" x14ac:dyDescent="0.3">
      <c r="A290" s="396" t="s">
        <v>1418</v>
      </c>
      <c r="B290" s="592" t="s">
        <v>686</v>
      </c>
      <c r="C290" s="251" t="e">
        <f>'Сводный расчет стоимости'!#REF!</f>
        <v>#REF!</v>
      </c>
    </row>
    <row r="291" spans="1:3" ht="13.8" x14ac:dyDescent="0.3">
      <c r="A291" s="396" t="s">
        <v>1419</v>
      </c>
      <c r="B291" s="592" t="s">
        <v>299</v>
      </c>
      <c r="C291" s="251" t="e">
        <f>'Сводный расчет стоимости'!#REF!</f>
        <v>#REF!</v>
      </c>
    </row>
    <row r="292" spans="1:3" ht="13.8" x14ac:dyDescent="0.3">
      <c r="A292" s="396" t="s">
        <v>1420</v>
      </c>
      <c r="B292" s="592" t="s">
        <v>690</v>
      </c>
      <c r="C292" s="251" t="e">
        <f>'Сводный расчет стоимости'!#REF!</f>
        <v>#REF!</v>
      </c>
    </row>
    <row r="293" spans="1:3" ht="27.6" x14ac:dyDescent="0.3">
      <c r="A293" s="396" t="s">
        <v>1421</v>
      </c>
      <c r="B293" s="592" t="s">
        <v>685</v>
      </c>
      <c r="C293" s="251" t="e">
        <f>'Сводный расчет стоимости'!#REF!</f>
        <v>#REF!</v>
      </c>
    </row>
    <row r="294" spans="1:3" ht="13.8" x14ac:dyDescent="0.3">
      <c r="A294" s="396" t="s">
        <v>1422</v>
      </c>
      <c r="B294" s="592" t="s">
        <v>696</v>
      </c>
      <c r="C294" s="251" t="e">
        <f>'Сводный расчет стоимости'!#REF!</f>
        <v>#REF!</v>
      </c>
    </row>
    <row r="295" spans="1:3" ht="13.8" x14ac:dyDescent="0.3">
      <c r="A295" s="396" t="s">
        <v>1423</v>
      </c>
      <c r="B295" s="592" t="s">
        <v>688</v>
      </c>
      <c r="C295" s="251" t="e">
        <f>'Сводный расчет стоимости'!#REF!</f>
        <v>#REF!</v>
      </c>
    </row>
    <row r="296" spans="1:3" ht="13.8" x14ac:dyDescent="0.3">
      <c r="A296" s="396" t="s">
        <v>1424</v>
      </c>
      <c r="B296" s="592" t="s">
        <v>694</v>
      </c>
      <c r="C296" s="251" t="e">
        <f>'Сводный расчет стоимости'!#REF!</f>
        <v>#REF!</v>
      </c>
    </row>
    <row r="297" spans="1:3" ht="13.8" x14ac:dyDescent="0.3">
      <c r="A297" s="396" t="s">
        <v>1425</v>
      </c>
      <c r="B297" s="592" t="s">
        <v>695</v>
      </c>
      <c r="C297" s="251" t="e">
        <f>'Сводный расчет стоимости'!#REF!</f>
        <v>#REF!</v>
      </c>
    </row>
    <row r="298" spans="1:3" ht="13.8" x14ac:dyDescent="0.3">
      <c r="A298" s="396" t="s">
        <v>1426</v>
      </c>
      <c r="B298" s="592" t="s">
        <v>693</v>
      </c>
      <c r="C298" s="251" t="e">
        <f>'Сводный расчет стоимости'!#REF!</f>
        <v>#REF!</v>
      </c>
    </row>
    <row r="299" spans="1:3" ht="13.8" x14ac:dyDescent="0.3">
      <c r="A299" s="396" t="s">
        <v>1428</v>
      </c>
      <c r="B299" s="592" t="s">
        <v>1427</v>
      </c>
      <c r="C299" s="251" t="e">
        <f>'Сводный расчет стоимости'!#REF!</f>
        <v>#REF!</v>
      </c>
    </row>
    <row r="300" spans="1:3" ht="13.8" x14ac:dyDescent="0.3">
      <c r="A300" s="396" t="s">
        <v>1429</v>
      </c>
      <c r="B300" s="592" t="s">
        <v>689</v>
      </c>
      <c r="C300" s="251" t="e">
        <f>'Сводный расчет стоимости'!#REF!</f>
        <v>#REF!</v>
      </c>
    </row>
    <row r="301" spans="1:3" ht="13.8" x14ac:dyDescent="0.3">
      <c r="A301" s="396" t="s">
        <v>1430</v>
      </c>
      <c r="B301" s="592" t="s">
        <v>1686</v>
      </c>
      <c r="C301" s="251" t="e">
        <f>'Сводный расчет стоимости'!#REF!</f>
        <v>#REF!</v>
      </c>
    </row>
    <row r="302" spans="1:3" ht="13.8" x14ac:dyDescent="0.3">
      <c r="A302" s="396" t="s">
        <v>1431</v>
      </c>
      <c r="B302" s="592" t="s">
        <v>691</v>
      </c>
      <c r="C302" s="251" t="e">
        <f>'Сводный расчет стоимости'!#REF!</f>
        <v>#REF!</v>
      </c>
    </row>
    <row r="303" spans="1:3" x14ac:dyDescent="0.25">
      <c r="A303" s="1095" t="s">
        <v>315</v>
      </c>
      <c r="B303" s="1095"/>
    </row>
    <row r="304" spans="1:3" ht="13.8" x14ac:dyDescent="0.3">
      <c r="A304" s="604" t="s">
        <v>1369</v>
      </c>
      <c r="B304" s="592" t="s">
        <v>1368</v>
      </c>
      <c r="C304" s="249"/>
    </row>
    <row r="305" spans="1:3" ht="13.8" x14ac:dyDescent="0.3">
      <c r="A305" s="425" t="s">
        <v>1448</v>
      </c>
      <c r="B305" s="607" t="s">
        <v>1447</v>
      </c>
      <c r="C305" s="251" t="e">
        <f>'Сводный расчет стоимости'!#REF!</f>
        <v>#REF!</v>
      </c>
    </row>
    <row r="306" spans="1:3" ht="27.6" x14ac:dyDescent="0.3">
      <c r="A306" s="615" t="s">
        <v>1372</v>
      </c>
      <c r="B306" s="592" t="s">
        <v>1373</v>
      </c>
      <c r="C306" s="251" t="e">
        <f>'Сводный расчет стоимости'!#REF!</f>
        <v>#REF!</v>
      </c>
    </row>
    <row r="307" spans="1:3" ht="13.8" x14ac:dyDescent="0.3">
      <c r="A307" s="425" t="s">
        <v>447</v>
      </c>
      <c r="B307" s="592" t="s">
        <v>446</v>
      </c>
      <c r="C307" s="251" t="e">
        <f>'Сводный расчет стоимости'!#REF!</f>
        <v>#REF!</v>
      </c>
    </row>
    <row r="308" spans="1:3" ht="27.6" x14ac:dyDescent="0.3">
      <c r="A308" s="425" t="s">
        <v>1371</v>
      </c>
      <c r="B308" s="613" t="s">
        <v>1370</v>
      </c>
      <c r="C308" s="251" t="e">
        <f>'Сводный расчет стоимости'!#REF!</f>
        <v>#REF!</v>
      </c>
    </row>
    <row r="309" spans="1:3" ht="13.8" x14ac:dyDescent="0.3">
      <c r="A309" s="425" t="s">
        <v>1433</v>
      </c>
      <c r="B309" s="592" t="s">
        <v>1432</v>
      </c>
      <c r="C309" s="251" t="e">
        <f>'Сводный расчет стоимости'!#REF!</f>
        <v>#REF!</v>
      </c>
    </row>
    <row r="310" spans="1:3" ht="13.8" x14ac:dyDescent="0.3">
      <c r="A310" s="425" t="s">
        <v>796</v>
      </c>
      <c r="B310" s="592" t="s">
        <v>589</v>
      </c>
      <c r="C310" s="251" t="e">
        <f>'Сводный расчет стоимости'!#REF!</f>
        <v>#REF!</v>
      </c>
    </row>
    <row r="311" spans="1:3" ht="13.8" x14ac:dyDescent="0.3">
      <c r="A311" s="425" t="s">
        <v>1295</v>
      </c>
      <c r="B311" s="592" t="s">
        <v>1294</v>
      </c>
      <c r="C311" s="251">
        <v>92</v>
      </c>
    </row>
    <row r="312" spans="1:3" ht="13.8" x14ac:dyDescent="0.3">
      <c r="A312" s="425" t="s">
        <v>1296</v>
      </c>
      <c r="B312" s="592" t="s">
        <v>1297</v>
      </c>
      <c r="C312" s="251"/>
    </row>
    <row r="313" spans="1:3" ht="13.8" x14ac:dyDescent="0.3">
      <c r="A313" s="425" t="s">
        <v>798</v>
      </c>
      <c r="B313" s="592" t="s">
        <v>797</v>
      </c>
      <c r="C313" s="251" t="e">
        <f>'Сводный расчет стоимости'!#REF!</f>
        <v>#REF!</v>
      </c>
    </row>
    <row r="314" spans="1:3" ht="13.8" x14ac:dyDescent="0.3">
      <c r="A314" s="425" t="s">
        <v>800</v>
      </c>
      <c r="B314" s="592" t="s">
        <v>799</v>
      </c>
      <c r="C314" s="251" t="e">
        <f>'Сводный расчет стоимости'!#REF!</f>
        <v>#REF!</v>
      </c>
    </row>
    <row r="315" spans="1:3" ht="13.5" customHeight="1" x14ac:dyDescent="0.3">
      <c r="A315" s="425" t="s">
        <v>802</v>
      </c>
      <c r="B315" s="592" t="s">
        <v>801</v>
      </c>
      <c r="C315" s="251" t="e">
        <f>'Сводный расчет стоимости'!#REF!</f>
        <v>#REF!</v>
      </c>
    </row>
    <row r="316" spans="1:3" ht="13.5" customHeight="1" x14ac:dyDescent="0.3">
      <c r="A316" s="425" t="s">
        <v>804</v>
      </c>
      <c r="B316" s="592" t="s">
        <v>803</v>
      </c>
      <c r="C316" s="251" t="e">
        <f>'Сводный расчет стоимости'!#REF!</f>
        <v>#REF!</v>
      </c>
    </row>
    <row r="317" spans="1:3" ht="13.8" x14ac:dyDescent="0.3">
      <c r="A317" s="425" t="s">
        <v>806</v>
      </c>
      <c r="B317" s="592" t="s">
        <v>805</v>
      </c>
      <c r="C317" s="251" t="e">
        <f>'Сводный расчет стоимости'!#REF!</f>
        <v>#REF!</v>
      </c>
    </row>
    <row r="318" spans="1:3" ht="13.8" x14ac:dyDescent="0.3">
      <c r="A318" s="425" t="s">
        <v>807</v>
      </c>
      <c r="B318" s="592" t="s">
        <v>1664</v>
      </c>
      <c r="C318" s="251" t="e">
        <f>'Сводный расчет стоимости'!#REF!</f>
        <v>#REF!</v>
      </c>
    </row>
    <row r="319" spans="1:3" ht="13.8" x14ac:dyDescent="0.3">
      <c r="A319" s="425" t="s">
        <v>808</v>
      </c>
      <c r="B319" s="592" t="s">
        <v>526</v>
      </c>
      <c r="C319" s="251" t="e">
        <f>'Сводный расчет стоимости'!#REF!</f>
        <v>#REF!</v>
      </c>
    </row>
    <row r="320" spans="1:3" ht="13.8" x14ac:dyDescent="0.3">
      <c r="A320" s="425" t="s">
        <v>1293</v>
      </c>
      <c r="B320" s="606" t="s">
        <v>1292</v>
      </c>
      <c r="C320" s="251"/>
    </row>
    <row r="321" spans="1:3" ht="13.8" x14ac:dyDescent="0.3">
      <c r="A321" s="425" t="s">
        <v>780</v>
      </c>
      <c r="B321" s="592" t="s">
        <v>779</v>
      </c>
      <c r="C321" s="251" t="e">
        <f>'Сводный расчет стоимости'!#REF!</f>
        <v>#REF!</v>
      </c>
    </row>
    <row r="322" spans="1:3" ht="13.8" x14ac:dyDescent="0.3">
      <c r="A322" s="425" t="s">
        <v>449</v>
      </c>
      <c r="B322" s="592" t="s">
        <v>448</v>
      </c>
      <c r="C322" s="251" t="e">
        <f>'Сводный расчет стоимости'!#REF!</f>
        <v>#REF!</v>
      </c>
    </row>
    <row r="323" spans="1:3" ht="13.8" x14ac:dyDescent="0.3">
      <c r="A323" s="425" t="s">
        <v>451</v>
      </c>
      <c r="B323" s="592" t="s">
        <v>450</v>
      </c>
      <c r="C323" s="251" t="e">
        <f>'Сводный расчет стоимости'!#REF!</f>
        <v>#REF!</v>
      </c>
    </row>
    <row r="324" spans="1:3" ht="13.8" x14ac:dyDescent="0.3">
      <c r="A324" s="425" t="s">
        <v>453</v>
      </c>
      <c r="B324" s="592" t="s">
        <v>452</v>
      </c>
      <c r="C324" s="251" t="e">
        <f>'Сводный расчет стоимости'!#REF!</f>
        <v>#REF!</v>
      </c>
    </row>
    <row r="325" spans="1:3" ht="13.8" x14ac:dyDescent="0.3">
      <c r="A325" s="425" t="s">
        <v>810</v>
      </c>
      <c r="B325" s="592" t="s">
        <v>809</v>
      </c>
      <c r="C325" s="251" t="e">
        <f>'Сводный расчет стоимости'!#REF!</f>
        <v>#REF!</v>
      </c>
    </row>
    <row r="326" spans="1:3" ht="13.8" x14ac:dyDescent="0.3">
      <c r="A326" s="425" t="s">
        <v>812</v>
      </c>
      <c r="B326" s="592" t="s">
        <v>811</v>
      </c>
      <c r="C326" s="251" t="e">
        <f>'Сводный расчет стоимости'!#REF!</f>
        <v>#REF!</v>
      </c>
    </row>
    <row r="327" spans="1:3" ht="13.8" x14ac:dyDescent="0.3">
      <c r="A327" s="425" t="s">
        <v>814</v>
      </c>
      <c r="B327" s="592" t="s">
        <v>813</v>
      </c>
      <c r="C327" s="251" t="e">
        <f>'Сводный расчет стоимости'!#REF!</f>
        <v>#REF!</v>
      </c>
    </row>
    <row r="328" spans="1:3" x14ac:dyDescent="0.25">
      <c r="A328" s="1095" t="s">
        <v>337</v>
      </c>
      <c r="B328" s="1095"/>
    </row>
    <row r="329" spans="1:3" ht="13.8" x14ac:dyDescent="0.3">
      <c r="A329" s="425" t="s">
        <v>1284</v>
      </c>
      <c r="B329" s="248" t="s">
        <v>171</v>
      </c>
      <c r="C329" s="251" t="e">
        <f>'Сводный расчет стоимости'!#REF!</f>
        <v>#REF!</v>
      </c>
    </row>
    <row r="330" spans="1:3" ht="12.75" customHeight="1" x14ac:dyDescent="0.25"/>
    <row r="331" spans="1:3" ht="12.75" customHeight="1" x14ac:dyDescent="0.25"/>
    <row r="332" spans="1:3" ht="12.75" customHeight="1" x14ac:dyDescent="0.3">
      <c r="B332" s="257" t="s">
        <v>371</v>
      </c>
    </row>
    <row r="333" spans="1:3" ht="12.75" customHeight="1" x14ac:dyDescent="0.25"/>
    <row r="334" spans="1:3" ht="12.75" customHeight="1" x14ac:dyDescent="0.3">
      <c r="B334" s="254" t="s">
        <v>815</v>
      </c>
    </row>
    <row r="335" spans="1:3" ht="12.75" customHeight="1" x14ac:dyDescent="0.25"/>
    <row r="336" spans="1:3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2" ht="12.75" customHeight="1" x14ac:dyDescent="0.25"/>
    <row r="383" ht="12.75" customHeight="1" x14ac:dyDescent="0.25"/>
    <row r="384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5.75" customHeight="1" x14ac:dyDescent="0.25"/>
    <row r="512" ht="12.75" customHeight="1" x14ac:dyDescent="0.25"/>
    <row r="513" ht="25.5" customHeight="1" x14ac:dyDescent="0.25"/>
    <row r="514" ht="24" customHeight="1" x14ac:dyDescent="0.25"/>
    <row r="515" ht="24.75" customHeight="1" x14ac:dyDescent="0.25"/>
    <row r="516" ht="26.2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8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8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29.2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4.2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8" ht="12.75" customHeight="1" x14ac:dyDescent="0.25"/>
    <row r="769" ht="12.75" customHeight="1" x14ac:dyDescent="0.25"/>
    <row r="770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29.25" customHeight="1" x14ac:dyDescent="0.25"/>
    <row r="807" ht="12.75" customHeight="1" x14ac:dyDescent="0.25"/>
    <row r="809" ht="30" customHeight="1" x14ac:dyDescent="0.25"/>
    <row r="815" ht="19.5" customHeight="1" x14ac:dyDescent="0.25"/>
    <row r="817" ht="12.75" customHeight="1" x14ac:dyDescent="0.25"/>
    <row r="819" ht="12.75" customHeight="1" x14ac:dyDescent="0.25"/>
    <row r="820" ht="12.75" customHeight="1" x14ac:dyDescent="0.25"/>
    <row r="821" ht="24" customHeight="1" x14ac:dyDescent="0.25"/>
    <row r="822" ht="27.75" customHeight="1" x14ac:dyDescent="0.25"/>
    <row r="823" ht="12.75" customHeight="1" x14ac:dyDescent="0.25"/>
    <row r="824" ht="12.75" customHeight="1" x14ac:dyDescent="0.25"/>
    <row r="826" ht="24.75" customHeight="1" x14ac:dyDescent="0.25"/>
  </sheetData>
  <mergeCells count="24">
    <mergeCell ref="B7:D7"/>
    <mergeCell ref="A12:C12"/>
    <mergeCell ref="A2:D2"/>
    <mergeCell ref="A3:D3"/>
    <mergeCell ref="A4:D4"/>
    <mergeCell ref="A6:D6"/>
    <mergeCell ref="A13:C13"/>
    <mergeCell ref="A14:C14"/>
    <mergeCell ref="A15:C15"/>
    <mergeCell ref="A16:A17"/>
    <mergeCell ref="B16:B17"/>
    <mergeCell ref="C16:C17"/>
    <mergeCell ref="A303:B303"/>
    <mergeCell ref="A328:B328"/>
    <mergeCell ref="A82:B82"/>
    <mergeCell ref="A169:B169"/>
    <mergeCell ref="A228:B228"/>
    <mergeCell ref="A286:B286"/>
    <mergeCell ref="A70:B70"/>
    <mergeCell ref="A81:B81"/>
    <mergeCell ref="D16:D17"/>
    <mergeCell ref="A51:B51"/>
    <mergeCell ref="A53:B53"/>
    <mergeCell ref="A60:B60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7"/>
  <sheetViews>
    <sheetView workbookViewId="0">
      <selection activeCell="D24" sqref="D24"/>
    </sheetView>
  </sheetViews>
  <sheetFormatPr defaultRowHeight="13.2" x14ac:dyDescent="0.25"/>
  <cols>
    <col min="1" max="1" width="11.109375" customWidth="1"/>
    <col min="2" max="2" width="62.33203125" customWidth="1"/>
    <col min="3" max="3" width="13.44140625" customWidth="1"/>
    <col min="4" max="4" width="12.33203125" customWidth="1"/>
  </cols>
  <sheetData>
    <row r="1" spans="1:4" x14ac:dyDescent="0.25">
      <c r="B1" s="1092"/>
      <c r="C1" s="1093"/>
      <c r="D1" s="1093"/>
    </row>
    <row r="5" spans="1:4" ht="12.75" customHeight="1" x14ac:dyDescent="0.25">
      <c r="A5" s="1097" t="s">
        <v>848</v>
      </c>
      <c r="B5" s="1098" t="s">
        <v>849</v>
      </c>
      <c r="C5" s="1098" t="s">
        <v>1042</v>
      </c>
      <c r="D5" s="1104"/>
    </row>
    <row r="6" spans="1:4" x14ac:dyDescent="0.25">
      <c r="A6" s="1097"/>
      <c r="B6" s="1099"/>
      <c r="C6" s="1099"/>
      <c r="D6" s="1104"/>
    </row>
    <row r="7" spans="1:4" ht="15" customHeight="1" x14ac:dyDescent="0.3">
      <c r="A7" s="396"/>
      <c r="B7" s="248"/>
      <c r="C7" s="251"/>
    </row>
    <row r="8" spans="1:4" ht="13.8" x14ac:dyDescent="0.3">
      <c r="A8" s="396" t="s">
        <v>1058</v>
      </c>
      <c r="B8" s="248" t="s">
        <v>819</v>
      </c>
      <c r="C8" s="251" t="e">
        <f>'Сводный расчет стоимости'!#REF!</f>
        <v>#REF!</v>
      </c>
    </row>
    <row r="9" spans="1:4" ht="14.25" customHeight="1" x14ac:dyDescent="0.3">
      <c r="A9" s="396" t="s">
        <v>1059</v>
      </c>
      <c r="B9" s="248" t="s">
        <v>820</v>
      </c>
      <c r="C9" s="251" t="e">
        <f>'Сводный расчет стоимости'!#REF!</f>
        <v>#REF!</v>
      </c>
    </row>
    <row r="10" spans="1:4" ht="13.8" x14ac:dyDescent="0.3">
      <c r="A10" s="396" t="s">
        <v>1060</v>
      </c>
      <c r="B10" s="248" t="s">
        <v>821</v>
      </c>
      <c r="C10" s="251" t="e">
        <f>'Сводный расчет стоимости'!#REF!</f>
        <v>#REF!</v>
      </c>
    </row>
    <row r="11" spans="1:4" ht="13.8" x14ac:dyDescent="0.3">
      <c r="A11" s="396" t="s">
        <v>1061</v>
      </c>
      <c r="B11" s="248" t="s">
        <v>822</v>
      </c>
      <c r="C11" s="251" t="e">
        <f>'Сводный расчет стоимости'!#REF!</f>
        <v>#REF!</v>
      </c>
    </row>
    <row r="12" spans="1:4" ht="15.75" customHeight="1" x14ac:dyDescent="0.25">
      <c r="A12" s="422"/>
      <c r="B12" s="247"/>
      <c r="C12" s="251"/>
    </row>
    <row r="13" spans="1:4" ht="13.8" x14ac:dyDescent="0.25">
      <c r="A13" s="584" t="s">
        <v>1497</v>
      </c>
      <c r="B13" s="583" t="str">
        <f>'Сводный расчет стоимости'!C37</f>
        <v>Предрейсовый (предсменный) медицинский осмотр с АСПО</v>
      </c>
      <c r="C13" s="251" t="e">
        <f>'Сводный расчет стоимости'!#REF!</f>
        <v>#REF!</v>
      </c>
    </row>
    <row r="14" spans="1:4" ht="13.8" x14ac:dyDescent="0.25">
      <c r="A14" s="584" t="s">
        <v>1498</v>
      </c>
      <c r="B14" s="583" t="e">
        <f>'Сводный расчет стоимости'!#REF!</f>
        <v>#REF!</v>
      </c>
      <c r="C14" s="251" t="e">
        <f>'Сводный расчет стоимости'!#REF!</f>
        <v>#REF!</v>
      </c>
    </row>
    <row r="15" spans="1:4" ht="13.8" x14ac:dyDescent="0.3">
      <c r="A15" s="581"/>
      <c r="B15" s="582"/>
      <c r="C15" s="255"/>
    </row>
    <row r="16" spans="1:4" x14ac:dyDescent="0.25">
      <c r="A16" s="1095" t="s">
        <v>337</v>
      </c>
      <c r="B16" s="1095"/>
    </row>
    <row r="17" spans="1:3" ht="13.8" x14ac:dyDescent="0.3">
      <c r="A17" s="425" t="s">
        <v>1284</v>
      </c>
      <c r="B17" s="248" t="s">
        <v>171</v>
      </c>
      <c r="C17" s="251" t="e">
        <f>'Сводный расчет стоимости'!#REF!</f>
        <v>#REF!</v>
      </c>
    </row>
    <row r="18" spans="1:3" ht="12.75" customHeight="1" x14ac:dyDescent="0.25"/>
    <row r="19" spans="1:3" ht="12.75" customHeight="1" x14ac:dyDescent="0.25"/>
    <row r="20" spans="1:3" ht="12.75" customHeight="1" x14ac:dyDescent="0.3">
      <c r="B20" s="257" t="s">
        <v>371</v>
      </c>
    </row>
    <row r="21" spans="1:3" ht="12.75" customHeight="1" x14ac:dyDescent="0.25"/>
    <row r="22" spans="1:3" ht="12.75" customHeight="1" x14ac:dyDescent="0.3">
      <c r="B22" s="254" t="s">
        <v>815</v>
      </c>
    </row>
    <row r="23" spans="1:3" ht="12.75" customHeight="1" x14ac:dyDescent="0.25"/>
    <row r="24" spans="1:3" ht="12.75" customHeight="1" x14ac:dyDescent="0.25"/>
    <row r="25" spans="1:3" ht="12.75" customHeight="1" x14ac:dyDescent="0.25"/>
    <row r="26" spans="1:3" ht="12.75" customHeight="1" x14ac:dyDescent="0.25"/>
    <row r="27" spans="1:3" ht="12.75" customHeight="1" x14ac:dyDescent="0.25"/>
    <row r="28" spans="1:3" ht="12.75" customHeight="1" x14ac:dyDescent="0.25"/>
    <row r="29" spans="1:3" ht="12.75" customHeight="1" x14ac:dyDescent="0.25"/>
    <row r="30" spans="1:3" ht="12.75" customHeight="1" x14ac:dyDescent="0.25"/>
    <row r="31" spans="1:3" ht="12.75" customHeight="1" x14ac:dyDescent="0.25"/>
    <row r="32" spans="1:3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3" ht="12.75" customHeight="1" x14ac:dyDescent="0.25"/>
    <row r="74" ht="12.75" customHeight="1" x14ac:dyDescent="0.25"/>
    <row r="75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5.75" customHeight="1" x14ac:dyDescent="0.25"/>
    <row r="203" ht="12.75" customHeight="1" x14ac:dyDescent="0.25"/>
    <row r="204" ht="25.5" customHeight="1" x14ac:dyDescent="0.25"/>
    <row r="205" ht="24" customHeight="1" x14ac:dyDescent="0.25"/>
    <row r="206" ht="24.75" customHeight="1" x14ac:dyDescent="0.25"/>
    <row r="207" ht="26.2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8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8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29.2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4.2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9" ht="12.75" customHeight="1" x14ac:dyDescent="0.25"/>
    <row r="460" ht="12.75" customHeight="1" x14ac:dyDescent="0.25"/>
    <row r="461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29.25" customHeight="1" x14ac:dyDescent="0.25"/>
    <row r="498" ht="12.75" customHeight="1" x14ac:dyDescent="0.25"/>
    <row r="500" ht="30" customHeight="1" x14ac:dyDescent="0.25"/>
    <row r="506" ht="19.5" customHeight="1" x14ac:dyDescent="0.25"/>
    <row r="508" ht="12.75" customHeight="1" x14ac:dyDescent="0.25"/>
    <row r="510" ht="12.75" customHeight="1" x14ac:dyDescent="0.25"/>
    <row r="511" ht="12.75" customHeight="1" x14ac:dyDescent="0.25"/>
    <row r="512" ht="24" customHeight="1" x14ac:dyDescent="0.25"/>
    <row r="513" ht="27.75" customHeight="1" x14ac:dyDescent="0.25"/>
    <row r="514" ht="12.75" customHeight="1" x14ac:dyDescent="0.25"/>
    <row r="515" ht="12.75" customHeight="1" x14ac:dyDescent="0.25"/>
    <row r="517" ht="24.75" customHeight="1" x14ac:dyDescent="0.25"/>
  </sheetData>
  <mergeCells count="6">
    <mergeCell ref="A16:B16"/>
    <mergeCell ref="B1:D1"/>
    <mergeCell ref="D5:D6"/>
    <mergeCell ref="A5:A6"/>
    <mergeCell ref="B5:B6"/>
    <mergeCell ref="C5:C6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7"/>
  <sheetViews>
    <sheetView zoomScaleNormal="100" workbookViewId="0">
      <selection activeCell="F27" sqref="F27"/>
    </sheetView>
  </sheetViews>
  <sheetFormatPr defaultRowHeight="13.2" x14ac:dyDescent="0.25"/>
  <cols>
    <col min="1" max="1" width="14.88671875" customWidth="1"/>
    <col min="2" max="2" width="51.33203125" customWidth="1"/>
    <col min="3" max="3" width="18.44140625" customWidth="1"/>
  </cols>
  <sheetData>
    <row r="2" spans="1:5" x14ac:dyDescent="0.25">
      <c r="A2" s="656"/>
      <c r="B2" s="656"/>
      <c r="C2" s="656"/>
      <c r="D2" s="656"/>
    </row>
    <row r="3" spans="1:5" x14ac:dyDescent="0.25">
      <c r="A3" s="1088" t="s">
        <v>1711</v>
      </c>
      <c r="B3" s="1088"/>
      <c r="C3" s="1088"/>
      <c r="D3" s="1088"/>
    </row>
    <row r="4" spans="1:5" x14ac:dyDescent="0.25">
      <c r="A4" s="1089" t="s">
        <v>1712</v>
      </c>
      <c r="B4" s="1089"/>
      <c r="C4" s="1089"/>
      <c r="D4" s="1089"/>
    </row>
    <row r="5" spans="1:5" x14ac:dyDescent="0.25">
      <c r="A5" s="655" t="s">
        <v>1713</v>
      </c>
      <c r="B5" s="655"/>
      <c r="C5" s="655"/>
      <c r="D5" s="655"/>
      <c r="E5" s="656"/>
    </row>
    <row r="6" spans="1:5" ht="13.8" x14ac:dyDescent="0.3">
      <c r="A6" s="656"/>
      <c r="B6" s="1183" t="s">
        <v>1714</v>
      </c>
      <c r="C6" s="1183"/>
      <c r="D6" s="397"/>
    </row>
    <row r="7" spans="1:5" x14ac:dyDescent="0.25">
      <c r="A7" s="655" t="s">
        <v>1715</v>
      </c>
      <c r="B7" s="655"/>
      <c r="C7" s="655"/>
      <c r="D7" s="655"/>
      <c r="E7" s="656"/>
    </row>
    <row r="8" spans="1:5" x14ac:dyDescent="0.25">
      <c r="A8" s="656"/>
      <c r="B8" s="639"/>
      <c r="C8" s="655" t="s">
        <v>2076</v>
      </c>
      <c r="D8" s="655"/>
    </row>
    <row r="9" spans="1:5" x14ac:dyDescent="0.25">
      <c r="A9" s="656"/>
      <c r="B9" s="656"/>
      <c r="C9" s="656"/>
      <c r="D9" s="656"/>
    </row>
    <row r="10" spans="1:5" x14ac:dyDescent="0.25">
      <c r="A10" s="656"/>
      <c r="B10" s="656"/>
      <c r="C10" s="656"/>
      <c r="D10" s="656"/>
    </row>
    <row r="11" spans="1:5" x14ac:dyDescent="0.25">
      <c r="A11" s="656"/>
      <c r="B11" s="656"/>
      <c r="C11" s="656"/>
      <c r="D11" s="656"/>
    </row>
    <row r="12" spans="1:5" x14ac:dyDescent="0.25">
      <c r="A12" s="656"/>
      <c r="B12" s="656"/>
      <c r="C12" s="656"/>
      <c r="D12" s="656"/>
    </row>
    <row r="13" spans="1:5" ht="21.6" x14ac:dyDescent="0.4">
      <c r="A13" s="1094" t="s">
        <v>1041</v>
      </c>
      <c r="B13" s="1094"/>
      <c r="C13" s="1094"/>
      <c r="D13" s="656"/>
    </row>
    <row r="14" spans="1:5" ht="13.8" x14ac:dyDescent="0.25">
      <c r="A14" s="1090" t="s">
        <v>1716</v>
      </c>
      <c r="B14" s="1090"/>
      <c r="C14" s="1090"/>
      <c r="D14" s="656"/>
    </row>
    <row r="15" spans="1:5" x14ac:dyDescent="0.25">
      <c r="A15" s="1091" t="s">
        <v>1801</v>
      </c>
      <c r="B15" s="1091"/>
      <c r="C15" s="1091"/>
      <c r="D15" s="656"/>
    </row>
    <row r="16" spans="1:5" x14ac:dyDescent="0.25">
      <c r="A16" s="1095" t="s">
        <v>847</v>
      </c>
      <c r="B16" s="1095"/>
      <c r="C16" s="1095"/>
      <c r="D16" s="656"/>
    </row>
    <row r="17" spans="1:4" x14ac:dyDescent="0.25">
      <c r="A17" s="1097" t="s">
        <v>848</v>
      </c>
      <c r="B17" s="1098" t="s">
        <v>849</v>
      </c>
      <c r="C17" s="1098" t="s">
        <v>1042</v>
      </c>
      <c r="D17" s="1104"/>
    </row>
    <row r="18" spans="1:4" x14ac:dyDescent="0.25">
      <c r="A18" s="1097"/>
      <c r="B18" s="1099"/>
      <c r="C18" s="1099"/>
      <c r="D18" s="1104"/>
    </row>
    <row r="19" spans="1:4" ht="30.75" customHeight="1" x14ac:dyDescent="0.3">
      <c r="A19" s="396" t="s">
        <v>2077</v>
      </c>
      <c r="B19" s="248" t="s">
        <v>2078</v>
      </c>
      <c r="C19" s="729" t="s">
        <v>2080</v>
      </c>
      <c r="D19" s="656"/>
    </row>
    <row r="20" spans="1:4" ht="36" customHeight="1" x14ac:dyDescent="0.3">
      <c r="A20" s="396"/>
      <c r="B20" s="248" t="s">
        <v>2082</v>
      </c>
      <c r="C20" s="251">
        <v>144</v>
      </c>
      <c r="D20" s="656"/>
    </row>
    <row r="21" spans="1:4" ht="13.8" hidden="1" x14ac:dyDescent="0.3">
      <c r="A21" s="584" t="s">
        <v>1497</v>
      </c>
      <c r="B21" s="248" t="s">
        <v>2079</v>
      </c>
      <c r="C21" s="251" t="e">
        <f>'Сводный расчет стоимости'!#REF!</f>
        <v>#REF!</v>
      </c>
      <c r="D21" s="656"/>
    </row>
    <row r="22" spans="1:4" ht="13.8" hidden="1" x14ac:dyDescent="0.3">
      <c r="A22" s="584" t="s">
        <v>1498</v>
      </c>
      <c r="B22" s="248" t="s">
        <v>2079</v>
      </c>
      <c r="C22" s="251">
        <f>'Сводный расчет стоимости'!M41</f>
        <v>0</v>
      </c>
      <c r="D22" s="656"/>
    </row>
    <row r="23" spans="1:4" ht="13.8" x14ac:dyDescent="0.3">
      <c r="A23" s="249"/>
      <c r="B23" s="248" t="s">
        <v>2083</v>
      </c>
      <c r="C23" s="249">
        <v>144</v>
      </c>
    </row>
    <row r="24" spans="1:4" ht="13.8" x14ac:dyDescent="0.3">
      <c r="A24" s="249"/>
      <c r="B24" s="248" t="s">
        <v>2084</v>
      </c>
      <c r="C24" s="249">
        <v>161</v>
      </c>
    </row>
    <row r="25" spans="1:4" ht="13.8" x14ac:dyDescent="0.3">
      <c r="A25" s="249"/>
      <c r="B25" s="248" t="s">
        <v>2085</v>
      </c>
      <c r="C25" s="249">
        <v>68</v>
      </c>
    </row>
    <row r="26" spans="1:4" ht="13.8" x14ac:dyDescent="0.3">
      <c r="A26" s="249"/>
      <c r="B26" s="248" t="s">
        <v>2081</v>
      </c>
      <c r="C26" s="249">
        <v>225</v>
      </c>
    </row>
    <row r="27" spans="1:4" x14ac:dyDescent="0.25">
      <c r="A27" s="249"/>
      <c r="B27" s="249"/>
      <c r="C27" s="249"/>
    </row>
  </sheetData>
  <mergeCells count="11">
    <mergeCell ref="D17:D18"/>
    <mergeCell ref="A3:D3"/>
    <mergeCell ref="A4:D4"/>
    <mergeCell ref="A13:C13"/>
    <mergeCell ref="A14:C14"/>
    <mergeCell ref="A15:C15"/>
    <mergeCell ref="A16:C16"/>
    <mergeCell ref="A17:A18"/>
    <mergeCell ref="B17:B18"/>
    <mergeCell ref="C17:C18"/>
    <mergeCell ref="B6:C6"/>
  </mergeCells>
  <pageMargins left="0.7" right="0.7" top="0.75" bottom="0.75" header="0.3" footer="0.3"/>
  <pageSetup paperSize="9" scale="9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B158"/>
  <sheetViews>
    <sheetView workbookViewId="0">
      <pane xSplit="1" ySplit="5" topLeftCell="B6" activePane="bottomRight" state="frozen"/>
      <selection pane="topRight" activeCell="C1" sqref="C1"/>
      <selection pane="bottomLeft" activeCell="A6" sqref="A6"/>
      <selection pane="bottomRight" activeCell="B144" sqref="B144"/>
    </sheetView>
  </sheetViews>
  <sheetFormatPr defaultColWidth="9.109375" defaultRowHeight="13.8" x14ac:dyDescent="0.25"/>
  <cols>
    <col min="1" max="1" width="54.5546875" style="87" customWidth="1"/>
    <col min="2" max="2" width="9.6640625" style="87" customWidth="1"/>
    <col min="3" max="3" width="14.44140625" style="87" customWidth="1"/>
    <col min="4" max="4" width="6.33203125" style="87" customWidth="1"/>
    <col min="5" max="5" width="9.109375" style="87"/>
    <col min="6" max="6" width="6" style="87" customWidth="1"/>
    <col min="7" max="7" width="9.44140625" style="87" customWidth="1"/>
    <col min="8" max="8" width="9" style="87" customWidth="1"/>
    <col min="9" max="9" width="9.109375" style="87"/>
    <col min="10" max="10" width="13.109375" style="87" customWidth="1"/>
    <col min="11" max="11" width="11.5546875" style="87" customWidth="1"/>
    <col min="12" max="12" width="3.109375" style="101" customWidth="1"/>
    <col min="13" max="14" width="12.44140625" style="101" customWidth="1"/>
    <col min="15" max="15" width="11.33203125" style="87" customWidth="1"/>
    <col min="16" max="16" width="11.5546875" style="87" customWidth="1"/>
    <col min="17" max="18" width="9.109375" style="87"/>
    <col min="19" max="19" width="10.88671875" style="87" customWidth="1"/>
    <col min="20" max="20" width="13.88671875" style="87" customWidth="1"/>
    <col min="21" max="21" width="8.6640625" style="87" customWidth="1"/>
    <col min="22" max="22" width="9.109375" style="87"/>
    <col min="23" max="23" width="13.6640625" style="87" customWidth="1"/>
    <col min="24" max="24" width="19" style="87" customWidth="1"/>
    <col min="25" max="25" width="11.5546875" style="87" customWidth="1"/>
    <col min="26" max="26" width="11.33203125" style="87" customWidth="1"/>
    <col min="27" max="16384" width="9.109375" style="87"/>
  </cols>
  <sheetData>
    <row r="2" spans="1:28" x14ac:dyDescent="0.25">
      <c r="A2" s="82" t="s">
        <v>1144</v>
      </c>
    </row>
    <row r="3" spans="1:28" ht="30.75" customHeight="1" x14ac:dyDescent="0.25">
      <c r="M3" s="1004" t="s">
        <v>868</v>
      </c>
      <c r="N3" s="1011" t="s">
        <v>996</v>
      </c>
      <c r="O3" s="1011"/>
      <c r="P3" s="1011"/>
      <c r="Q3" s="1011"/>
      <c r="R3" s="1011"/>
      <c r="S3" s="1011"/>
      <c r="T3" s="1011"/>
      <c r="U3" s="1011"/>
      <c r="V3" s="1011"/>
      <c r="W3" s="1011"/>
      <c r="X3" s="1011"/>
      <c r="Y3" s="1011"/>
      <c r="Z3" s="1011"/>
      <c r="AA3" s="1011"/>
      <c r="AB3" s="1011"/>
    </row>
    <row r="4" spans="1:28" s="88" customFormat="1" ht="114" customHeight="1" x14ac:dyDescent="0.25">
      <c r="A4" s="1004" t="s">
        <v>1145</v>
      </c>
      <c r="B4" s="1004" t="s">
        <v>2275</v>
      </c>
      <c r="C4" s="160" t="s">
        <v>833</v>
      </c>
      <c r="D4" s="1006" t="s">
        <v>1155</v>
      </c>
      <c r="E4" s="1006"/>
      <c r="F4" s="1006" t="s">
        <v>1156</v>
      </c>
      <c r="G4" s="1006"/>
      <c r="H4" s="84" t="s">
        <v>1160</v>
      </c>
      <c r="I4" s="84" t="s">
        <v>1161</v>
      </c>
      <c r="J4" s="103" t="s">
        <v>1162</v>
      </c>
      <c r="K4" s="1008" t="s">
        <v>1157</v>
      </c>
      <c r="L4" s="122"/>
      <c r="M4" s="1004"/>
      <c r="N4" s="1005" t="s">
        <v>1287</v>
      </c>
      <c r="O4" s="1007" t="s">
        <v>1290</v>
      </c>
      <c r="P4" s="1003" t="s">
        <v>1289</v>
      </c>
      <c r="Q4" s="1003" t="s">
        <v>876</v>
      </c>
      <c r="R4" s="1003" t="s">
        <v>877</v>
      </c>
      <c r="S4" s="1003" t="s">
        <v>997</v>
      </c>
      <c r="T4" s="1003" t="s">
        <v>1288</v>
      </c>
      <c r="U4" s="1003" t="s">
        <v>1286</v>
      </c>
      <c r="V4" s="1003" t="s">
        <v>998</v>
      </c>
      <c r="W4" s="1003" t="s">
        <v>1000</v>
      </c>
      <c r="X4" s="1003" t="s">
        <v>1003</v>
      </c>
      <c r="Y4" s="1003" t="s">
        <v>1004</v>
      </c>
      <c r="Z4" s="1003" t="s">
        <v>1006</v>
      </c>
      <c r="AA4" s="1003"/>
      <c r="AB4" s="1003"/>
    </row>
    <row r="5" spans="1:28" ht="20.25" customHeight="1" x14ac:dyDescent="0.25">
      <c r="A5" s="1005"/>
      <c r="B5" s="1005"/>
      <c r="C5" s="640"/>
      <c r="D5" s="103" t="s">
        <v>1158</v>
      </c>
      <c r="E5" s="103" t="s">
        <v>1159</v>
      </c>
      <c r="F5" s="103" t="s">
        <v>1158</v>
      </c>
      <c r="G5" s="103" t="s">
        <v>1159</v>
      </c>
      <c r="H5" s="171">
        <v>0.3</v>
      </c>
      <c r="I5" s="171">
        <v>0.3</v>
      </c>
      <c r="J5" s="161">
        <f>'Исп. коэффициенты'!C118</f>
        <v>0.14559058921661019</v>
      </c>
      <c r="K5" s="1009"/>
      <c r="L5" s="122"/>
      <c r="M5" s="1004"/>
      <c r="N5" s="1010"/>
      <c r="O5" s="1007"/>
      <c r="P5" s="1003"/>
      <c r="Q5" s="1003"/>
      <c r="R5" s="1003"/>
      <c r="S5" s="1003"/>
      <c r="T5" s="1003"/>
      <c r="U5" s="1003"/>
      <c r="V5" s="1003"/>
      <c r="W5" s="1003"/>
      <c r="X5" s="1003"/>
      <c r="Y5" s="1003"/>
      <c r="Z5" s="1003"/>
      <c r="AA5" s="1003"/>
      <c r="AB5" s="1003"/>
    </row>
    <row r="6" spans="1:28" ht="20.25" customHeight="1" x14ac:dyDescent="0.3">
      <c r="A6" s="83" t="s">
        <v>1189</v>
      </c>
      <c r="B6" s="90"/>
      <c r="C6" s="107"/>
      <c r="D6" s="107"/>
      <c r="E6" s="107"/>
      <c r="F6" s="107"/>
      <c r="G6" s="107"/>
      <c r="H6" s="107"/>
      <c r="I6" s="107"/>
      <c r="J6" s="107"/>
      <c r="K6" s="121"/>
      <c r="L6" s="106"/>
      <c r="M6" s="213"/>
      <c r="N6" s="213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</row>
    <row r="7" spans="1:28" ht="17.25" customHeight="1" x14ac:dyDescent="0.25">
      <c r="A7" s="99" t="s">
        <v>1187</v>
      </c>
      <c r="B7" s="104"/>
      <c r="C7" s="119"/>
      <c r="D7" s="105"/>
      <c r="E7" s="112"/>
      <c r="F7" s="105"/>
      <c r="G7" s="112"/>
      <c r="H7" s="119"/>
      <c r="I7" s="119"/>
      <c r="J7" s="119"/>
      <c r="K7" s="119"/>
      <c r="L7" s="102"/>
      <c r="M7" s="214"/>
      <c r="N7" s="214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</row>
    <row r="8" spans="1:28" ht="30.75" customHeight="1" x14ac:dyDescent="0.25">
      <c r="A8" s="91" t="s">
        <v>1148</v>
      </c>
      <c r="B8" s="89"/>
      <c r="C8" s="114"/>
      <c r="D8" s="92"/>
      <c r="E8" s="113"/>
      <c r="F8" s="92"/>
      <c r="G8" s="113"/>
      <c r="H8" s="114"/>
      <c r="I8" s="114"/>
      <c r="J8" s="114"/>
      <c r="K8" s="114"/>
      <c r="L8" s="102"/>
      <c r="M8" s="214"/>
      <c r="N8" s="214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</row>
    <row r="9" spans="1:28" ht="27.6" x14ac:dyDescent="0.25">
      <c r="A9" s="91" t="s">
        <v>1149</v>
      </c>
      <c r="B9" s="172"/>
      <c r="C9" s="114"/>
      <c r="D9" s="92"/>
      <c r="E9" s="113"/>
      <c r="F9" s="92"/>
      <c r="G9" s="113"/>
      <c r="H9" s="114"/>
      <c r="I9" s="114"/>
      <c r="J9" s="114"/>
      <c r="K9" s="114"/>
      <c r="L9" s="102"/>
      <c r="M9" s="214"/>
      <c r="N9" s="214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</row>
    <row r="10" spans="1:28" x14ac:dyDescent="0.25">
      <c r="A10" s="93" t="s">
        <v>1151</v>
      </c>
      <c r="B10" s="89" t="s">
        <v>1188</v>
      </c>
      <c r="C10" s="159">
        <f>$C$5</f>
        <v>0</v>
      </c>
      <c r="D10" s="85">
        <v>0.2</v>
      </c>
      <c r="E10" s="114">
        <f>($B$9*(1+C10))*D10</f>
        <v>0</v>
      </c>
      <c r="F10" s="85">
        <v>0.15</v>
      </c>
      <c r="G10" s="114">
        <f>(($B$9*(1+C10))+E10)*F10</f>
        <v>0</v>
      </c>
      <c r="H10" s="114">
        <f>(($B$9*(1+C10))+E10+G10)*$H$5</f>
        <v>0</v>
      </c>
      <c r="I10" s="114">
        <f>(($B$9*(1+C10))+E10+G10)*$I$5</f>
        <v>0</v>
      </c>
      <c r="J10" s="114">
        <f>(($B$9*(1+C10))+E10+G10+H10+I10)*$J$5</f>
        <v>0</v>
      </c>
      <c r="K10" s="114">
        <f>$B$9*(1+C10)+E10+G10+H10+I10+J10</f>
        <v>0</v>
      </c>
      <c r="L10" s="102"/>
      <c r="M10" s="214">
        <f>K10/'Исп. коэффициенты'!$F$52</f>
        <v>0</v>
      </c>
      <c r="N10" s="214">
        <f>K10/'Исп. коэффициенты'!$F$53</f>
        <v>0</v>
      </c>
      <c r="O10" s="214">
        <f>K10/'Исп. коэффициенты'!$F$36</f>
        <v>0</v>
      </c>
      <c r="P10" s="86"/>
      <c r="Q10" s="86"/>
      <c r="R10" s="86"/>
      <c r="S10" s="86"/>
      <c r="T10" s="86"/>
      <c r="U10" s="86"/>
      <c r="V10" s="86"/>
      <c r="W10" s="214">
        <f>K10/'Исп. коэффициенты'!$F$28</f>
        <v>0</v>
      </c>
      <c r="X10" s="86"/>
      <c r="Y10" s="86"/>
      <c r="Z10" s="86"/>
      <c r="AA10" s="86"/>
      <c r="AB10" s="86"/>
    </row>
    <row r="11" spans="1:28" x14ac:dyDescent="0.25">
      <c r="A11" s="93" t="s">
        <v>1152</v>
      </c>
      <c r="B11" s="89" t="s">
        <v>1188</v>
      </c>
      <c r="C11" s="159">
        <f>$C$5</f>
        <v>0</v>
      </c>
      <c r="D11" s="85">
        <v>0.15</v>
      </c>
      <c r="E11" s="114">
        <f>($B$9*(1+C11))*D11</f>
        <v>0</v>
      </c>
      <c r="F11" s="85">
        <v>0.15</v>
      </c>
      <c r="G11" s="114">
        <f>(($B$9*(1+C11))+E11)*F11</f>
        <v>0</v>
      </c>
      <c r="H11" s="114">
        <f>(($B$9*(1+C11))+E11+G11)*$H$5</f>
        <v>0</v>
      </c>
      <c r="I11" s="114">
        <f>(($B$9*(1+C11))+E11+G11)*$I$5</f>
        <v>0</v>
      </c>
      <c r="J11" s="114">
        <f>(($B$9*(1+C11))+E11+G11+H11+I11)*$J$5</f>
        <v>0</v>
      </c>
      <c r="K11" s="114">
        <f>$B$9*(1+C11)+E11+G11+H11+I11+J11</f>
        <v>0</v>
      </c>
      <c r="L11" s="102"/>
      <c r="M11" s="214">
        <f>K11/'Исп. коэффициенты'!$F$52</f>
        <v>0</v>
      </c>
      <c r="N11" s="214">
        <f>K11/'Исп. коэффициенты'!$F$53</f>
        <v>0</v>
      </c>
      <c r="O11" s="214">
        <f>K11/'Исп. коэффициенты'!$F$36</f>
        <v>0</v>
      </c>
      <c r="P11" s="86"/>
      <c r="Q11" s="86"/>
      <c r="R11" s="86"/>
      <c r="S11" s="86"/>
      <c r="T11" s="86"/>
      <c r="U11" s="86"/>
      <c r="V11" s="86"/>
      <c r="W11" s="214">
        <f>K11/'Исп. коэффициенты'!$F$28</f>
        <v>0</v>
      </c>
      <c r="X11" s="86"/>
      <c r="Y11" s="86"/>
      <c r="Z11" s="86"/>
      <c r="AA11" s="86"/>
      <c r="AB11" s="86"/>
    </row>
    <row r="12" spans="1:28" x14ac:dyDescent="0.25">
      <c r="A12" s="93" t="s">
        <v>1154</v>
      </c>
      <c r="B12" s="89" t="s">
        <v>1188</v>
      </c>
      <c r="C12" s="159">
        <f>$C$5</f>
        <v>0</v>
      </c>
      <c r="D12" s="85">
        <v>0.1</v>
      </c>
      <c r="E12" s="114">
        <f>($B$9*(1+C12))*D12</f>
        <v>0</v>
      </c>
      <c r="F12" s="85">
        <v>0.15</v>
      </c>
      <c r="G12" s="114">
        <f>(($B$9*(1+C12))+E12)*F12</f>
        <v>0</v>
      </c>
      <c r="H12" s="114">
        <f>(($B$9*(1+C12))+E12+G12)*$H$5</f>
        <v>0</v>
      </c>
      <c r="I12" s="114">
        <f>(($B$9*(1+C12))+E12+G12)*$I$5</f>
        <v>0</v>
      </c>
      <c r="J12" s="114">
        <f>(($B$9*(1+C12))+E12+G12+H12+I12)*$J$5</f>
        <v>0</v>
      </c>
      <c r="K12" s="114">
        <f>$B$9*(1+C12)+E12+G12+H12+I12+J12</f>
        <v>0</v>
      </c>
      <c r="L12" s="102"/>
      <c r="M12" s="214">
        <f>K12/'Исп. коэффициенты'!$F$52</f>
        <v>0</v>
      </c>
      <c r="N12" s="214">
        <f>K12/'Исп. коэффициенты'!$F$53</f>
        <v>0</v>
      </c>
      <c r="O12" s="214">
        <f>K12/'Исп. коэффициенты'!$F$36</f>
        <v>0</v>
      </c>
      <c r="P12" s="86"/>
      <c r="Q12" s="86"/>
      <c r="R12" s="86"/>
      <c r="S12" s="86"/>
      <c r="T12" s="86"/>
      <c r="U12" s="86"/>
      <c r="V12" s="86"/>
      <c r="W12" s="214">
        <f>K12/'Исп. коэффициенты'!$F$28</f>
        <v>0</v>
      </c>
      <c r="X12" s="86"/>
      <c r="Y12" s="86"/>
      <c r="Z12" s="86"/>
      <c r="AA12" s="86"/>
      <c r="AB12" s="86"/>
    </row>
    <row r="13" spans="1:28" ht="30" customHeight="1" x14ac:dyDescent="0.25">
      <c r="A13" s="91" t="s">
        <v>1150</v>
      </c>
      <c r="B13" s="172"/>
      <c r="C13" s="114"/>
      <c r="D13" s="85"/>
      <c r="E13" s="113"/>
      <c r="F13" s="92"/>
      <c r="G13" s="113"/>
      <c r="H13" s="114"/>
      <c r="I13" s="114"/>
      <c r="J13" s="114"/>
      <c r="K13" s="114"/>
      <c r="L13" s="102"/>
      <c r="M13" s="214"/>
      <c r="N13" s="214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</row>
    <row r="14" spans="1:28" x14ac:dyDescent="0.25">
      <c r="A14" s="93" t="s">
        <v>1151</v>
      </c>
      <c r="B14" s="89" t="s">
        <v>1188</v>
      </c>
      <c r="C14" s="159">
        <f>$C$5</f>
        <v>0</v>
      </c>
      <c r="D14" s="85">
        <v>0.2</v>
      </c>
      <c r="E14" s="114">
        <f>($B$13*(1+C14))*D14</f>
        <v>0</v>
      </c>
      <c r="F14" s="85">
        <v>0.15</v>
      </c>
      <c r="G14" s="114">
        <f>(($B$13*(1+C14))+E14)*F14</f>
        <v>0</v>
      </c>
      <c r="H14" s="114">
        <f>(($B$13*(1+C14))+E14+G14)*$H$5</f>
        <v>0</v>
      </c>
      <c r="I14" s="114">
        <f>(($B$13*(1+C14))+E14+G14)*$I$5</f>
        <v>0</v>
      </c>
      <c r="J14" s="114">
        <f>(($B$13*(1+C14))+E14+G14+H14+I14)*$J$5</f>
        <v>0</v>
      </c>
      <c r="K14" s="114">
        <f>$B$13*(1+C14)+E14+G14+H14+I14+J14</f>
        <v>0</v>
      </c>
      <c r="L14" s="102"/>
      <c r="M14" s="214">
        <f>K14/'Исп. коэффициенты'!$F$52</f>
        <v>0</v>
      </c>
      <c r="N14" s="214">
        <f>K14/'Исп. коэффициенты'!$F$53</f>
        <v>0</v>
      </c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</row>
    <row r="15" spans="1:28" x14ac:dyDescent="0.25">
      <c r="A15" s="93" t="s">
        <v>1152</v>
      </c>
      <c r="B15" s="89" t="s">
        <v>1188</v>
      </c>
      <c r="C15" s="159">
        <f>$C$5</f>
        <v>0</v>
      </c>
      <c r="D15" s="85">
        <v>0.15</v>
      </c>
      <c r="E15" s="114">
        <f>($B$13*(1+C15))*D15</f>
        <v>0</v>
      </c>
      <c r="F15" s="85">
        <v>0.15</v>
      </c>
      <c r="G15" s="114">
        <f>(($B$13*(1+C15))+E15)*F15</f>
        <v>0</v>
      </c>
      <c r="H15" s="114">
        <f>(($B$13*(1+C15))+E15+G15)*$H$5</f>
        <v>0</v>
      </c>
      <c r="I15" s="114">
        <f>(($B$13*(1+C15))+E15+G15)*$I$5</f>
        <v>0</v>
      </c>
      <c r="J15" s="114">
        <f>(($B$13*(1+C15))+E15+G15+H15+I15)*$J$5</f>
        <v>0</v>
      </c>
      <c r="K15" s="114">
        <f>$B$13*(1+C15)+E15+G15+H15+I15+J15</f>
        <v>0</v>
      </c>
      <c r="L15" s="102"/>
      <c r="M15" s="214">
        <f>K15/'Исп. коэффициенты'!$F$52</f>
        <v>0</v>
      </c>
      <c r="N15" s="214">
        <f>K15/'Исп. коэффициенты'!$F$53</f>
        <v>0</v>
      </c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</row>
    <row r="16" spans="1:28" ht="31.5" customHeight="1" x14ac:dyDescent="0.25">
      <c r="A16" s="91" t="s">
        <v>1005</v>
      </c>
      <c r="B16" s="89"/>
      <c r="C16" s="114"/>
      <c r="D16" s="92"/>
      <c r="E16" s="113"/>
      <c r="F16" s="92"/>
      <c r="G16" s="113"/>
      <c r="H16" s="114"/>
      <c r="I16" s="114"/>
      <c r="J16" s="114"/>
      <c r="K16" s="114"/>
      <c r="L16" s="102"/>
      <c r="M16" s="214"/>
      <c r="N16" s="214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</row>
    <row r="17" spans="1:28" ht="27.6" x14ac:dyDescent="0.25">
      <c r="A17" s="91" t="s">
        <v>1149</v>
      </c>
      <c r="B17" s="172"/>
      <c r="C17" s="114"/>
      <c r="D17" s="92"/>
      <c r="E17" s="113"/>
      <c r="F17" s="92"/>
      <c r="G17" s="113"/>
      <c r="H17" s="114"/>
      <c r="I17" s="114"/>
      <c r="J17" s="114"/>
      <c r="K17" s="114"/>
      <c r="L17" s="102"/>
      <c r="M17" s="214"/>
      <c r="N17" s="214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</row>
    <row r="18" spans="1:28" x14ac:dyDescent="0.25">
      <c r="A18" s="93" t="s">
        <v>1151</v>
      </c>
      <c r="B18" s="89" t="s">
        <v>1188</v>
      </c>
      <c r="C18" s="159">
        <f>$C$5</f>
        <v>0</v>
      </c>
      <c r="D18" s="85">
        <v>0.2</v>
      </c>
      <c r="E18" s="114">
        <f>($B$17*(1+C18))*D18</f>
        <v>0</v>
      </c>
      <c r="F18" s="85">
        <v>0.3</v>
      </c>
      <c r="G18" s="114">
        <f>(($B$17*(1+C18))+E18)*F18</f>
        <v>0</v>
      </c>
      <c r="H18" s="114">
        <f>(($B$17*(1+C18))+E18+G18)*$H$5</f>
        <v>0</v>
      </c>
      <c r="I18" s="114">
        <f>(($B$17*(1+C18))+E18+G18)*$I$5</f>
        <v>0</v>
      </c>
      <c r="J18" s="114">
        <f>(($B$17*(1+C18))+E18+G18+H18+I18)*$J$5</f>
        <v>0</v>
      </c>
      <c r="K18" s="114">
        <f>$B$17*(1+C18)+E18+G18+H18+I18+J18</f>
        <v>0</v>
      </c>
      <c r="L18" s="102"/>
      <c r="M18" s="214">
        <f>K18/'Исп. коэффициенты'!$F$52</f>
        <v>0</v>
      </c>
      <c r="N18" s="214">
        <f>K18/'Исп. коэффициенты'!$F$53</f>
        <v>0</v>
      </c>
      <c r="O18" s="214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</row>
    <row r="19" spans="1:28" x14ac:dyDescent="0.25">
      <c r="A19" s="93" t="s">
        <v>1152</v>
      </c>
      <c r="B19" s="89" t="s">
        <v>1188</v>
      </c>
      <c r="C19" s="159">
        <f>$C$5</f>
        <v>0</v>
      </c>
      <c r="D19" s="85">
        <v>0.15</v>
      </c>
      <c r="E19" s="114">
        <f>($B$17*(1+C19))*D19</f>
        <v>0</v>
      </c>
      <c r="F19" s="85">
        <v>0.3</v>
      </c>
      <c r="G19" s="114">
        <f>(($B$17*(1+C19))+E19)*F19</f>
        <v>0</v>
      </c>
      <c r="H19" s="114">
        <f>(($B$17*(1+C19))+E19+G19)*$H$5</f>
        <v>0</v>
      </c>
      <c r="I19" s="114">
        <f>(($B$17*(1+C19))+E19+G19)*$I$5</f>
        <v>0</v>
      </c>
      <c r="J19" s="114">
        <f>(($B$17*(1+C19))+E19+G19+H19+I19)*$J$5</f>
        <v>0</v>
      </c>
      <c r="K19" s="114">
        <f>$B$17*(1+C19)+E19+G19+H19+I19+J19</f>
        <v>0</v>
      </c>
      <c r="L19" s="102"/>
      <c r="M19" s="214">
        <f>K19/'Исп. коэффициенты'!$F$52</f>
        <v>0</v>
      </c>
      <c r="N19" s="214">
        <f>K19/'Исп. коэффициенты'!$F$53</f>
        <v>0</v>
      </c>
      <c r="O19" s="214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</row>
    <row r="20" spans="1:28" x14ac:dyDescent="0.25">
      <c r="A20" s="93" t="s">
        <v>1154</v>
      </c>
      <c r="B20" s="89" t="s">
        <v>1188</v>
      </c>
      <c r="C20" s="159">
        <f>$C$5</f>
        <v>0</v>
      </c>
      <c r="D20" s="85">
        <v>0.1</v>
      </c>
      <c r="E20" s="114">
        <f>($B$17*(1+C20))*D20</f>
        <v>0</v>
      </c>
      <c r="F20" s="85">
        <v>0.3</v>
      </c>
      <c r="G20" s="114">
        <f>(($B$17*(1+C20))+E20)*F20</f>
        <v>0</v>
      </c>
      <c r="H20" s="114">
        <f>(($B$17*(1+C20))+E20+G20)*$H$5</f>
        <v>0</v>
      </c>
      <c r="I20" s="114">
        <f>(($B$17*(1+C20))+E20+G20)*$I$5</f>
        <v>0</v>
      </c>
      <c r="J20" s="114">
        <f>(($B$17*(1+C20))+E20+G20+H20+I20)*$J$5</f>
        <v>0</v>
      </c>
      <c r="K20" s="114">
        <f>$B$17*(1+C20)+E20+G20+H20+I20+J20</f>
        <v>0</v>
      </c>
      <c r="L20" s="102"/>
      <c r="M20" s="214">
        <f>K20/'Исп. коэффициенты'!$F$52</f>
        <v>0</v>
      </c>
      <c r="N20" s="214">
        <f>K20/'Исп. коэффициенты'!$F$53</f>
        <v>0</v>
      </c>
      <c r="O20" s="214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</row>
    <row r="21" spans="1:28" ht="30" customHeight="1" x14ac:dyDescent="0.25">
      <c r="A21" s="91" t="s">
        <v>1150</v>
      </c>
      <c r="B21" s="172"/>
      <c r="C21" s="114"/>
      <c r="D21" s="85"/>
      <c r="E21" s="113"/>
      <c r="F21" s="92"/>
      <c r="G21" s="113"/>
      <c r="H21" s="114"/>
      <c r="I21" s="114"/>
      <c r="J21" s="114"/>
      <c r="K21" s="114"/>
      <c r="L21" s="102"/>
      <c r="M21" s="214"/>
      <c r="N21" s="214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</row>
    <row r="22" spans="1:28" ht="15.75" customHeight="1" x14ac:dyDescent="0.25">
      <c r="A22" s="93" t="s">
        <v>1151</v>
      </c>
      <c r="B22" s="89" t="s">
        <v>1188</v>
      </c>
      <c r="C22" s="159">
        <f>$C$5</f>
        <v>0</v>
      </c>
      <c r="D22" s="85">
        <v>0.2</v>
      </c>
      <c r="E22" s="114">
        <f>($B$21*(1+C22))*D22</f>
        <v>0</v>
      </c>
      <c r="F22" s="85">
        <v>0.3</v>
      </c>
      <c r="G22" s="114">
        <f>(($B$21*(1+C22))+E22)*F22</f>
        <v>0</v>
      </c>
      <c r="H22" s="114">
        <f>(($B$21*(1+C22))+E22+G22)*$H$5</f>
        <v>0</v>
      </c>
      <c r="I22" s="114">
        <f>(($B$21*(1+C22))+E22+G22)*$I$5</f>
        <v>0</v>
      </c>
      <c r="J22" s="114">
        <f>(($B$21*(1+C22))+E22+G22+H22+I22)*$J$5</f>
        <v>0</v>
      </c>
      <c r="K22" s="114">
        <f>$B$21*(1+C22)+E22+G22+H22+I22+J22</f>
        <v>0</v>
      </c>
      <c r="L22" s="102"/>
      <c r="M22" s="214">
        <f>K22/'Исп. коэффициенты'!$F$52</f>
        <v>0</v>
      </c>
      <c r="N22" s="214">
        <f>K22/'Исп. коэффициенты'!$F$53</f>
        <v>0</v>
      </c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</row>
    <row r="23" spans="1:28" ht="15.75" customHeight="1" x14ac:dyDescent="0.25">
      <c r="A23" s="93" t="s">
        <v>1152</v>
      </c>
      <c r="B23" s="89" t="s">
        <v>1188</v>
      </c>
      <c r="C23" s="159">
        <f>$C$5</f>
        <v>0</v>
      </c>
      <c r="D23" s="85">
        <v>0.15</v>
      </c>
      <c r="E23" s="114">
        <f>($B$21*(1+C23))*D23</f>
        <v>0</v>
      </c>
      <c r="F23" s="85">
        <v>0.3</v>
      </c>
      <c r="G23" s="114">
        <f>(($B$21*(1+C23))+E23)*F23</f>
        <v>0</v>
      </c>
      <c r="H23" s="114">
        <f>(($B$21*(1+C23))+E23+G23)*$H$5</f>
        <v>0</v>
      </c>
      <c r="I23" s="114">
        <f>(($B$21*(1+C23))+E23+G23)*$I$5</f>
        <v>0</v>
      </c>
      <c r="J23" s="114">
        <f>(($B$21*(1+C23))+E23+G23+H23+I23)*$J$5</f>
        <v>0</v>
      </c>
      <c r="K23" s="114">
        <f>$B$21*(1+C23)+E23+G23+H23+I23+J23</f>
        <v>0</v>
      </c>
      <c r="L23" s="102"/>
      <c r="M23" s="214">
        <f>K23/'Исп. коэффициенты'!$F$52</f>
        <v>0</v>
      </c>
      <c r="N23" s="214">
        <f>K23/'Исп. коэффициенты'!$F$53</f>
        <v>0</v>
      </c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</row>
    <row r="24" spans="1:28" ht="44.25" customHeight="1" x14ac:dyDescent="0.25">
      <c r="A24" s="91" t="s">
        <v>875</v>
      </c>
      <c r="B24" s="89"/>
      <c r="C24" s="114"/>
      <c r="D24" s="92"/>
      <c r="E24" s="113"/>
      <c r="F24" s="92"/>
      <c r="G24" s="113"/>
      <c r="H24" s="114"/>
      <c r="I24" s="114"/>
      <c r="J24" s="114"/>
      <c r="K24" s="114"/>
      <c r="L24" s="102"/>
      <c r="M24" s="214"/>
      <c r="N24" s="214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</row>
    <row r="25" spans="1:28" ht="27.6" x14ac:dyDescent="0.25">
      <c r="A25" s="91" t="s">
        <v>1149</v>
      </c>
      <c r="B25" s="172"/>
      <c r="C25" s="114"/>
      <c r="D25" s="92"/>
      <c r="E25" s="113"/>
      <c r="F25" s="92"/>
      <c r="G25" s="113"/>
      <c r="H25" s="114"/>
      <c r="I25" s="114"/>
      <c r="J25" s="114"/>
      <c r="K25" s="114"/>
      <c r="L25" s="102"/>
      <c r="M25" s="214"/>
      <c r="N25" s="214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</row>
    <row r="26" spans="1:28" x14ac:dyDescent="0.25">
      <c r="A26" s="93" t="s">
        <v>1151</v>
      </c>
      <c r="B26" s="89" t="s">
        <v>1188</v>
      </c>
      <c r="C26" s="159">
        <f>$C$5</f>
        <v>0</v>
      </c>
      <c r="D26" s="85">
        <v>0.2</v>
      </c>
      <c r="E26" s="114">
        <f>($B$25*(1+C26))*D26</f>
        <v>0</v>
      </c>
      <c r="F26" s="85">
        <v>0.3</v>
      </c>
      <c r="G26" s="114">
        <f>(($B$25*(1+C26))+E26)*F26</f>
        <v>0</v>
      </c>
      <c r="H26" s="114">
        <f>(($B$25*(1+C26))+E26+G26)*$H$5</f>
        <v>0</v>
      </c>
      <c r="I26" s="114">
        <f>(($B$25*(1+C26))+E26+G26)*$I$5</f>
        <v>0</v>
      </c>
      <c r="J26" s="114">
        <f>(($B$25*(1+C26))+E26+G26+H26+I26)*$J$5</f>
        <v>0</v>
      </c>
      <c r="K26" s="114">
        <f>$B$25*(1+C26)+E26+G26+H26+I26+J26</f>
        <v>0</v>
      </c>
      <c r="L26" s="102"/>
      <c r="M26" s="214">
        <f>K26/'Исп. коэффициенты'!$F$52</f>
        <v>0</v>
      </c>
      <c r="N26" s="214">
        <f>K26/'Исп. коэффициенты'!$F$53</f>
        <v>0</v>
      </c>
      <c r="O26" s="214"/>
      <c r="P26" s="86"/>
      <c r="Q26" s="86"/>
      <c r="R26" s="86"/>
      <c r="S26" s="86"/>
      <c r="T26" s="86"/>
      <c r="U26" s="86"/>
      <c r="V26" s="86"/>
      <c r="W26" s="86"/>
      <c r="X26" s="86"/>
      <c r="Y26" s="214">
        <f>K26/'Исп. коэффициенты'!$F$31</f>
        <v>0</v>
      </c>
      <c r="Z26" s="86"/>
      <c r="AA26" s="86"/>
      <c r="AB26" s="86"/>
    </row>
    <row r="27" spans="1:28" x14ac:dyDescent="0.25">
      <c r="A27" s="93" t="s">
        <v>1152</v>
      </c>
      <c r="B27" s="89" t="s">
        <v>1188</v>
      </c>
      <c r="C27" s="159">
        <f>$C$5</f>
        <v>0</v>
      </c>
      <c r="D27" s="85">
        <v>0.15</v>
      </c>
      <c r="E27" s="114">
        <f>($B$25*(1+C27))*D27</f>
        <v>0</v>
      </c>
      <c r="F27" s="85">
        <v>0.3</v>
      </c>
      <c r="G27" s="114">
        <f>(($B$25*(1+C27))+E27)*F27</f>
        <v>0</v>
      </c>
      <c r="H27" s="114">
        <f>(($B$25*(1+C27))+E27+G27)*$H$5</f>
        <v>0</v>
      </c>
      <c r="I27" s="114">
        <f>(($B$25*(1+C27))+E27+G27)*$I$5</f>
        <v>0</v>
      </c>
      <c r="J27" s="114">
        <f>(($B$25*(1+C27))+E27+G27+H27+I27)*$J$5</f>
        <v>0</v>
      </c>
      <c r="K27" s="114">
        <f>$B$25*(1+C27)+E27+G27+H27+I27+J27</f>
        <v>0</v>
      </c>
      <c r="L27" s="102"/>
      <c r="M27" s="214">
        <f>K27/'Исп. коэффициенты'!$F$52</f>
        <v>0</v>
      </c>
      <c r="N27" s="214">
        <f>K27/'Исп. коэффициенты'!$F$53</f>
        <v>0</v>
      </c>
      <c r="O27" s="214"/>
      <c r="P27" s="86"/>
      <c r="Q27" s="86"/>
      <c r="R27" s="86"/>
      <c r="S27" s="86"/>
      <c r="T27" s="86"/>
      <c r="U27" s="86"/>
      <c r="V27" s="86"/>
      <c r="W27" s="86"/>
      <c r="X27" s="86"/>
      <c r="Y27" s="214">
        <f>K27/'Исп. коэффициенты'!$F$31</f>
        <v>0</v>
      </c>
      <c r="Z27" s="86"/>
      <c r="AA27" s="86"/>
      <c r="AB27" s="86"/>
    </row>
    <row r="28" spans="1:28" x14ac:dyDescent="0.25">
      <c r="A28" s="93" t="s">
        <v>1154</v>
      </c>
      <c r="B28" s="89" t="s">
        <v>1188</v>
      </c>
      <c r="C28" s="159">
        <f>$C$5</f>
        <v>0</v>
      </c>
      <c r="D28" s="85">
        <v>0.1</v>
      </c>
      <c r="E28" s="114">
        <f>($B$25*(1+C28))*D28</f>
        <v>0</v>
      </c>
      <c r="F28" s="85">
        <v>0.3</v>
      </c>
      <c r="G28" s="114">
        <f>(($B$25*(1+C28))+E28)*F28</f>
        <v>0</v>
      </c>
      <c r="H28" s="114">
        <f>(($B$25*(1+C28))+E28+G28)*$H$5</f>
        <v>0</v>
      </c>
      <c r="I28" s="114">
        <f>(($B$25*(1+C28))+E28+G28)*$I$5</f>
        <v>0</v>
      </c>
      <c r="J28" s="114">
        <f>(($B$25*(1+C28))+E28+G28+H28+I28)*$J$5</f>
        <v>0</v>
      </c>
      <c r="K28" s="114">
        <f>$B$25*(1+C28)+E28+G28+H28+I28+J28</f>
        <v>0</v>
      </c>
      <c r="L28" s="102"/>
      <c r="M28" s="214">
        <f>K28/'Исп. коэффициенты'!$F$52</f>
        <v>0</v>
      </c>
      <c r="N28" s="214">
        <f>K28/'Исп. коэффициенты'!$F$53</f>
        <v>0</v>
      </c>
      <c r="O28" s="214"/>
      <c r="P28" s="86"/>
      <c r="Q28" s="86"/>
      <c r="R28" s="86"/>
      <c r="S28" s="86"/>
      <c r="T28" s="86"/>
      <c r="U28" s="86"/>
      <c r="V28" s="86"/>
      <c r="W28" s="86"/>
      <c r="X28" s="86"/>
      <c r="Y28" s="214">
        <f>K28/'Исп. коэффициенты'!$F$31</f>
        <v>0</v>
      </c>
      <c r="Z28" s="86"/>
      <c r="AA28" s="86"/>
      <c r="AB28" s="86"/>
    </row>
    <row r="29" spans="1:28" ht="18.75" customHeight="1" x14ac:dyDescent="0.25">
      <c r="A29" s="163" t="s">
        <v>874</v>
      </c>
      <c r="B29" s="89"/>
      <c r="C29" s="114"/>
      <c r="D29" s="85"/>
      <c r="E29" s="113"/>
      <c r="F29" s="92"/>
      <c r="G29" s="113"/>
      <c r="H29" s="114"/>
      <c r="I29" s="114"/>
      <c r="J29" s="114"/>
      <c r="K29" s="114"/>
      <c r="L29" s="102"/>
      <c r="M29" s="214"/>
      <c r="N29" s="214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</row>
    <row r="30" spans="1:28" ht="27.6" x14ac:dyDescent="0.25">
      <c r="A30" s="163" t="s">
        <v>834</v>
      </c>
      <c r="B30" s="172"/>
      <c r="C30" s="114"/>
      <c r="D30" s="92"/>
      <c r="E30" s="113"/>
      <c r="F30" s="92"/>
      <c r="G30" s="113"/>
      <c r="H30" s="114"/>
      <c r="I30" s="114"/>
      <c r="J30" s="114"/>
      <c r="K30" s="114"/>
      <c r="L30" s="102"/>
      <c r="M30" s="214"/>
      <c r="N30" s="214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</row>
    <row r="31" spans="1:28" x14ac:dyDescent="0.25">
      <c r="A31" s="93" t="s">
        <v>1151</v>
      </c>
      <c r="B31" s="89" t="s">
        <v>1188</v>
      </c>
      <c r="C31" s="159">
        <f>$C$5</f>
        <v>0</v>
      </c>
      <c r="D31" s="85">
        <v>0.2</v>
      </c>
      <c r="E31" s="114">
        <f>($B$30*(1+C31))*D31</f>
        <v>0</v>
      </c>
      <c r="F31" s="85">
        <v>0.15</v>
      </c>
      <c r="G31" s="114">
        <f>(($B$30*(1+C31))+E31)*F31</f>
        <v>0</v>
      </c>
      <c r="H31" s="114">
        <f>(($B$30*(1+C31))+E31+G31)*$H$5</f>
        <v>0</v>
      </c>
      <c r="I31" s="114">
        <f>(($B$30*(1+C31))+E31+G31)*$I$5</f>
        <v>0</v>
      </c>
      <c r="J31" s="114">
        <f>(($B$30*(1+C31))+E31+G31+H31+I31)*$J$5</f>
        <v>0</v>
      </c>
      <c r="K31" s="114">
        <f>$B$30*(1+C31)+E31+G31+H31+I31+J31</f>
        <v>0</v>
      </c>
      <c r="L31" s="102"/>
      <c r="M31" s="214">
        <f>K31/'Исп. коэффициенты'!$F$52</f>
        <v>0</v>
      </c>
      <c r="N31" s="214">
        <f>K31/'Исп. коэффициенты'!$F$53</f>
        <v>0</v>
      </c>
      <c r="O31" s="86"/>
      <c r="P31" s="86"/>
      <c r="Q31" s="86"/>
      <c r="R31" s="86"/>
      <c r="S31" s="214">
        <f>K31/'Исп. коэффициенты'!$F$36</f>
        <v>0</v>
      </c>
      <c r="T31" s="214"/>
      <c r="U31" s="214">
        <f>K31/'Исп. коэффициенты'!$F$36</f>
        <v>0</v>
      </c>
      <c r="V31" s="86"/>
      <c r="W31" s="86"/>
      <c r="X31" s="86"/>
      <c r="Y31" s="86"/>
      <c r="Z31" s="86"/>
      <c r="AA31" s="86"/>
      <c r="AB31" s="86"/>
    </row>
    <row r="32" spans="1:28" x14ac:dyDescent="0.25">
      <c r="A32" s="93" t="s">
        <v>1152</v>
      </c>
      <c r="B32" s="89" t="s">
        <v>1188</v>
      </c>
      <c r="C32" s="159">
        <f>$C$5</f>
        <v>0</v>
      </c>
      <c r="D32" s="85">
        <v>0.15</v>
      </c>
      <c r="E32" s="114">
        <f>($B$30*(1+C32))*D32</f>
        <v>0</v>
      </c>
      <c r="F32" s="85">
        <v>0.15</v>
      </c>
      <c r="G32" s="114">
        <f>(($B$30*(1+C32))+E32)*F32</f>
        <v>0</v>
      </c>
      <c r="H32" s="114">
        <f>(($B$30*(1+C32))+E32+G32)*$H$5</f>
        <v>0</v>
      </c>
      <c r="I32" s="114">
        <f>(($B$30*(1+C32))+E32+G32)*$I$5</f>
        <v>0</v>
      </c>
      <c r="J32" s="114">
        <f>(($B$30*(1+C32))+E32+G32+H32+I32)*$J$5</f>
        <v>0</v>
      </c>
      <c r="K32" s="114">
        <f>$B$30*(1+C32)+E32+G32+H32+I32+J32</f>
        <v>0</v>
      </c>
      <c r="L32" s="102"/>
      <c r="M32" s="214">
        <f>K32/'Исп. коэффициенты'!$F$52</f>
        <v>0</v>
      </c>
      <c r="N32" s="214">
        <f>K32/'Исп. коэффициенты'!$F$53</f>
        <v>0</v>
      </c>
      <c r="O32" s="86"/>
      <c r="P32" s="86"/>
      <c r="Q32" s="86"/>
      <c r="R32" s="86"/>
      <c r="S32" s="214">
        <f>K32/'Исп. коэффициенты'!$F$36</f>
        <v>0</v>
      </c>
      <c r="T32" s="214"/>
      <c r="U32" s="214">
        <f>K32/'Исп. коэффициенты'!$F$36</f>
        <v>0</v>
      </c>
      <c r="V32" s="86"/>
      <c r="W32" s="86"/>
      <c r="X32" s="86"/>
      <c r="Y32" s="86"/>
      <c r="Z32" s="86"/>
      <c r="AA32" s="86"/>
      <c r="AB32" s="86"/>
    </row>
    <row r="33" spans="1:28" x14ac:dyDescent="0.25">
      <c r="A33" s="93" t="s">
        <v>1154</v>
      </c>
      <c r="B33" s="89" t="s">
        <v>1188</v>
      </c>
      <c r="C33" s="159">
        <f>$C$5</f>
        <v>0</v>
      </c>
      <c r="D33" s="85">
        <v>0.1</v>
      </c>
      <c r="E33" s="114">
        <f>($B$30*(1+C33))*D33</f>
        <v>0</v>
      </c>
      <c r="F33" s="85">
        <v>0.15</v>
      </c>
      <c r="G33" s="114">
        <f>(($B$30*(1+C33))+E33)*F33</f>
        <v>0</v>
      </c>
      <c r="H33" s="114">
        <f>(($B$30*(1+C33))+E33+G33)*$H$5</f>
        <v>0</v>
      </c>
      <c r="I33" s="114">
        <f>(($B$30*(1+C33))+E33+G33)*$I$5</f>
        <v>0</v>
      </c>
      <c r="J33" s="114">
        <f>(($B$30*(1+C33))+E33+G33+H33+I33)*$J$5</f>
        <v>0</v>
      </c>
      <c r="K33" s="114">
        <f>$B$30*(1+C33)+E33+G33+H33+I33+J33</f>
        <v>0</v>
      </c>
      <c r="L33" s="102"/>
      <c r="M33" s="214">
        <f>K33/'Исп. коэффициенты'!$F$52</f>
        <v>0</v>
      </c>
      <c r="N33" s="214">
        <f>K33/'Исп. коэффициенты'!$F$53</f>
        <v>0</v>
      </c>
      <c r="O33" s="86"/>
      <c r="P33" s="86"/>
      <c r="Q33" s="86"/>
      <c r="R33" s="86"/>
      <c r="S33" s="214">
        <f>K33/'Исп. коэффициенты'!$F$36</f>
        <v>0</v>
      </c>
      <c r="T33" s="214"/>
      <c r="U33" s="214">
        <f>K33/'Исп. коэффициенты'!$F$36</f>
        <v>0</v>
      </c>
      <c r="V33" s="86"/>
      <c r="W33" s="86"/>
      <c r="X33" s="86"/>
      <c r="Y33" s="86"/>
      <c r="Z33" s="86"/>
      <c r="AA33" s="86"/>
      <c r="AB33" s="86"/>
    </row>
    <row r="34" spans="1:28" ht="27.6" x14ac:dyDescent="0.25">
      <c r="A34" s="163" t="s">
        <v>1150</v>
      </c>
      <c r="B34" s="172"/>
      <c r="C34" s="114"/>
      <c r="D34" s="85"/>
      <c r="E34" s="113"/>
      <c r="F34" s="92"/>
      <c r="G34" s="113"/>
      <c r="H34" s="114"/>
      <c r="I34" s="114"/>
      <c r="J34" s="114"/>
      <c r="K34" s="114"/>
      <c r="L34" s="102"/>
      <c r="M34" s="214"/>
      <c r="N34" s="214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</row>
    <row r="35" spans="1:28" x14ac:dyDescent="0.25">
      <c r="A35" s="93" t="s">
        <v>1151</v>
      </c>
      <c r="B35" s="89" t="s">
        <v>1188</v>
      </c>
      <c r="C35" s="159">
        <f>$C$5</f>
        <v>0</v>
      </c>
      <c r="D35" s="85">
        <v>0.2</v>
      </c>
      <c r="E35" s="114">
        <f>($B$34*(1+C35))*D35</f>
        <v>0</v>
      </c>
      <c r="F35" s="85">
        <v>0.15</v>
      </c>
      <c r="G35" s="114">
        <f>(($B$34*(1+C35))+E35)*F35</f>
        <v>0</v>
      </c>
      <c r="H35" s="114">
        <f>(($B$34*(1+C35))+E35+G35)*$H$5</f>
        <v>0</v>
      </c>
      <c r="I35" s="114">
        <f>(($B$34*(1+C35))+E35+G35)*$I$5</f>
        <v>0</v>
      </c>
      <c r="J35" s="114">
        <f>(($B$34*(1+C35))+E35+G35+H35+I35)*$J$5</f>
        <v>0</v>
      </c>
      <c r="K35" s="114">
        <f>$B$34*(1+C35)+E35+G35+H35+I35+J35</f>
        <v>0</v>
      </c>
      <c r="L35" s="102"/>
      <c r="M35" s="214">
        <f>K35/'Исп. коэффициенты'!$F$52</f>
        <v>0</v>
      </c>
      <c r="N35" s="214">
        <f>K35/'Исп. коэффициенты'!$F$53</f>
        <v>0</v>
      </c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</row>
    <row r="36" spans="1:28" x14ac:dyDescent="0.25">
      <c r="A36" s="93" t="s">
        <v>1152</v>
      </c>
      <c r="B36" s="89" t="s">
        <v>1188</v>
      </c>
      <c r="C36" s="159">
        <f>$C$5</f>
        <v>0</v>
      </c>
      <c r="D36" s="85">
        <v>0.15</v>
      </c>
      <c r="E36" s="114">
        <f>($B$34*(1+C36))*D36</f>
        <v>0</v>
      </c>
      <c r="F36" s="85">
        <v>0.15</v>
      </c>
      <c r="G36" s="114">
        <f>(($B$34*(1+C36))+E36)*F36</f>
        <v>0</v>
      </c>
      <c r="H36" s="114">
        <f>(($B$34*(1+C36))+E36+G36)*$H$5</f>
        <v>0</v>
      </c>
      <c r="I36" s="114">
        <f>(($B$34*(1+C36))+E36+G36)*$I$5</f>
        <v>0</v>
      </c>
      <c r="J36" s="114">
        <f>(($B$34*(1+C36))+E36+G36+H36+I36)*$J$5</f>
        <v>0</v>
      </c>
      <c r="K36" s="114">
        <f>$B$34*(1+C36)+E36+G36+H36+I36+J36</f>
        <v>0</v>
      </c>
      <c r="L36" s="102"/>
      <c r="M36" s="214">
        <f>K36/'Исп. коэффициенты'!$F$52</f>
        <v>0</v>
      </c>
      <c r="N36" s="214">
        <f>K36/'Исп. коэффициенты'!$F$53</f>
        <v>0</v>
      </c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</row>
    <row r="37" spans="1:28" ht="31.5" customHeight="1" x14ac:dyDescent="0.25">
      <c r="A37" s="163" t="s">
        <v>1007</v>
      </c>
      <c r="B37" s="89"/>
      <c r="C37" s="114"/>
      <c r="D37" s="85"/>
      <c r="E37" s="113"/>
      <c r="F37" s="92"/>
      <c r="G37" s="113"/>
      <c r="H37" s="114"/>
      <c r="I37" s="114"/>
      <c r="J37" s="114"/>
      <c r="K37" s="114"/>
      <c r="L37" s="102"/>
      <c r="M37" s="214"/>
      <c r="N37" s="214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</row>
    <row r="38" spans="1:28" ht="27.6" x14ac:dyDescent="0.25">
      <c r="A38" s="163" t="s">
        <v>834</v>
      </c>
      <c r="B38" s="172"/>
      <c r="C38" s="114"/>
      <c r="D38" s="92"/>
      <c r="E38" s="113"/>
      <c r="F38" s="92"/>
      <c r="G38" s="113"/>
      <c r="H38" s="114"/>
      <c r="I38" s="114"/>
      <c r="J38" s="114"/>
      <c r="K38" s="114"/>
      <c r="L38" s="102"/>
      <c r="M38" s="214"/>
      <c r="N38" s="214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</row>
    <row r="39" spans="1:28" x14ac:dyDescent="0.25">
      <c r="A39" s="93" t="s">
        <v>1151</v>
      </c>
      <c r="B39" s="89" t="s">
        <v>1188</v>
      </c>
      <c r="C39" s="159">
        <f>$C$5</f>
        <v>0</v>
      </c>
      <c r="D39" s="85">
        <v>0.2</v>
      </c>
      <c r="E39" s="114">
        <f>($B$38*(1+C39))*D39</f>
        <v>0</v>
      </c>
      <c r="F39" s="85">
        <v>0.25</v>
      </c>
      <c r="G39" s="114">
        <f>(($B$38*(1+C39))+E39)*F39</f>
        <v>0</v>
      </c>
      <c r="H39" s="114">
        <f>(($B$38*(1+C39))+E39+G39)*$H$5</f>
        <v>0</v>
      </c>
      <c r="I39" s="114">
        <f>(($B$38*(1+C39))+E39+G39)*$I$5</f>
        <v>0</v>
      </c>
      <c r="J39" s="114">
        <f>(($B$38*(1+C39))+E39+G39+H39+I39)*$J$5</f>
        <v>0</v>
      </c>
      <c r="K39" s="114">
        <f>$B$38*(1+C39)+E39+G39+H39+I39+J39</f>
        <v>0</v>
      </c>
      <c r="L39" s="102"/>
      <c r="M39" s="214">
        <f>K39/'Исп. коэффициенты'!$F$52</f>
        <v>0</v>
      </c>
      <c r="N39" s="214">
        <f>K39/'Исп. коэффициенты'!$F$53</f>
        <v>0</v>
      </c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214">
        <f>K39/'Исп. коэффициенты'!$F$31</f>
        <v>0</v>
      </c>
      <c r="AA39" s="86"/>
      <c r="AB39" s="86"/>
    </row>
    <row r="40" spans="1:28" x14ac:dyDescent="0.25">
      <c r="A40" s="93" t="s">
        <v>1152</v>
      </c>
      <c r="B40" s="89" t="s">
        <v>1188</v>
      </c>
      <c r="C40" s="159">
        <f>$C$5</f>
        <v>0</v>
      </c>
      <c r="D40" s="85">
        <v>0.15</v>
      </c>
      <c r="E40" s="114">
        <f>($B$38*(1+C40))*D40</f>
        <v>0</v>
      </c>
      <c r="F40" s="85">
        <v>0.25</v>
      </c>
      <c r="G40" s="114">
        <f>(($B$38*(1+C40))+E40)*F40</f>
        <v>0</v>
      </c>
      <c r="H40" s="114">
        <f>(($B$38*(1+C40))+E40+G40)*$H$5</f>
        <v>0</v>
      </c>
      <c r="I40" s="114">
        <f>(($B$38*(1+C40))+E40+G40)*$I$5</f>
        <v>0</v>
      </c>
      <c r="J40" s="114">
        <f>(($B$38*(1+C40))+E40+G40+H40+I40)*$J$5</f>
        <v>0</v>
      </c>
      <c r="K40" s="114">
        <f>$B$38*(1+C40)+E40+G40+H40+I40+J40</f>
        <v>0</v>
      </c>
      <c r="L40" s="102"/>
      <c r="M40" s="214">
        <f>K40/'Исп. коэффициенты'!$F$52</f>
        <v>0</v>
      </c>
      <c r="N40" s="214">
        <f>K40/'Исп. коэффициенты'!$F$53</f>
        <v>0</v>
      </c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214">
        <f>K40/'Исп. коэффициенты'!$F$31</f>
        <v>0</v>
      </c>
      <c r="AA40" s="86"/>
      <c r="AB40" s="86"/>
    </row>
    <row r="41" spans="1:28" x14ac:dyDescent="0.25">
      <c r="A41" s="93" t="s">
        <v>1154</v>
      </c>
      <c r="B41" s="89" t="s">
        <v>1188</v>
      </c>
      <c r="C41" s="159">
        <f>$C$5</f>
        <v>0</v>
      </c>
      <c r="D41" s="85">
        <v>0.1</v>
      </c>
      <c r="E41" s="114">
        <f>($B$38*(1+C41))*D41</f>
        <v>0</v>
      </c>
      <c r="F41" s="85">
        <v>0.25</v>
      </c>
      <c r="G41" s="114">
        <f>(($B$38*(1+C41))+E41)*F41</f>
        <v>0</v>
      </c>
      <c r="H41" s="114">
        <f>(($B$38*(1+C41))+E41+G41)*$H$5</f>
        <v>0</v>
      </c>
      <c r="I41" s="114">
        <f>(($B$38*(1+C41))+E41+G41)*$I$5</f>
        <v>0</v>
      </c>
      <c r="J41" s="114">
        <f>(($B$38*(1+C41))+E41+G41+H41+I41)*$J$5</f>
        <v>0</v>
      </c>
      <c r="K41" s="114">
        <f>$B$38*(1+C41)+E41+G41+H41+I41+J41</f>
        <v>0</v>
      </c>
      <c r="L41" s="102"/>
      <c r="M41" s="214">
        <f>K41/'Исп. коэффициенты'!$F$52</f>
        <v>0</v>
      </c>
      <c r="N41" s="214">
        <f>K41/'Исп. коэффициенты'!$F$53</f>
        <v>0</v>
      </c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214">
        <f>K41/'Исп. коэффициенты'!$F$31</f>
        <v>0</v>
      </c>
      <c r="AA41" s="86"/>
      <c r="AB41" s="86"/>
    </row>
    <row r="42" spans="1:28" x14ac:dyDescent="0.25">
      <c r="A42" s="93"/>
      <c r="B42" s="89"/>
      <c r="C42" s="159"/>
      <c r="D42" s="85"/>
      <c r="E42" s="114"/>
      <c r="F42" s="85"/>
      <c r="G42" s="114"/>
      <c r="H42" s="114"/>
      <c r="I42" s="114"/>
      <c r="J42" s="114"/>
      <c r="K42" s="114"/>
      <c r="L42" s="102"/>
      <c r="M42" s="214"/>
      <c r="N42" s="214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214"/>
      <c r="AA42" s="86"/>
      <c r="AB42" s="86"/>
    </row>
    <row r="43" spans="1:28" ht="45" customHeight="1" x14ac:dyDescent="0.25">
      <c r="A43" s="163" t="s">
        <v>1147</v>
      </c>
      <c r="B43" s="89"/>
      <c r="C43" s="114"/>
      <c r="D43" s="85"/>
      <c r="E43" s="113"/>
      <c r="F43" s="92"/>
      <c r="G43" s="113"/>
      <c r="H43" s="114"/>
      <c r="I43" s="114"/>
      <c r="J43" s="114"/>
      <c r="K43" s="114"/>
      <c r="L43" s="102"/>
      <c r="M43" s="214"/>
      <c r="N43" s="214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</row>
    <row r="44" spans="1:28" ht="30.75" customHeight="1" x14ac:dyDescent="0.25">
      <c r="A44" s="163" t="s">
        <v>834</v>
      </c>
      <c r="B44" s="172"/>
      <c r="C44" s="114"/>
      <c r="D44" s="92"/>
      <c r="E44" s="113"/>
      <c r="F44" s="92"/>
      <c r="G44" s="113"/>
      <c r="H44" s="114"/>
      <c r="I44" s="114"/>
      <c r="J44" s="114"/>
      <c r="K44" s="114"/>
      <c r="L44" s="102"/>
      <c r="M44" s="214"/>
      <c r="N44" s="214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</row>
    <row r="45" spans="1:28" x14ac:dyDescent="0.25">
      <c r="A45" s="93" t="s">
        <v>1151</v>
      </c>
      <c r="B45" s="89" t="s">
        <v>1188</v>
      </c>
      <c r="C45" s="159">
        <f>$C$5</f>
        <v>0</v>
      </c>
      <c r="D45" s="85">
        <v>0.2</v>
      </c>
      <c r="E45" s="114">
        <f>($B$44*(1+C45))*D45</f>
        <v>0</v>
      </c>
      <c r="F45" s="85"/>
      <c r="G45" s="114">
        <f>(($B$44*(1+C45))+E45)*F45</f>
        <v>0</v>
      </c>
      <c r="H45" s="114">
        <f>(($B$44*(1+C45))+E45+G45)*$H$5</f>
        <v>0</v>
      </c>
      <c r="I45" s="114">
        <f>(($B$44*(1+C45))+E45+G45)*$I$5</f>
        <v>0</v>
      </c>
      <c r="J45" s="114">
        <f>(($B$44*(1+C45))+E45+G45+H45+I45)*$J$5</f>
        <v>0</v>
      </c>
      <c r="K45" s="114">
        <f>$B$44*(1+C45)+E45+G45+H45+I45+J45</f>
        <v>0</v>
      </c>
      <c r="L45" s="102"/>
      <c r="M45" s="214">
        <f>K45/'Исп. коэффициенты'!$F$52</f>
        <v>0</v>
      </c>
      <c r="N45" s="214">
        <f>K45/'Исп. коэффициенты'!$F$53</f>
        <v>0</v>
      </c>
      <c r="O45" s="86"/>
      <c r="P45" s="214">
        <f>K45/'Исп. коэффициенты'!$F$36</f>
        <v>0</v>
      </c>
      <c r="Q45" s="86"/>
      <c r="R45" s="86"/>
      <c r="S45" s="86"/>
      <c r="T45" s="214">
        <f>K45/'Исп. коэффициенты'!$F$36</f>
        <v>0</v>
      </c>
      <c r="U45" s="86"/>
      <c r="V45" s="86"/>
      <c r="W45" s="214">
        <f>K45/'Исп. коэффициенты'!$F$28</f>
        <v>0</v>
      </c>
      <c r="X45" s="86"/>
      <c r="Y45" s="86"/>
      <c r="Z45" s="86"/>
      <c r="AA45" s="86"/>
      <c r="AB45" s="86"/>
    </row>
    <row r="46" spans="1:28" x14ac:dyDescent="0.25">
      <c r="A46" s="93" t="s">
        <v>1152</v>
      </c>
      <c r="B46" s="89" t="s">
        <v>1188</v>
      </c>
      <c r="C46" s="159">
        <f>$C$5</f>
        <v>0</v>
      </c>
      <c r="D46" s="85">
        <v>0.15</v>
      </c>
      <c r="E46" s="114">
        <f>($B$44*(1+C46))*D46</f>
        <v>0</v>
      </c>
      <c r="F46" s="85"/>
      <c r="G46" s="114">
        <f>(($B$44*(1+C46))+E46)*F46</f>
        <v>0</v>
      </c>
      <c r="H46" s="114">
        <f>(($B$44*(1+C46))+E46+G46)*$H$5</f>
        <v>0</v>
      </c>
      <c r="I46" s="114">
        <f>(($B$44*(1+C46))+E46+G46)*$I$5</f>
        <v>0</v>
      </c>
      <c r="J46" s="114">
        <f>(($B$44*(1+C46))+E46+G46+H46+I46)*$J$5</f>
        <v>0</v>
      </c>
      <c r="K46" s="114">
        <f>$B$44*(1+C46)+E46+G46+H46+I46+J46</f>
        <v>0</v>
      </c>
      <c r="L46" s="102"/>
      <c r="M46" s="214">
        <f>K46/'Исп. коэффициенты'!$F$52</f>
        <v>0</v>
      </c>
      <c r="N46" s="214">
        <f>K46/'Исп. коэффициенты'!$F$53</f>
        <v>0</v>
      </c>
      <c r="O46" s="86"/>
      <c r="P46" s="214">
        <f>K46/'Исп. коэффициенты'!$F$36</f>
        <v>0</v>
      </c>
      <c r="Q46" s="86"/>
      <c r="R46" s="86"/>
      <c r="S46" s="86"/>
      <c r="T46" s="214">
        <f>K46/'Исп. коэффициенты'!$F$36</f>
        <v>0</v>
      </c>
      <c r="U46" s="86"/>
      <c r="V46" s="86"/>
      <c r="W46" s="214">
        <f>K46/'Исп. коэффициенты'!$F$28</f>
        <v>0</v>
      </c>
      <c r="X46" s="86"/>
      <c r="Y46" s="86"/>
      <c r="Z46" s="86"/>
      <c r="AA46" s="86"/>
      <c r="AB46" s="86"/>
    </row>
    <row r="47" spans="1:28" x14ac:dyDescent="0.25">
      <c r="A47" s="93" t="s">
        <v>1154</v>
      </c>
      <c r="B47" s="89" t="s">
        <v>1188</v>
      </c>
      <c r="C47" s="159">
        <f>$C$5</f>
        <v>0</v>
      </c>
      <c r="D47" s="85">
        <v>0.1</v>
      </c>
      <c r="E47" s="114">
        <f>($B$44*(1+C47))*D47</f>
        <v>0</v>
      </c>
      <c r="F47" s="85"/>
      <c r="G47" s="114">
        <f>(($B$44*(1+C47))+E47)*F47</f>
        <v>0</v>
      </c>
      <c r="H47" s="114">
        <f>(($B$44*(1+C47))+E47+G47)*$H$5</f>
        <v>0</v>
      </c>
      <c r="I47" s="114">
        <f>(($B$44*(1+C47))+E47+G47)*$I$5</f>
        <v>0</v>
      </c>
      <c r="J47" s="114">
        <f>(($B$44*(1+C47))+E47+G47+H47+I47)*$J$5</f>
        <v>0</v>
      </c>
      <c r="K47" s="114">
        <f>$B$44*(1+C47)+E47+G47+H47+I47+J47</f>
        <v>0</v>
      </c>
      <c r="L47" s="102"/>
      <c r="M47" s="214">
        <f>K47/'Исп. коэффициенты'!$F$52</f>
        <v>0</v>
      </c>
      <c r="N47" s="214">
        <f>K47/'Исп. коэффициенты'!$F$53</f>
        <v>0</v>
      </c>
      <c r="O47" s="86"/>
      <c r="P47" s="214">
        <f>K47/'Исп. коэффициенты'!$F$36</f>
        <v>0</v>
      </c>
      <c r="Q47" s="86"/>
      <c r="R47" s="86"/>
      <c r="S47" s="86"/>
      <c r="T47" s="214">
        <f>K47/'Исп. коэффициенты'!$F$36</f>
        <v>0</v>
      </c>
      <c r="U47" s="86"/>
      <c r="V47" s="86"/>
      <c r="W47" s="214">
        <f>K47/'Исп. коэффициенты'!$F$28</f>
        <v>0</v>
      </c>
      <c r="X47" s="86"/>
      <c r="Y47" s="86"/>
      <c r="Z47" s="86"/>
      <c r="AA47" s="86"/>
      <c r="AB47" s="86"/>
    </row>
    <row r="48" spans="1:28" ht="30.75" customHeight="1" x14ac:dyDescent="0.25">
      <c r="A48" s="163" t="s">
        <v>1150</v>
      </c>
      <c r="B48" s="172"/>
      <c r="C48" s="114"/>
      <c r="D48" s="85"/>
      <c r="E48" s="113"/>
      <c r="F48" s="92"/>
      <c r="G48" s="113"/>
      <c r="H48" s="114"/>
      <c r="I48" s="114"/>
      <c r="J48" s="114"/>
      <c r="K48" s="114"/>
      <c r="L48" s="102"/>
      <c r="M48" s="214"/>
      <c r="N48" s="214"/>
      <c r="O48" s="86"/>
      <c r="P48" s="86"/>
      <c r="Q48" s="86"/>
      <c r="R48" s="86"/>
      <c r="S48" s="86"/>
      <c r="T48" s="86"/>
      <c r="U48" s="86"/>
      <c r="V48" s="86"/>
      <c r="W48" s="214"/>
      <c r="X48" s="86"/>
      <c r="Y48" s="86"/>
      <c r="Z48" s="86"/>
      <c r="AA48" s="86"/>
      <c r="AB48" s="86"/>
    </row>
    <row r="49" spans="1:28" x14ac:dyDescent="0.25">
      <c r="A49" s="93" t="s">
        <v>1151</v>
      </c>
      <c r="B49" s="89" t="s">
        <v>1188</v>
      </c>
      <c r="C49" s="159">
        <f>$C$5</f>
        <v>0</v>
      </c>
      <c r="D49" s="85">
        <v>0.2</v>
      </c>
      <c r="E49" s="114">
        <f>($B$48*(1+C49))*D49</f>
        <v>0</v>
      </c>
      <c r="F49" s="85"/>
      <c r="G49" s="114">
        <f>(($B$48*(1+C49))+E49)*F49</f>
        <v>0</v>
      </c>
      <c r="H49" s="114">
        <f>(($B$48*(1+C49))+E49+G49)*$H$5</f>
        <v>0</v>
      </c>
      <c r="I49" s="114">
        <f>(($B$48*(1+C49))+E49+G49)*$I$5</f>
        <v>0</v>
      </c>
      <c r="J49" s="114">
        <f>(($B$48*(1+C49))+E49+G49+H49+I49)*$J$5</f>
        <v>0</v>
      </c>
      <c r="K49" s="114">
        <f>$B$48*(1+C49)+E49+G49+H49+I49+J49</f>
        <v>0</v>
      </c>
      <c r="L49" s="102"/>
      <c r="M49" s="214">
        <f>K49/'Исп. коэффициенты'!$F$52</f>
        <v>0</v>
      </c>
      <c r="N49" s="214">
        <f>K49/'Исп. коэффициенты'!$F$53</f>
        <v>0</v>
      </c>
      <c r="O49" s="86"/>
      <c r="P49" s="86"/>
      <c r="Q49" s="86"/>
      <c r="R49" s="86"/>
      <c r="S49" s="86"/>
      <c r="T49" s="86"/>
      <c r="U49" s="86"/>
      <c r="V49" s="86"/>
      <c r="W49" s="214">
        <f>K49/'Исп. коэффициенты'!$F$28</f>
        <v>0</v>
      </c>
      <c r="X49" s="86"/>
      <c r="Y49" s="86"/>
      <c r="Z49" s="86"/>
      <c r="AA49" s="86"/>
      <c r="AB49" s="86"/>
    </row>
    <row r="50" spans="1:28" x14ac:dyDescent="0.25">
      <c r="A50" s="93" t="s">
        <v>1152</v>
      </c>
      <c r="B50" s="89" t="s">
        <v>1188</v>
      </c>
      <c r="C50" s="159">
        <f>$C$5</f>
        <v>0</v>
      </c>
      <c r="D50" s="85">
        <v>0.15</v>
      </c>
      <c r="E50" s="114">
        <f>($B$48*(1+C50))*D50</f>
        <v>0</v>
      </c>
      <c r="F50" s="85"/>
      <c r="G50" s="114">
        <f>(($B$48*(1+C50))+E50)*F50</f>
        <v>0</v>
      </c>
      <c r="H50" s="114">
        <f>(($B$48*(1+C50))+E50+G50)*$H$5</f>
        <v>0</v>
      </c>
      <c r="I50" s="114">
        <f>(($B$48*(1+C50))+E50+G50)*$I$5</f>
        <v>0</v>
      </c>
      <c r="J50" s="114">
        <f>(($B$48*(1+C50))+E50+G50+H50+I50)*$J$5</f>
        <v>0</v>
      </c>
      <c r="K50" s="114">
        <f>$B$48*(1+C50)+E50+G50+H50+I50+J50</f>
        <v>0</v>
      </c>
      <c r="L50" s="102"/>
      <c r="M50" s="214">
        <f>K50/'Исп. коэффициенты'!$F$52</f>
        <v>0</v>
      </c>
      <c r="N50" s="214">
        <f>K50/'Исп. коэффициенты'!$F$53</f>
        <v>0</v>
      </c>
      <c r="O50" s="86"/>
      <c r="P50" s="86"/>
      <c r="Q50" s="86"/>
      <c r="R50" s="86"/>
      <c r="S50" s="86"/>
      <c r="T50" s="86"/>
      <c r="U50" s="86"/>
      <c r="V50" s="86"/>
      <c r="W50" s="214">
        <f>K50/'Исп. коэффициенты'!$F$28</f>
        <v>0</v>
      </c>
      <c r="X50" s="86"/>
      <c r="Y50" s="86"/>
      <c r="Z50" s="86"/>
      <c r="AA50" s="86"/>
      <c r="AB50" s="86"/>
    </row>
    <row r="51" spans="1:28" ht="12.75" customHeight="1" x14ac:dyDescent="0.25">
      <c r="A51" s="93"/>
      <c r="B51" s="89"/>
      <c r="C51" s="114"/>
      <c r="D51" s="85"/>
      <c r="E51" s="114"/>
      <c r="F51" s="85"/>
      <c r="G51" s="114"/>
      <c r="H51" s="114"/>
      <c r="I51" s="114"/>
      <c r="J51" s="114"/>
      <c r="K51" s="114"/>
      <c r="L51" s="102"/>
      <c r="M51" s="214"/>
      <c r="N51" s="214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</row>
    <row r="52" spans="1:28" ht="122.25" customHeight="1" x14ac:dyDescent="0.25">
      <c r="A52" s="147" t="s">
        <v>825</v>
      </c>
      <c r="B52" s="172"/>
      <c r="C52" s="114"/>
      <c r="D52" s="92"/>
      <c r="E52" s="114"/>
      <c r="F52" s="85"/>
      <c r="G52" s="114"/>
      <c r="H52" s="114"/>
      <c r="I52" s="114"/>
      <c r="J52" s="114"/>
      <c r="K52" s="114"/>
      <c r="L52" s="102"/>
      <c r="M52" s="214"/>
      <c r="N52" s="214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</row>
    <row r="53" spans="1:28" x14ac:dyDescent="0.25">
      <c r="A53" s="93" t="s">
        <v>1151</v>
      </c>
      <c r="B53" s="89" t="s">
        <v>1188</v>
      </c>
      <c r="C53" s="159">
        <f>$C$5</f>
        <v>0</v>
      </c>
      <c r="D53" s="85">
        <v>0.2</v>
      </c>
      <c r="E53" s="114">
        <f>($B$52*(1+C53))*D53</f>
        <v>0</v>
      </c>
      <c r="F53" s="85"/>
      <c r="G53" s="114">
        <f>(($B$52*(1+C53))+E53)*F53</f>
        <v>0</v>
      </c>
      <c r="H53" s="114">
        <f>(($B$52*(1+C53))+E53+G53)*$H$5</f>
        <v>0</v>
      </c>
      <c r="I53" s="114">
        <f>(($B$52*(1+C53))+E53+G53)*$I$5</f>
        <v>0</v>
      </c>
      <c r="J53" s="114">
        <f>(($B$52*(1+C53))+E53+G53+H53+I53)*$J$5</f>
        <v>0</v>
      </c>
      <c r="K53" s="114">
        <f>$B$52*(1+C53)+E53+G53+H53+I53+J53</f>
        <v>0</v>
      </c>
      <c r="L53" s="102"/>
      <c r="M53" s="214">
        <f>K53/'Исп. коэффициенты'!$F$52</f>
        <v>0</v>
      </c>
      <c r="N53" s="214">
        <f>K53/'Исп. коэффициенты'!$F$53</f>
        <v>0</v>
      </c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</row>
    <row r="54" spans="1:28" x14ac:dyDescent="0.25">
      <c r="A54" s="93" t="s">
        <v>1152</v>
      </c>
      <c r="B54" s="89" t="s">
        <v>1188</v>
      </c>
      <c r="C54" s="159">
        <f>$C$5</f>
        <v>0</v>
      </c>
      <c r="D54" s="85">
        <v>0.15</v>
      </c>
      <c r="E54" s="114">
        <f>($B$52*(1+C54))*D54</f>
        <v>0</v>
      </c>
      <c r="F54" s="85"/>
      <c r="G54" s="114">
        <f>(($B$52*(1+C54))+E54)*F54</f>
        <v>0</v>
      </c>
      <c r="H54" s="114">
        <f>(($B$52*(1+C54))+E54+G54)*$H$5</f>
        <v>0</v>
      </c>
      <c r="I54" s="114">
        <f>(($B$52*(1+C54))+E54+G54)*$I$5</f>
        <v>0</v>
      </c>
      <c r="J54" s="114">
        <f>(($B$52*(1+C54))+E54+G54+H54+I54)*$J$5</f>
        <v>0</v>
      </c>
      <c r="K54" s="114">
        <f>$B$52*(1+C54)+E54+G54+H54+I54+J54</f>
        <v>0</v>
      </c>
      <c r="L54" s="102"/>
      <c r="M54" s="214">
        <f>K54/'Исп. коэффициенты'!$F$52</f>
        <v>0</v>
      </c>
      <c r="N54" s="214">
        <f>K54/'Исп. коэффициенты'!$F$53</f>
        <v>0</v>
      </c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</row>
    <row r="55" spans="1:28" x14ac:dyDescent="0.25">
      <c r="A55" s="93" t="s">
        <v>1154</v>
      </c>
      <c r="B55" s="89" t="s">
        <v>1188</v>
      </c>
      <c r="C55" s="159">
        <f>$C$5</f>
        <v>0</v>
      </c>
      <c r="D55" s="85">
        <v>0.1</v>
      </c>
      <c r="E55" s="114">
        <f>($B$52*(1+C55))*D55</f>
        <v>0</v>
      </c>
      <c r="F55" s="85"/>
      <c r="G55" s="114">
        <f>(($B$52*(1+C55))+E55)*F55</f>
        <v>0</v>
      </c>
      <c r="H55" s="114">
        <f>(($B$52*(1+C55))+E55+G55)*$H$5</f>
        <v>0</v>
      </c>
      <c r="I55" s="114">
        <f>(($B$52*(1+C55))+E55+G55)*$I$5</f>
        <v>0</v>
      </c>
      <c r="J55" s="114">
        <f>(($B$52*(1+C55))+E55+G55+H55+I55)*$J$5</f>
        <v>0</v>
      </c>
      <c r="K55" s="114">
        <f>$B$52*(1+C55)+E55+G55+H55+I55+J55</f>
        <v>0</v>
      </c>
      <c r="L55" s="102"/>
      <c r="M55" s="214">
        <f>K55/'Исп. коэффициенты'!$F$52</f>
        <v>0</v>
      </c>
      <c r="N55" s="214">
        <f>K55/'Исп. коэффициенты'!$F$53</f>
        <v>0</v>
      </c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</row>
    <row r="56" spans="1:28" x14ac:dyDescent="0.25">
      <c r="A56" s="94" t="s">
        <v>1153</v>
      </c>
      <c r="B56" s="89" t="s">
        <v>1188</v>
      </c>
      <c r="C56" s="159">
        <f>$C$5</f>
        <v>0</v>
      </c>
      <c r="D56" s="85"/>
      <c r="E56" s="114">
        <f>($B$52*(1+C56))*D56</f>
        <v>0</v>
      </c>
      <c r="F56" s="85"/>
      <c r="G56" s="114">
        <f>(($B$52*(1+C56))+E56)*F56</f>
        <v>0</v>
      </c>
      <c r="H56" s="114">
        <f>(($B$52*(1+C56))+E56+G56)*$H$5</f>
        <v>0</v>
      </c>
      <c r="I56" s="114">
        <f>(($B$52*(1+C56))+E56+G56)*$I$5</f>
        <v>0</v>
      </c>
      <c r="J56" s="114">
        <f>(($B$52*(1+C56))+E56+G56+H56+I56)*$J$5</f>
        <v>0</v>
      </c>
      <c r="K56" s="114">
        <f>$B$52*(1+C56)+E56+G56+H56+I56+J56</f>
        <v>0</v>
      </c>
      <c r="L56" s="102"/>
      <c r="M56" s="214">
        <f>K56/'Исп. коэффициенты'!$F$52</f>
        <v>0</v>
      </c>
      <c r="N56" s="214">
        <f>K56/'Исп. коэффициенты'!$F$53</f>
        <v>0</v>
      </c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</row>
    <row r="57" spans="1:28" ht="180.75" customHeight="1" x14ac:dyDescent="0.25">
      <c r="A57" s="147" t="s">
        <v>1198</v>
      </c>
      <c r="B57" s="172"/>
      <c r="C57" s="114"/>
      <c r="D57" s="92"/>
      <c r="E57" s="114"/>
      <c r="F57" s="85"/>
      <c r="G57" s="114"/>
      <c r="H57" s="114"/>
      <c r="I57" s="114"/>
      <c r="J57" s="114"/>
      <c r="K57" s="114"/>
      <c r="L57" s="102"/>
      <c r="M57" s="214"/>
      <c r="N57" s="214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</row>
    <row r="58" spans="1:28" x14ac:dyDescent="0.25">
      <c r="A58" s="93" t="s">
        <v>1151</v>
      </c>
      <c r="B58" s="89" t="s">
        <v>1188</v>
      </c>
      <c r="C58" s="159">
        <f>$C$5</f>
        <v>0</v>
      </c>
      <c r="D58" s="85">
        <v>0.2</v>
      </c>
      <c r="E58" s="114">
        <f>($B$57*(1+C58))*D58</f>
        <v>0</v>
      </c>
      <c r="F58" s="85">
        <v>0.15</v>
      </c>
      <c r="G58" s="114">
        <f>(($B$57*(1+C58))+E58)*F58</f>
        <v>0</v>
      </c>
      <c r="H58" s="114">
        <f>(($B$57*(1+C58))+E58+G58)*$H$5</f>
        <v>0</v>
      </c>
      <c r="I58" s="114">
        <f>(($B$57*(1+C58))+E58+G58)*$I$5</f>
        <v>0</v>
      </c>
      <c r="J58" s="114">
        <f>(($B$57*(1+C58))+E58+G58+H58+I58)*$J$5</f>
        <v>0</v>
      </c>
      <c r="K58" s="114">
        <f>$B$57*(1+C58)+E58+G58+H58+I58+J58</f>
        <v>0</v>
      </c>
      <c r="L58" s="102"/>
      <c r="M58" s="214">
        <f>K58/'Исп. коэффициенты'!$F$52</f>
        <v>0</v>
      </c>
      <c r="N58" s="214">
        <f>K58/'Исп. коэффициенты'!$F$53</f>
        <v>0</v>
      </c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</row>
    <row r="59" spans="1:28" x14ac:dyDescent="0.25">
      <c r="A59" s="93" t="s">
        <v>1152</v>
      </c>
      <c r="B59" s="89" t="s">
        <v>1188</v>
      </c>
      <c r="C59" s="159">
        <f>$C$5</f>
        <v>0</v>
      </c>
      <c r="D59" s="85">
        <v>0.15</v>
      </c>
      <c r="E59" s="114">
        <f>($B$57*(1+C59))*D59</f>
        <v>0</v>
      </c>
      <c r="F59" s="85">
        <v>0.15</v>
      </c>
      <c r="G59" s="114">
        <f>(($B$57*(1+C59))+E59)*F59</f>
        <v>0</v>
      </c>
      <c r="H59" s="114">
        <f>(($B$57*(1+C59))+E59+G59)*$H$5</f>
        <v>0</v>
      </c>
      <c r="I59" s="114">
        <f>(($B$57*(1+C59))+E59+G59)*$I$5</f>
        <v>0</v>
      </c>
      <c r="J59" s="114">
        <f>(($B$57*(1+C59))+E59+G59+H59+I59)*$J$5</f>
        <v>0</v>
      </c>
      <c r="K59" s="114">
        <f>$B$57*(1+C59)+E59+G59+H59+I59+J59</f>
        <v>0</v>
      </c>
      <c r="L59" s="102"/>
      <c r="M59" s="214">
        <f>K59/'Исп. коэффициенты'!$F$52</f>
        <v>0</v>
      </c>
      <c r="N59" s="214">
        <f>K59/'Исп. коэффициенты'!$F$53</f>
        <v>0</v>
      </c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</row>
    <row r="60" spans="1:28" x14ac:dyDescent="0.25">
      <c r="A60" s="93" t="s">
        <v>1154</v>
      </c>
      <c r="B60" s="89" t="s">
        <v>1188</v>
      </c>
      <c r="C60" s="159">
        <f>$C$5</f>
        <v>0</v>
      </c>
      <c r="D60" s="85">
        <v>0.1</v>
      </c>
      <c r="E60" s="114">
        <f>($B$57*(1+C60))*D60</f>
        <v>0</v>
      </c>
      <c r="F60" s="85">
        <v>0.15</v>
      </c>
      <c r="G60" s="114">
        <f>(($B$57*(1+C60))+E60)*F60</f>
        <v>0</v>
      </c>
      <c r="H60" s="114">
        <f>(($B$57*(1+C60))+E60+G60)*$H$5</f>
        <v>0</v>
      </c>
      <c r="I60" s="114">
        <f>(($B$57*(1+C60))+E60+G60)*$I$5</f>
        <v>0</v>
      </c>
      <c r="J60" s="114">
        <f>(($B$57*(1+C60))+E60+G60+H60+I60)*$J$5</f>
        <v>0</v>
      </c>
      <c r="K60" s="114">
        <f>$B$57*(1+C60)+E60+G60+H60+I60+J60</f>
        <v>0</v>
      </c>
      <c r="L60" s="102"/>
      <c r="M60" s="214">
        <f>K60/'Исп. коэффициенты'!$F$52</f>
        <v>0</v>
      </c>
      <c r="N60" s="214">
        <f>K60/'Исп. коэффициенты'!$F$53</f>
        <v>0</v>
      </c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</row>
    <row r="61" spans="1:28" x14ac:dyDescent="0.25">
      <c r="A61" s="94" t="s">
        <v>1153</v>
      </c>
      <c r="B61" s="89" t="s">
        <v>1188</v>
      </c>
      <c r="C61" s="159">
        <f>$C$5</f>
        <v>0</v>
      </c>
      <c r="D61" s="85"/>
      <c r="E61" s="114">
        <f>($B$57*(1+C61))*D61</f>
        <v>0</v>
      </c>
      <c r="F61" s="85">
        <v>0.15</v>
      </c>
      <c r="G61" s="114">
        <f>(($B$57*(1+C61))+E61)*F61</f>
        <v>0</v>
      </c>
      <c r="H61" s="114">
        <f>(($B$57*(1+C61))+E61+G61)*$H$5</f>
        <v>0</v>
      </c>
      <c r="I61" s="114">
        <f>(($B$57*(1+C61))+E61+G61)*$I$5</f>
        <v>0</v>
      </c>
      <c r="J61" s="114">
        <f>(($B$57*(1+C61))+E61+G61+H61+I61)*$J$5</f>
        <v>0</v>
      </c>
      <c r="K61" s="114">
        <f>$B$57*(1+C61)+E61+G61+H61+I61+J61</f>
        <v>0</v>
      </c>
      <c r="L61" s="102"/>
      <c r="M61" s="214">
        <f>K61/'Исп. коэффициенты'!$F$52</f>
        <v>0</v>
      </c>
      <c r="N61" s="214">
        <f>K61/'Исп. коэффициенты'!$F$53</f>
        <v>0</v>
      </c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</row>
    <row r="62" spans="1:28" ht="60.75" customHeight="1" x14ac:dyDescent="0.25">
      <c r="A62" s="91" t="s">
        <v>1196</v>
      </c>
      <c r="B62" s="172"/>
      <c r="C62" s="114"/>
      <c r="D62" s="85"/>
      <c r="E62" s="114"/>
      <c r="F62" s="85"/>
      <c r="G62" s="114"/>
      <c r="H62" s="114"/>
      <c r="I62" s="114"/>
      <c r="J62" s="114"/>
      <c r="K62" s="114"/>
      <c r="L62" s="102"/>
      <c r="M62" s="214"/>
      <c r="N62" s="214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</row>
    <row r="63" spans="1:28" x14ac:dyDescent="0.25">
      <c r="A63" s="93" t="s">
        <v>1151</v>
      </c>
      <c r="B63" s="89" t="s">
        <v>1188</v>
      </c>
      <c r="C63" s="159">
        <f>$C$5</f>
        <v>0</v>
      </c>
      <c r="D63" s="85">
        <v>0.2</v>
      </c>
      <c r="E63" s="114">
        <f>($B$62*(1+C63))*D63</f>
        <v>0</v>
      </c>
      <c r="F63" s="85">
        <v>0.25</v>
      </c>
      <c r="G63" s="114">
        <f>(($B$62*(1+C63))+E63)*F63</f>
        <v>0</v>
      </c>
      <c r="H63" s="114">
        <f>(($B$62*(1+C63))+E63+G63)*$H$5</f>
        <v>0</v>
      </c>
      <c r="I63" s="114">
        <f>(($B$62*(1+C63))+E63+G63)*$I$5</f>
        <v>0</v>
      </c>
      <c r="J63" s="114">
        <f>(($B$62*(1+C63))+E63+G63+H63+I63)*$J$5</f>
        <v>0</v>
      </c>
      <c r="K63" s="114">
        <f>$B$62*(1+C63)+E63+G63+H63+I63+J63</f>
        <v>0</v>
      </c>
      <c r="L63" s="102"/>
      <c r="M63" s="214">
        <f>K63/'Исп. коэффициенты'!$F$52</f>
        <v>0</v>
      </c>
      <c r="N63" s="214">
        <f>K63/'Исп. коэффициенты'!$F$53</f>
        <v>0</v>
      </c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214">
        <f>K63/'Исп. коэффициенты'!$F$31</f>
        <v>0</v>
      </c>
      <c r="AA63" s="86"/>
      <c r="AB63" s="86"/>
    </row>
    <row r="64" spans="1:28" x14ac:dyDescent="0.25">
      <c r="A64" s="93" t="s">
        <v>1152</v>
      </c>
      <c r="B64" s="89" t="s">
        <v>1188</v>
      </c>
      <c r="C64" s="159">
        <f>$C$5</f>
        <v>0</v>
      </c>
      <c r="D64" s="85">
        <v>0.15</v>
      </c>
      <c r="E64" s="114">
        <f>($B$62*(1+C64))*D64</f>
        <v>0</v>
      </c>
      <c r="F64" s="85">
        <v>0.25</v>
      </c>
      <c r="G64" s="114">
        <f>(($B$62*(1+C64))+E64)*F64</f>
        <v>0</v>
      </c>
      <c r="H64" s="114">
        <f>(($B$62*(1+C64))+E64+G64)*$H$5</f>
        <v>0</v>
      </c>
      <c r="I64" s="114">
        <f>(($B$62*(1+C64))+E64+G64)*$I$5</f>
        <v>0</v>
      </c>
      <c r="J64" s="114">
        <f>(($B$62*(1+C64))+E64+G64+H64+I64)*$J$5</f>
        <v>0</v>
      </c>
      <c r="K64" s="114">
        <f>$B$62*(1+C64)+E64+G64+H64+I64+J64</f>
        <v>0</v>
      </c>
      <c r="L64" s="102"/>
      <c r="M64" s="214">
        <f>K64/'Исп. коэффициенты'!$F$52</f>
        <v>0</v>
      </c>
      <c r="N64" s="214">
        <f>K64/'Исп. коэффициенты'!$F$53</f>
        <v>0</v>
      </c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214">
        <f>K64/'Исп. коэффициенты'!$F$31</f>
        <v>0</v>
      </c>
      <c r="AA64" s="86"/>
      <c r="AB64" s="86"/>
    </row>
    <row r="65" spans="1:28" x14ac:dyDescent="0.25">
      <c r="A65" s="93" t="s">
        <v>1154</v>
      </c>
      <c r="B65" s="89" t="s">
        <v>1188</v>
      </c>
      <c r="C65" s="159">
        <f>$C$5</f>
        <v>0</v>
      </c>
      <c r="D65" s="85">
        <v>0.1</v>
      </c>
      <c r="E65" s="114">
        <f>($B$62*(1+C65))*D65</f>
        <v>0</v>
      </c>
      <c r="F65" s="85">
        <v>0.25</v>
      </c>
      <c r="G65" s="114">
        <f>(($B$62*(1+C65))+E65)*F65</f>
        <v>0</v>
      </c>
      <c r="H65" s="114">
        <f>(($B$62*(1+C65))+E65+G65)*$H$5</f>
        <v>0</v>
      </c>
      <c r="I65" s="114">
        <f>(($B$62*(1+C65))+E65+G65)*$I$5</f>
        <v>0</v>
      </c>
      <c r="J65" s="114">
        <f>(($B$62*(1+C65))+E65+G65+H65+I65)*$J$5</f>
        <v>0</v>
      </c>
      <c r="K65" s="114">
        <f>$B$62*(1+C65)+E65+G65+H65+I65+J65</f>
        <v>0</v>
      </c>
      <c r="L65" s="102"/>
      <c r="M65" s="214">
        <f>K65/'Исп. коэффициенты'!$F$52</f>
        <v>0</v>
      </c>
      <c r="N65" s="214">
        <f>K65/'Исп. коэффициенты'!$F$53</f>
        <v>0</v>
      </c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214">
        <f>K65/'Исп. коэффициенты'!$F$31</f>
        <v>0</v>
      </c>
      <c r="AA65" s="86"/>
      <c r="AB65" s="86"/>
    </row>
    <row r="66" spans="1:28" x14ac:dyDescent="0.25">
      <c r="A66" s="94" t="s">
        <v>1153</v>
      </c>
      <c r="B66" s="89" t="s">
        <v>1188</v>
      </c>
      <c r="C66" s="159">
        <f>$C$5</f>
        <v>0</v>
      </c>
      <c r="D66" s="85"/>
      <c r="E66" s="114">
        <f>($B$62*(1+C66))*D66</f>
        <v>0</v>
      </c>
      <c r="F66" s="85">
        <v>0.25</v>
      </c>
      <c r="G66" s="114">
        <f>(($B$62*(1+C66))+E66)*F66</f>
        <v>0</v>
      </c>
      <c r="H66" s="114">
        <f>(($B$62*(1+C66))+E66+G66)*$H$5</f>
        <v>0</v>
      </c>
      <c r="I66" s="114">
        <f>(($B$62*(1+C66))+E66+G66)*$I$5</f>
        <v>0</v>
      </c>
      <c r="J66" s="114">
        <f>(($B$62*(1+C66))+E66+G66+H66+I66)*$J$5</f>
        <v>0</v>
      </c>
      <c r="K66" s="114">
        <f>$B$62*(1+C66)+E66+G66+H66+I66+J66</f>
        <v>0</v>
      </c>
      <c r="L66" s="102"/>
      <c r="M66" s="214">
        <f>K66/'Исп. коэффициенты'!$F$52</f>
        <v>0</v>
      </c>
      <c r="N66" s="214">
        <f>K66/'Исп. коэффициенты'!$F$53</f>
        <v>0</v>
      </c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214">
        <f>K66/'Исп. коэффициенты'!$F$31</f>
        <v>0</v>
      </c>
      <c r="AA66" s="86"/>
      <c r="AB66" s="86"/>
    </row>
    <row r="67" spans="1:28" ht="75.75" customHeight="1" x14ac:dyDescent="0.25">
      <c r="A67" s="91" t="s">
        <v>1195</v>
      </c>
      <c r="B67" s="172"/>
      <c r="C67" s="114"/>
      <c r="D67" s="95"/>
      <c r="E67" s="115"/>
      <c r="F67" s="95"/>
      <c r="G67" s="115"/>
      <c r="H67" s="114"/>
      <c r="I67" s="114"/>
      <c r="J67" s="114"/>
      <c r="K67" s="114"/>
      <c r="L67" s="102"/>
      <c r="M67" s="214"/>
      <c r="N67" s="214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</row>
    <row r="68" spans="1:28" ht="14.25" customHeight="1" x14ac:dyDescent="0.25">
      <c r="A68" s="93" t="s">
        <v>1151</v>
      </c>
      <c r="B68" s="89" t="s">
        <v>1188</v>
      </c>
      <c r="C68" s="159">
        <f>$C$5</f>
        <v>0</v>
      </c>
      <c r="D68" s="85">
        <v>0.2</v>
      </c>
      <c r="E68" s="114">
        <f>($B$67*(1+C68))*D68</f>
        <v>0</v>
      </c>
      <c r="F68" s="85">
        <v>0.3</v>
      </c>
      <c r="G68" s="114">
        <f>(($B$67*(1+C68))+E68)*F68</f>
        <v>0</v>
      </c>
      <c r="H68" s="114">
        <f>(($B$67*(1+C68))+E68+G68)*$H$5</f>
        <v>0</v>
      </c>
      <c r="I68" s="114">
        <f>(($B$67*(1+C68))+E68+G68)*$I$5</f>
        <v>0</v>
      </c>
      <c r="J68" s="114">
        <f>(($B$67*(1+C68))+E68+G68+H68+I68)*$J$5</f>
        <v>0</v>
      </c>
      <c r="K68" s="114">
        <f>$B$67*(1+C68)+E68+G68+H68+I68+J68</f>
        <v>0</v>
      </c>
      <c r="L68" s="102"/>
      <c r="M68" s="214">
        <f>K68/'Исп. коэффициенты'!$F$52</f>
        <v>0</v>
      </c>
      <c r="N68" s="214">
        <f>K68/'Исп. коэффициенты'!$F$53</f>
        <v>0</v>
      </c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</row>
    <row r="69" spans="1:28" x14ac:dyDescent="0.25">
      <c r="A69" s="93" t="s">
        <v>1152</v>
      </c>
      <c r="B69" s="89" t="s">
        <v>1188</v>
      </c>
      <c r="C69" s="159">
        <f>$C$5</f>
        <v>0</v>
      </c>
      <c r="D69" s="85">
        <v>0.15</v>
      </c>
      <c r="E69" s="114">
        <f>($B$67*(1+C69))*D69</f>
        <v>0</v>
      </c>
      <c r="F69" s="85">
        <v>0.3</v>
      </c>
      <c r="G69" s="114">
        <f>(($B$67*(1+C69))+E69)*F69</f>
        <v>0</v>
      </c>
      <c r="H69" s="114">
        <f>(($B$67*(1+C69))+E69+G69)*$H$5</f>
        <v>0</v>
      </c>
      <c r="I69" s="114">
        <f>(($B$67*(1+C69))+E69+G69)*$I$5</f>
        <v>0</v>
      </c>
      <c r="J69" s="114">
        <f>(($B$67*(1+C69))+E69+G69+H69+I69)*$J$5</f>
        <v>0</v>
      </c>
      <c r="K69" s="114">
        <f>$B$67*(1+C69)+E69+G69+H69+I69+J69</f>
        <v>0</v>
      </c>
      <c r="L69" s="102"/>
      <c r="M69" s="214">
        <f>K69/'Исп. коэффициенты'!$F$52</f>
        <v>0</v>
      </c>
      <c r="N69" s="214">
        <f>K69/'Исп. коэффициенты'!$F$53</f>
        <v>0</v>
      </c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</row>
    <row r="70" spans="1:28" x14ac:dyDescent="0.25">
      <c r="A70" s="93" t="s">
        <v>1154</v>
      </c>
      <c r="B70" s="89" t="s">
        <v>1188</v>
      </c>
      <c r="C70" s="159">
        <f>$C$5</f>
        <v>0</v>
      </c>
      <c r="D70" s="85">
        <v>0.1</v>
      </c>
      <c r="E70" s="114">
        <f>($B$67*(1+C70))*D70</f>
        <v>0</v>
      </c>
      <c r="F70" s="85">
        <v>0.3</v>
      </c>
      <c r="G70" s="114">
        <f>(($B$67*(1+C70))+E70)*F70</f>
        <v>0</v>
      </c>
      <c r="H70" s="114">
        <f>(($B$67*(1+C70))+E70+G70)*$H$5</f>
        <v>0</v>
      </c>
      <c r="I70" s="114">
        <f>(($B$67*(1+C70))+E70+G70)*$I$5</f>
        <v>0</v>
      </c>
      <c r="J70" s="114">
        <f>(($B$67*(1+C70))+E70+G70+H70+I70)*$J$5</f>
        <v>0</v>
      </c>
      <c r="K70" s="114">
        <f>$B$67*(1+C70)+E70+G70+H70+I70+J70</f>
        <v>0</v>
      </c>
      <c r="L70" s="102"/>
      <c r="M70" s="214">
        <f>K70/'Исп. коэффициенты'!$F$52</f>
        <v>0</v>
      </c>
      <c r="N70" s="214">
        <f>K70/'Исп. коэффициенты'!$F$53</f>
        <v>0</v>
      </c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</row>
    <row r="71" spans="1:28" x14ac:dyDescent="0.25">
      <c r="A71" s="94" t="s">
        <v>1153</v>
      </c>
      <c r="B71" s="89" t="s">
        <v>1188</v>
      </c>
      <c r="C71" s="159">
        <f>$C$5</f>
        <v>0</v>
      </c>
      <c r="D71" s="85"/>
      <c r="E71" s="114">
        <f>($B$67*(1+C71))*D71</f>
        <v>0</v>
      </c>
      <c r="F71" s="85">
        <v>0.3</v>
      </c>
      <c r="G71" s="114">
        <f>(($B$67*(1+C71))+E71)*F71</f>
        <v>0</v>
      </c>
      <c r="H71" s="114">
        <f>(($B$67*(1+C71))+E71+G71)*$H$5</f>
        <v>0</v>
      </c>
      <c r="I71" s="114">
        <f>(($B$67*(1+C71))+E71+G71)*$I$5</f>
        <v>0</v>
      </c>
      <c r="J71" s="114">
        <f>(($B$67*(1+C71))+E71+G71+H71+I71)*$J$5</f>
        <v>0</v>
      </c>
      <c r="K71" s="114">
        <f>$B$67*(1+C71)+E71+G71+H71+I71+J71</f>
        <v>0</v>
      </c>
      <c r="L71" s="102"/>
      <c r="M71" s="214">
        <f>K71/'Исп. коэффициенты'!$F$52</f>
        <v>0</v>
      </c>
      <c r="N71" s="214">
        <f>K71/'Исп. коэффициенты'!$F$53</f>
        <v>0</v>
      </c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</row>
    <row r="72" spans="1:28" ht="30" customHeight="1" x14ac:dyDescent="0.25">
      <c r="A72" s="147" t="s">
        <v>1194</v>
      </c>
      <c r="B72" s="172">
        <v>16240</v>
      </c>
      <c r="C72" s="114"/>
      <c r="D72" s="92"/>
      <c r="E72" s="114"/>
      <c r="F72" s="85"/>
      <c r="G72" s="114"/>
      <c r="H72" s="114"/>
      <c r="I72" s="114"/>
      <c r="J72" s="114"/>
      <c r="K72" s="114"/>
      <c r="L72" s="102"/>
      <c r="M72" s="214"/>
      <c r="N72" s="214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</row>
    <row r="73" spans="1:28" x14ac:dyDescent="0.25">
      <c r="A73" s="93" t="s">
        <v>1151</v>
      </c>
      <c r="B73" s="89" t="s">
        <v>1188</v>
      </c>
      <c r="C73" s="159">
        <f>$C$5</f>
        <v>0</v>
      </c>
      <c r="D73" s="85">
        <v>0.2</v>
      </c>
      <c r="E73" s="114">
        <f>($B$72*(1+C73))*D73</f>
        <v>3248</v>
      </c>
      <c r="F73" s="85"/>
      <c r="G73" s="114">
        <f>(($B$72*(1+C73))+E73)*F73</f>
        <v>0</v>
      </c>
      <c r="H73" s="114">
        <f>(($B$72*(1+C73))+E73+G73)*$H$5</f>
        <v>5846.4</v>
      </c>
      <c r="I73" s="114">
        <f>(($B$72*(1+C73))+E73+G73)*$I$5</f>
        <v>5846.4</v>
      </c>
      <c r="J73" s="114">
        <f>(($B$72*(1+C73))+E73+G73+H73+I73)*$J$5</f>
        <v>4539.6310442452796</v>
      </c>
      <c r="K73" s="114">
        <f>$B$72*(1+C73)+E73+G73+H73+I73+J73</f>
        <v>35720.431044245284</v>
      </c>
      <c r="L73" s="102"/>
      <c r="M73" s="214">
        <f>K73/'Исп. коэффициенты'!$F$52</f>
        <v>40.401251342681022</v>
      </c>
      <c r="N73" s="214">
        <f>K73/'Исп. коэффициенты'!$F$53</f>
        <v>43.773734488354428</v>
      </c>
      <c r="O73" s="86"/>
      <c r="P73" s="86"/>
      <c r="Q73" s="214"/>
      <c r="R73" s="86"/>
      <c r="S73" s="86"/>
      <c r="T73" s="86"/>
      <c r="U73" s="86"/>
      <c r="V73" s="214">
        <f>K73/'Исп. коэффициенты'!$F$28</f>
        <v>47.878706743973964</v>
      </c>
      <c r="W73" s="214">
        <f>K73/'Исп. коэффициенты'!$F$28</f>
        <v>47.878706743973964</v>
      </c>
      <c r="X73" s="86"/>
      <c r="Y73" s="214"/>
      <c r="Z73" s="86"/>
      <c r="AA73" s="86"/>
      <c r="AB73" s="86"/>
    </row>
    <row r="74" spans="1:28" x14ac:dyDescent="0.25">
      <c r="A74" s="93" t="s">
        <v>1152</v>
      </c>
      <c r="B74" s="89" t="s">
        <v>1188</v>
      </c>
      <c r="C74" s="159">
        <f>$C$5</f>
        <v>0</v>
      </c>
      <c r="D74" s="85">
        <v>0.15</v>
      </c>
      <c r="E74" s="114">
        <f>($B$72*(1+C74))*D74</f>
        <v>2436</v>
      </c>
      <c r="F74" s="85"/>
      <c r="G74" s="114">
        <f>(($B$72*(1+C74))+E74)*F74</f>
        <v>0</v>
      </c>
      <c r="H74" s="114">
        <f>(($B$72*(1+C74))+E74+G74)*$H$5</f>
        <v>5602.8</v>
      </c>
      <c r="I74" s="114">
        <f>(($B$72*(1+C74))+E74+G74)*$I$5</f>
        <v>5602.8</v>
      </c>
      <c r="J74" s="114">
        <f>(($B$72*(1+C74))+E74+G74+H74+I74)*$J$5</f>
        <v>4350.4797507350586</v>
      </c>
      <c r="K74" s="114">
        <f>$B$72*(1+C74)+E74+G74+H74+I74+J74</f>
        <v>34232.079750735058</v>
      </c>
      <c r="L74" s="102"/>
      <c r="M74" s="214">
        <f>K74/'Исп. коэффициенты'!$F$52</f>
        <v>38.717865870069311</v>
      </c>
      <c r="N74" s="214">
        <f>K74/'Исп. коэффициенты'!$F$53</f>
        <v>41.949828884672989</v>
      </c>
      <c r="O74" s="86"/>
      <c r="P74" s="86"/>
      <c r="Q74" s="214"/>
      <c r="R74" s="86"/>
      <c r="S74" s="86"/>
      <c r="T74" s="86"/>
      <c r="U74" s="86"/>
      <c r="V74" s="214">
        <f>K74/'Исп. коэффициенты'!$F$28</f>
        <v>45.883760629641706</v>
      </c>
      <c r="W74" s="214">
        <f>K74/'Исп. коэффициенты'!$F$28</f>
        <v>45.883760629641706</v>
      </c>
      <c r="X74" s="86"/>
      <c r="Y74" s="214"/>
      <c r="Z74" s="86"/>
      <c r="AA74" s="86"/>
      <c r="AB74" s="86"/>
    </row>
    <row r="75" spans="1:28" x14ac:dyDescent="0.25">
      <c r="A75" s="93" t="s">
        <v>1154</v>
      </c>
      <c r="B75" s="89" t="s">
        <v>1188</v>
      </c>
      <c r="C75" s="159">
        <f>$C$5</f>
        <v>0</v>
      </c>
      <c r="D75" s="85">
        <v>0.1</v>
      </c>
      <c r="E75" s="114">
        <f>($B$72*(1+C75))*D75</f>
        <v>1624</v>
      </c>
      <c r="F75" s="85"/>
      <c r="G75" s="114">
        <f>(($B$72*(1+C75))+E75)*F75</f>
        <v>0</v>
      </c>
      <c r="H75" s="114">
        <f>(($B$72*(1+C75))+E75+G75)*$H$5</f>
        <v>5359.2</v>
      </c>
      <c r="I75" s="114">
        <f>(($B$72*(1+C75))+E75+G75)*$I$5</f>
        <v>5359.2</v>
      </c>
      <c r="J75" s="114">
        <f>(($B$72*(1+C75))+E75+G75+H75+I75)*$J$5</f>
        <v>4161.3284572248394</v>
      </c>
      <c r="K75" s="114">
        <f>$B$72*(1+C75)+E75+G75+H75+I75+J75</f>
        <v>32743.728457224839</v>
      </c>
      <c r="L75" s="102"/>
      <c r="M75" s="214">
        <f>K75/'Исп. коэффициенты'!$F$52</f>
        <v>37.0344803974576</v>
      </c>
      <c r="N75" s="214">
        <f>K75/'Исп. коэффициенты'!$F$53</f>
        <v>40.125923280991557</v>
      </c>
      <c r="O75" s="86"/>
      <c r="P75" s="86"/>
      <c r="Q75" s="214"/>
      <c r="R75" s="86"/>
      <c r="S75" s="86"/>
      <c r="T75" s="86"/>
      <c r="U75" s="86"/>
      <c r="V75" s="214">
        <f>K75/'Исп. коэффициенты'!$F$28</f>
        <v>43.888814515309463</v>
      </c>
      <c r="W75" s="214">
        <f>K75/'Исп. коэффициенты'!$F$28</f>
        <v>43.888814515309463</v>
      </c>
      <c r="X75" s="86"/>
      <c r="Y75" s="214"/>
      <c r="Z75" s="86"/>
      <c r="AA75" s="86"/>
      <c r="AB75" s="86"/>
    </row>
    <row r="76" spans="1:28" x14ac:dyDescent="0.25">
      <c r="A76" s="94" t="s">
        <v>1153</v>
      </c>
      <c r="B76" s="89" t="s">
        <v>1188</v>
      </c>
      <c r="C76" s="159">
        <f>$C$5</f>
        <v>0</v>
      </c>
      <c r="D76" s="85"/>
      <c r="E76" s="114">
        <f>($B$72*(1+C76))*D76</f>
        <v>0</v>
      </c>
      <c r="F76" s="85"/>
      <c r="G76" s="114">
        <f>(($B$72*(1+C76))+E76)*F76</f>
        <v>0</v>
      </c>
      <c r="H76" s="114">
        <f>(($B$72*(1+C76))+E76+G76)*$H$5</f>
        <v>4872</v>
      </c>
      <c r="I76" s="114">
        <f>(($B$72*(1+C76))+E76+G76)*$I$5</f>
        <v>4872</v>
      </c>
      <c r="J76" s="114">
        <f>(($B$72*(1+C76))+E76+G76+H76+I76)*$J$5</f>
        <v>3783.0258702043993</v>
      </c>
      <c r="K76" s="114">
        <f>$B$72*(1+C76)+E76+G76+H76+I76+J76</f>
        <v>29767.025870204401</v>
      </c>
      <c r="L76" s="102"/>
      <c r="M76" s="214">
        <f>K76/'Исп. коэффициенты'!$F$52</f>
        <v>33.667709452234185</v>
      </c>
      <c r="N76" s="214">
        <f>K76/'Исп. коэффициенты'!$F$53</f>
        <v>36.478112073628687</v>
      </c>
      <c r="O76" s="86"/>
      <c r="P76" s="86"/>
      <c r="Q76" s="214"/>
      <c r="R76" s="86"/>
      <c r="S76" s="86"/>
      <c r="T76" s="86"/>
      <c r="U76" s="86"/>
      <c r="V76" s="214">
        <f>K76/'Исп. коэффициенты'!$F$28</f>
        <v>39.898922286644968</v>
      </c>
      <c r="W76" s="214">
        <f>K76/'Исп. коэффициенты'!$F$28</f>
        <v>39.898922286644968</v>
      </c>
      <c r="X76" s="86"/>
      <c r="Y76" s="214"/>
      <c r="Z76" s="86"/>
      <c r="AA76" s="86"/>
      <c r="AB76" s="86"/>
    </row>
    <row r="77" spans="1:28" ht="75.75" customHeight="1" x14ac:dyDescent="0.25">
      <c r="A77" s="91" t="s">
        <v>1001</v>
      </c>
      <c r="B77" s="172">
        <v>16240</v>
      </c>
      <c r="C77" s="114"/>
      <c r="D77" s="95"/>
      <c r="E77" s="115"/>
      <c r="F77" s="95"/>
      <c r="G77" s="115"/>
      <c r="H77" s="114"/>
      <c r="I77" s="114"/>
      <c r="J77" s="114"/>
      <c r="K77" s="114"/>
      <c r="L77" s="102"/>
      <c r="M77" s="214"/>
      <c r="N77" s="214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</row>
    <row r="78" spans="1:28" ht="14.25" customHeight="1" x14ac:dyDescent="0.25">
      <c r="A78" s="93" t="s">
        <v>1151</v>
      </c>
      <c r="B78" s="89" t="s">
        <v>1188</v>
      </c>
      <c r="C78" s="159">
        <f>$C$5</f>
        <v>0</v>
      </c>
      <c r="D78" s="85">
        <v>0.2</v>
      </c>
      <c r="E78" s="114">
        <f>($B$77*(1+C78))*D78</f>
        <v>3248</v>
      </c>
      <c r="F78" s="85"/>
      <c r="G78" s="114">
        <f>(($B$77*(1+C78))+E78)*F78</f>
        <v>0</v>
      </c>
      <c r="H78" s="114">
        <f>(($B$77*(1+C78))+E78+G78)*$H$5</f>
        <v>5846.4</v>
      </c>
      <c r="I78" s="114">
        <f>(($B$77*(1+C78))+E78+G78)*$I$5</f>
        <v>5846.4</v>
      </c>
      <c r="J78" s="114">
        <f>(($B$77*(1+C78))+E78+G78+H78+I78)*$J$5</f>
        <v>4539.6310442452796</v>
      </c>
      <c r="K78" s="114">
        <f>$B$77*(1+C78)+E78+G78+H78+I78+J78</f>
        <v>35720.431044245284</v>
      </c>
      <c r="L78" s="102"/>
      <c r="M78" s="214">
        <f>K78/'Исп. коэффициенты'!$F$52</f>
        <v>40.401251342681022</v>
      </c>
      <c r="N78" s="214">
        <f>K78/'Исп. коэффициенты'!$F$53</f>
        <v>43.773734488354428</v>
      </c>
      <c r="O78" s="86"/>
      <c r="P78" s="86"/>
      <c r="Q78" s="214">
        <f>K78/'Исп. коэффициенты'!$F$32</f>
        <v>43.872983404550681</v>
      </c>
      <c r="R78" s="214">
        <f>K78/'Исп. коэффициенты'!$F$30</f>
        <v>53.993018243200375</v>
      </c>
      <c r="S78" s="214">
        <f>K78/'Исп. коэффициенты'!$F$36</f>
        <v>43.872983404550681</v>
      </c>
      <c r="T78" s="86"/>
      <c r="U78" s="214">
        <f>K78/'Исп. коэффициенты'!$F$36</f>
        <v>43.872983404550681</v>
      </c>
      <c r="V78" s="86"/>
      <c r="W78" s="214">
        <f>K78/'Исп. коэффициенты'!$F$28</f>
        <v>47.878706743973964</v>
      </c>
      <c r="X78" s="214">
        <f>K78/'Исп. коэффициенты'!$F$35</f>
        <v>51.990642734927022</v>
      </c>
      <c r="Y78" s="214">
        <f>K78/'Исп. коэффициенты'!$F$31</f>
        <v>54.035899015574131</v>
      </c>
      <c r="Z78" s="86"/>
      <c r="AA78" s="86"/>
      <c r="AB78" s="86"/>
    </row>
    <row r="79" spans="1:28" x14ac:dyDescent="0.25">
      <c r="A79" s="93" t="s">
        <v>1152</v>
      </c>
      <c r="B79" s="89" t="s">
        <v>1188</v>
      </c>
      <c r="C79" s="159">
        <f>$C$5</f>
        <v>0</v>
      </c>
      <c r="D79" s="85">
        <v>0.15</v>
      </c>
      <c r="E79" s="114">
        <f>($B$77*(1+C79))*D79</f>
        <v>2436</v>
      </c>
      <c r="F79" s="85"/>
      <c r="G79" s="114">
        <f>(($B$77*(1+C79))+E79)*F79</f>
        <v>0</v>
      </c>
      <c r="H79" s="114">
        <f>(($B$77*(1+C79))+E79+G79)*$H$5</f>
        <v>5602.8</v>
      </c>
      <c r="I79" s="114">
        <f>(($B$77*(1+C79))+E79+G79)*$I$5</f>
        <v>5602.8</v>
      </c>
      <c r="J79" s="114">
        <f>(($B$77*(1+C79))+E79+G79+H79+I79)*$J$5</f>
        <v>4350.4797507350586</v>
      </c>
      <c r="K79" s="114">
        <f>$B$77*(1+C79)+E79+G79+H79+I79+J79</f>
        <v>34232.079750735058</v>
      </c>
      <c r="L79" s="102"/>
      <c r="M79" s="214">
        <f>K79/'Исп. коэффициенты'!$F$52</f>
        <v>38.717865870069311</v>
      </c>
      <c r="N79" s="214">
        <f>K79/'Исп. коэффициенты'!$F$53</f>
        <v>41.949828884672989</v>
      </c>
      <c r="O79" s="86"/>
      <c r="P79" s="86"/>
      <c r="Q79" s="214">
        <f>K79/'Исп. коэффициенты'!$F$32</f>
        <v>42.044942429361058</v>
      </c>
      <c r="R79" s="214">
        <f>K79/'Исп. коэффициенты'!$F$30</f>
        <v>51.743309149733683</v>
      </c>
      <c r="S79" s="214">
        <f>K79/'Исп. коэффициенты'!$F$36</f>
        <v>42.044942429361058</v>
      </c>
      <c r="T79" s="86"/>
      <c r="U79" s="214">
        <f>K79/'Исп. коэффициенты'!$F$36</f>
        <v>42.044942429361058</v>
      </c>
      <c r="V79" s="86"/>
      <c r="W79" s="214">
        <f>K79/'Исп. коэффициенты'!$F$28</f>
        <v>45.883760629641706</v>
      </c>
      <c r="X79" s="214">
        <f>K79/'Исп. коэффициенты'!$F$35</f>
        <v>49.824365954305058</v>
      </c>
      <c r="Y79" s="214">
        <f>K79/'Исп. коэффициенты'!$F$31</f>
        <v>51.784403223258536</v>
      </c>
      <c r="Z79" s="86"/>
      <c r="AA79" s="86"/>
      <c r="AB79" s="86"/>
    </row>
    <row r="80" spans="1:28" x14ac:dyDescent="0.25">
      <c r="A80" s="93" t="s">
        <v>1154</v>
      </c>
      <c r="B80" s="89" t="s">
        <v>1188</v>
      </c>
      <c r="C80" s="159">
        <f>$C$5</f>
        <v>0</v>
      </c>
      <c r="D80" s="85">
        <v>0.1</v>
      </c>
      <c r="E80" s="114">
        <f>($B$77*(1+C80))*D80</f>
        <v>1624</v>
      </c>
      <c r="F80" s="85"/>
      <c r="G80" s="114">
        <f>(($B$77*(1+C80))+E80)*F80</f>
        <v>0</v>
      </c>
      <c r="H80" s="114">
        <f>(($B$77*(1+C80))+E80+G80)*$H$5</f>
        <v>5359.2</v>
      </c>
      <c r="I80" s="114">
        <f>(($B$77*(1+C80))+E80+G80)*$I$5</f>
        <v>5359.2</v>
      </c>
      <c r="J80" s="114">
        <f>(($B$77*(1+C80))+E80+G80+H80+I80)*$J$5</f>
        <v>4161.3284572248394</v>
      </c>
      <c r="K80" s="114">
        <f>$B$77*(1+C80)+E80+G80+H80+I80+J80</f>
        <v>32743.728457224839</v>
      </c>
      <c r="L80" s="102"/>
      <c r="M80" s="214">
        <f>K80/'Исп. коэффициенты'!$F$52</f>
        <v>37.0344803974576</v>
      </c>
      <c r="N80" s="214">
        <f>K80/'Исп. коэффициенты'!$F$53</f>
        <v>40.125923280991557</v>
      </c>
      <c r="O80" s="86"/>
      <c r="P80" s="86"/>
      <c r="Q80" s="214">
        <f>K80/'Исп. коэффициенты'!$F$32</f>
        <v>40.216901454171449</v>
      </c>
      <c r="R80" s="214">
        <f>K80/'Исп. коэффициенты'!$F$30</f>
        <v>49.493600056267006</v>
      </c>
      <c r="S80" s="214">
        <f>K80/'Исп. коэффициенты'!$F$36</f>
        <v>40.216901454171449</v>
      </c>
      <c r="T80" s="86"/>
      <c r="U80" s="214">
        <f>K80/'Исп. коэффициенты'!$F$36</f>
        <v>40.216901454171449</v>
      </c>
      <c r="V80" s="86"/>
      <c r="W80" s="214">
        <f>K80/'Исп. коэффициенты'!$F$28</f>
        <v>43.888814515309463</v>
      </c>
      <c r="X80" s="214">
        <f>K80/'Исп. коэффициенты'!$F$35</f>
        <v>47.658089173683102</v>
      </c>
      <c r="Y80" s="214">
        <f>K80/'Исп. коэффициенты'!$F$31</f>
        <v>49.532907430942949</v>
      </c>
      <c r="Z80" s="86"/>
      <c r="AA80" s="86"/>
      <c r="AB80" s="86"/>
    </row>
    <row r="81" spans="1:28" x14ac:dyDescent="0.25">
      <c r="A81" s="96" t="s">
        <v>1153</v>
      </c>
      <c r="B81" s="97" t="s">
        <v>1188</v>
      </c>
      <c r="C81" s="159">
        <f>$C$5</f>
        <v>0</v>
      </c>
      <c r="D81" s="98"/>
      <c r="E81" s="114">
        <f>($B$77*(1+C81))*D81</f>
        <v>0</v>
      </c>
      <c r="F81" s="98"/>
      <c r="G81" s="114">
        <f>(($B$77*(1+C81))+E81)*F81</f>
        <v>0</v>
      </c>
      <c r="H81" s="114">
        <f>(($B$77*(1+C81))+E81+G81)*$H$5</f>
        <v>4872</v>
      </c>
      <c r="I81" s="114">
        <f>(($B$77*(1+C81))+E81+G81)*$I$5</f>
        <v>4872</v>
      </c>
      <c r="J81" s="114">
        <f>(($B$77*(1+C81))+E81+G81+H81+I81)*$J$5</f>
        <v>3783.0258702043993</v>
      </c>
      <c r="K81" s="114">
        <f>$B$77*(1+C81)+E81+G81+H81+I81+J81</f>
        <v>29767.025870204401</v>
      </c>
      <c r="L81" s="102"/>
      <c r="M81" s="214">
        <f>K81/'Исп. коэффициенты'!$F$52</f>
        <v>33.667709452234185</v>
      </c>
      <c r="N81" s="214">
        <f>K81/'Исп. коэффициенты'!$F$53</f>
        <v>36.478112073628687</v>
      </c>
      <c r="O81" s="86"/>
      <c r="P81" s="86"/>
      <c r="Q81" s="214">
        <f>K81/'Исп. коэффициенты'!$F$32</f>
        <v>36.560819503792231</v>
      </c>
      <c r="R81" s="214">
        <f>K81/'Исп. коэффициенты'!$F$30</f>
        <v>44.994181869333644</v>
      </c>
      <c r="S81" s="214">
        <f>K81/'Исп. коэффициенты'!$F$36</f>
        <v>36.560819503792231</v>
      </c>
      <c r="T81" s="86"/>
      <c r="U81" s="214">
        <f>K81/'Исп. коэффициенты'!$F$36</f>
        <v>36.560819503792231</v>
      </c>
      <c r="V81" s="86"/>
      <c r="W81" s="214">
        <f>K81/'Исп. коэффициенты'!$F$28</f>
        <v>39.898922286644968</v>
      </c>
      <c r="X81" s="214">
        <f>K81/'Исп. коэффициенты'!$F$35</f>
        <v>43.325535612439182</v>
      </c>
      <c r="Y81" s="214">
        <f>K81/'Исп. коэффициенты'!$F$31</f>
        <v>45.029915846311773</v>
      </c>
      <c r="Z81" s="86"/>
      <c r="AA81" s="86"/>
      <c r="AB81" s="86"/>
    </row>
    <row r="82" spans="1:28" ht="18" customHeight="1" x14ac:dyDescent="0.25">
      <c r="A82" s="91" t="s">
        <v>1193</v>
      </c>
      <c r="B82" s="172"/>
      <c r="C82" s="114"/>
      <c r="D82" s="95"/>
      <c r="E82" s="115"/>
      <c r="F82" s="95"/>
      <c r="G82" s="115"/>
      <c r="H82" s="114"/>
      <c r="I82" s="114"/>
      <c r="J82" s="114"/>
      <c r="K82" s="114"/>
      <c r="L82" s="102"/>
      <c r="M82" s="214"/>
      <c r="N82" s="214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</row>
    <row r="83" spans="1:28" ht="14.25" customHeight="1" x14ac:dyDescent="0.25">
      <c r="A83" s="93" t="s">
        <v>1151</v>
      </c>
      <c r="B83" s="174" t="s">
        <v>1188</v>
      </c>
      <c r="C83" s="159">
        <f>$C$5</f>
        <v>0</v>
      </c>
      <c r="D83" s="85">
        <v>0.2</v>
      </c>
      <c r="E83" s="114">
        <f>($B$82*(1+C83))*D83</f>
        <v>0</v>
      </c>
      <c r="F83" s="85">
        <v>0.25</v>
      </c>
      <c r="G83" s="114">
        <f>(($B$82*(1+C83))+E83)*F83</f>
        <v>0</v>
      </c>
      <c r="H83" s="114">
        <f>(($B$82*(1+C83))+E83+G83)*$H$5</f>
        <v>0</v>
      </c>
      <c r="I83" s="114">
        <f>(($B$82*(1+C83))+E83+G83)*$I$5</f>
        <v>0</v>
      </c>
      <c r="J83" s="114">
        <f>(($B$82*(1+C83))+E83+G83+H83+I83)*$J$5</f>
        <v>0</v>
      </c>
      <c r="K83" s="114">
        <f>$B$82*(1+C83)+E83+G83+H83+I83+J83</f>
        <v>0</v>
      </c>
      <c r="L83" s="102"/>
      <c r="M83" s="214">
        <f>K83/'Исп. коэффициенты'!$F$52</f>
        <v>0</v>
      </c>
      <c r="N83" s="214">
        <f>K83/'Исп. коэффициенты'!$F$53</f>
        <v>0</v>
      </c>
      <c r="O83" s="86"/>
      <c r="P83" s="86"/>
      <c r="Q83" s="86"/>
      <c r="R83" s="86"/>
      <c r="S83" s="86"/>
      <c r="T83" s="214">
        <f>K83/'Исп. коэффициенты'!$F$36</f>
        <v>0</v>
      </c>
      <c r="U83" s="86"/>
      <c r="V83" s="86"/>
      <c r="W83" s="86"/>
      <c r="X83" s="86"/>
      <c r="Y83" s="86"/>
      <c r="Z83" s="86"/>
      <c r="AA83" s="86"/>
      <c r="AB83" s="86"/>
    </row>
    <row r="84" spans="1:28" x14ac:dyDescent="0.25">
      <c r="A84" s="93" t="s">
        <v>1152</v>
      </c>
      <c r="B84" s="89" t="s">
        <v>1188</v>
      </c>
      <c r="C84" s="159">
        <f>$C$5</f>
        <v>0</v>
      </c>
      <c r="D84" s="85">
        <v>0.15</v>
      </c>
      <c r="E84" s="114">
        <f>($B$82*(1+C84))*D84</f>
        <v>0</v>
      </c>
      <c r="F84" s="85">
        <v>0.25</v>
      </c>
      <c r="G84" s="114">
        <f>(($B$82*(1+C84))+E84)*F84</f>
        <v>0</v>
      </c>
      <c r="H84" s="114">
        <f>(($B$82*(1+C84))+E84+G84)*$H$5</f>
        <v>0</v>
      </c>
      <c r="I84" s="114">
        <f>(($B$82*(1+C84))+E84+G84)*$I$5</f>
        <v>0</v>
      </c>
      <c r="J84" s="114">
        <f>(($B$82*(1+C84))+E84+G84+H84+I84)*$J$5</f>
        <v>0</v>
      </c>
      <c r="K84" s="114">
        <f>$B$82*(1+C84)+E84+G84+H84+I84+J84</f>
        <v>0</v>
      </c>
      <c r="L84" s="102"/>
      <c r="M84" s="214">
        <f>K84/'Исп. коэффициенты'!$F$52</f>
        <v>0</v>
      </c>
      <c r="N84" s="214">
        <f>K84/'Исп. коэффициенты'!$F$53</f>
        <v>0</v>
      </c>
      <c r="O84" s="86"/>
      <c r="P84" s="86"/>
      <c r="Q84" s="86"/>
      <c r="R84" s="86"/>
      <c r="S84" s="86"/>
      <c r="T84" s="214">
        <f>K84/'Исп. коэффициенты'!$F$36</f>
        <v>0</v>
      </c>
      <c r="U84" s="86"/>
      <c r="V84" s="86"/>
      <c r="W84" s="86"/>
      <c r="X84" s="86"/>
      <c r="Y84" s="86"/>
      <c r="Z84" s="86"/>
      <c r="AA84" s="86"/>
      <c r="AB84" s="86"/>
    </row>
    <row r="85" spans="1:28" x14ac:dyDescent="0.25">
      <c r="A85" s="93" t="s">
        <v>1154</v>
      </c>
      <c r="B85" s="89" t="s">
        <v>1188</v>
      </c>
      <c r="C85" s="159">
        <f>$C$5</f>
        <v>0</v>
      </c>
      <c r="D85" s="85">
        <v>0.1</v>
      </c>
      <c r="E85" s="114">
        <f>($B$82*(1+C85))*D85</f>
        <v>0</v>
      </c>
      <c r="F85" s="85">
        <v>0.25</v>
      </c>
      <c r="G85" s="114">
        <f>(($B$82*(1+C85))+E85)*F85</f>
        <v>0</v>
      </c>
      <c r="H85" s="114">
        <f>(($B$82*(1+C85))+E85+G85)*$H$5</f>
        <v>0</v>
      </c>
      <c r="I85" s="114">
        <f>(($B$82*(1+C85))+E85+G85)*$I$5</f>
        <v>0</v>
      </c>
      <c r="J85" s="114">
        <f>(($B$82*(1+C85))+E85+G85+H85+I85)*$J$5</f>
        <v>0</v>
      </c>
      <c r="K85" s="114">
        <f>$B$82*(1+C85)+E85+G85+H85+I85+J85</f>
        <v>0</v>
      </c>
      <c r="L85" s="102"/>
      <c r="M85" s="214">
        <f>K85/'Исп. коэффициенты'!$F$52</f>
        <v>0</v>
      </c>
      <c r="N85" s="214">
        <f>K85/'Исп. коэффициенты'!$F$53</f>
        <v>0</v>
      </c>
      <c r="O85" s="86"/>
      <c r="P85" s="86"/>
      <c r="Q85" s="86"/>
      <c r="R85" s="86"/>
      <c r="S85" s="86"/>
      <c r="T85" s="214">
        <f>K85/'Исп. коэффициенты'!$F$36</f>
        <v>0</v>
      </c>
      <c r="U85" s="86"/>
      <c r="V85" s="86"/>
      <c r="W85" s="86"/>
      <c r="X85" s="86"/>
      <c r="Y85" s="86"/>
      <c r="Z85" s="86"/>
      <c r="AA85" s="86"/>
      <c r="AB85" s="86"/>
    </row>
    <row r="86" spans="1:28" x14ac:dyDescent="0.25">
      <c r="A86" s="96" t="s">
        <v>1153</v>
      </c>
      <c r="B86" s="97" t="s">
        <v>1188</v>
      </c>
      <c r="C86" s="162">
        <f>$C$5</f>
        <v>0</v>
      </c>
      <c r="D86" s="98"/>
      <c r="E86" s="116">
        <f>($B$82*(1+C86))*D86</f>
        <v>0</v>
      </c>
      <c r="F86" s="98">
        <v>0.25</v>
      </c>
      <c r="G86" s="116">
        <f>(($B$82*(1+C86))+E86)*F86</f>
        <v>0</v>
      </c>
      <c r="H86" s="116">
        <f>(($B$82*(1+C86))+E86+G86)*$H$5</f>
        <v>0</v>
      </c>
      <c r="I86" s="116">
        <f>(($B$82*(1+C86))+E86+G86)*$I$5</f>
        <v>0</v>
      </c>
      <c r="J86" s="114">
        <f>(($B$82*(1+C86))+E86+G86+H86+I86)*$J$5</f>
        <v>0</v>
      </c>
      <c r="K86" s="114">
        <f>$B$82*(1+C86)+E86+G86+H86+I86+J86</f>
        <v>0</v>
      </c>
      <c r="L86" s="102"/>
      <c r="M86" s="214">
        <f>K86/'Исп. коэффициенты'!$F$52</f>
        <v>0</v>
      </c>
      <c r="N86" s="214">
        <f>K86/'Исп. коэффициенты'!$F$53</f>
        <v>0</v>
      </c>
      <c r="O86" s="86"/>
      <c r="P86" s="86"/>
      <c r="Q86" s="86"/>
      <c r="R86" s="86"/>
      <c r="S86" s="86"/>
      <c r="T86" s="214">
        <f>K86/'Исп. коэффициенты'!$F$36</f>
        <v>0</v>
      </c>
      <c r="U86" s="86"/>
      <c r="V86" s="86"/>
      <c r="W86" s="86"/>
      <c r="X86" s="86"/>
      <c r="Y86" s="86"/>
      <c r="Z86" s="86"/>
      <c r="AA86" s="86"/>
      <c r="AB86" s="86"/>
    </row>
    <row r="87" spans="1:28" ht="21.75" customHeight="1" x14ac:dyDescent="0.3">
      <c r="A87" s="217" t="s">
        <v>1199</v>
      </c>
      <c r="B87" s="218"/>
      <c r="C87" s="114"/>
      <c r="D87" s="215"/>
      <c r="E87" s="216"/>
      <c r="F87" s="215"/>
      <c r="G87" s="216"/>
      <c r="H87" s="114"/>
      <c r="I87" s="114"/>
      <c r="J87" s="114"/>
      <c r="K87" s="114"/>
      <c r="L87" s="102"/>
      <c r="M87" s="214"/>
      <c r="N87" s="214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</row>
    <row r="88" spans="1:28" ht="17.25" customHeight="1" x14ac:dyDescent="0.25">
      <c r="A88" s="91" t="s">
        <v>1002</v>
      </c>
      <c r="B88" s="172"/>
      <c r="C88" s="114"/>
      <c r="D88" s="95"/>
      <c r="E88" s="115"/>
      <c r="F88" s="95"/>
      <c r="G88" s="115"/>
      <c r="H88" s="114"/>
      <c r="I88" s="114"/>
      <c r="J88" s="114"/>
      <c r="K88" s="114"/>
      <c r="L88" s="102"/>
      <c r="M88" s="214"/>
      <c r="N88" s="214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</row>
    <row r="89" spans="1:28" ht="17.25" customHeight="1" x14ac:dyDescent="0.25">
      <c r="A89" s="93" t="s">
        <v>1151</v>
      </c>
      <c r="B89" s="174" t="s">
        <v>1188</v>
      </c>
      <c r="C89" s="159">
        <f>$C$5</f>
        <v>0</v>
      </c>
      <c r="D89" s="85">
        <v>0.2</v>
      </c>
      <c r="E89" s="114">
        <f>($B$88*(1+C89))*D89</f>
        <v>0</v>
      </c>
      <c r="F89" s="85"/>
      <c r="G89" s="114">
        <f>(($B$88*(1+C89))+E89)*F89</f>
        <v>0</v>
      </c>
      <c r="H89" s="114">
        <f>(($B$88*(1+C89))+E89+G89)*$H$5</f>
        <v>0</v>
      </c>
      <c r="I89" s="114">
        <f>(($B$88*(1+C89))+E89+G89)*$I$5</f>
        <v>0</v>
      </c>
      <c r="J89" s="114">
        <f>(($B$88*(1+C89))+E89+G89+H89+I89)*$J$5</f>
        <v>0</v>
      </c>
      <c r="K89" s="114">
        <f>$B$88*(1+C89)+E89+G89+H89+I89+J89</f>
        <v>0</v>
      </c>
      <c r="L89" s="102"/>
      <c r="M89" s="214">
        <f>K89/'Исп. коэффициенты'!$F$52</f>
        <v>0</v>
      </c>
      <c r="N89" s="214">
        <f>K89/'Исп. коэффициенты'!$F$53</f>
        <v>0</v>
      </c>
      <c r="O89" s="86"/>
      <c r="P89" s="86"/>
      <c r="Q89" s="86"/>
      <c r="R89" s="86"/>
      <c r="S89" s="86"/>
      <c r="T89" s="86"/>
      <c r="U89" s="86"/>
      <c r="V89" s="86"/>
      <c r="W89" s="214">
        <f>K89/'Исп. коэффициенты'!$F$38</f>
        <v>0</v>
      </c>
      <c r="X89" s="86"/>
      <c r="Y89" s="86"/>
      <c r="Z89" s="86"/>
      <c r="AA89" s="86"/>
      <c r="AB89" s="86"/>
    </row>
    <row r="90" spans="1:28" ht="17.25" customHeight="1" x14ac:dyDescent="0.25">
      <c r="A90" s="93" t="s">
        <v>1152</v>
      </c>
      <c r="B90" s="89" t="s">
        <v>1188</v>
      </c>
      <c r="C90" s="159">
        <f>$C$5</f>
        <v>0</v>
      </c>
      <c r="D90" s="85">
        <v>0.15</v>
      </c>
      <c r="E90" s="114">
        <f>($B$88*(1+C90))*D90</f>
        <v>0</v>
      </c>
      <c r="F90" s="85"/>
      <c r="G90" s="114">
        <f>(($B$88*(1+C90))+E90)*F90</f>
        <v>0</v>
      </c>
      <c r="H90" s="114">
        <f>(($B$88*(1+C90))+E90+G90)*$H$5</f>
        <v>0</v>
      </c>
      <c r="I90" s="114">
        <f>(($B$88*(1+C90))+E90+G90)*$I$5</f>
        <v>0</v>
      </c>
      <c r="J90" s="114">
        <f>(($B$88*(1+C90))+E90+G90+H90+I90)*$J$5</f>
        <v>0</v>
      </c>
      <c r="K90" s="114">
        <f>$B$88*(1+C90)+E90+G90+H90+I90+J90</f>
        <v>0</v>
      </c>
      <c r="L90" s="102"/>
      <c r="M90" s="214">
        <f>K90/'Исп. коэффициенты'!$F$52</f>
        <v>0</v>
      </c>
      <c r="N90" s="214">
        <f>K90/'Исп. коэффициенты'!$F$53</f>
        <v>0</v>
      </c>
      <c r="O90" s="86"/>
      <c r="P90" s="86"/>
      <c r="Q90" s="86"/>
      <c r="R90" s="86"/>
      <c r="S90" s="86"/>
      <c r="T90" s="86"/>
      <c r="U90" s="86"/>
      <c r="V90" s="86"/>
      <c r="W90" s="214">
        <f>K90/'Исп. коэффициенты'!$F$38</f>
        <v>0</v>
      </c>
      <c r="X90" s="86"/>
      <c r="Y90" s="86"/>
      <c r="Z90" s="86"/>
      <c r="AA90" s="86"/>
      <c r="AB90" s="86"/>
    </row>
    <row r="91" spans="1:28" ht="17.25" customHeight="1" x14ac:dyDescent="0.25">
      <c r="A91" s="93" t="s">
        <v>1154</v>
      </c>
      <c r="B91" s="89" t="s">
        <v>1188</v>
      </c>
      <c r="C91" s="159">
        <f>$C$5</f>
        <v>0</v>
      </c>
      <c r="D91" s="85">
        <v>0.1</v>
      </c>
      <c r="E91" s="114">
        <f>($B$88*(1+C91))*D91</f>
        <v>0</v>
      </c>
      <c r="F91" s="85"/>
      <c r="G91" s="114">
        <f>(($B$88*(1+C91))+E91)*F91</f>
        <v>0</v>
      </c>
      <c r="H91" s="114">
        <f>(($B$88*(1+C91))+E91+G91)*$H$5</f>
        <v>0</v>
      </c>
      <c r="I91" s="114">
        <f>(($B$88*(1+C91))+E91+G91)*$I$5</f>
        <v>0</v>
      </c>
      <c r="J91" s="114">
        <f>(($B$88*(1+C91))+E91+G91+H91+I91)*$J$5</f>
        <v>0</v>
      </c>
      <c r="K91" s="114">
        <f>$B$88*(1+C91)+E91+G91+H91+I91+J91</f>
        <v>0</v>
      </c>
      <c r="L91" s="102"/>
      <c r="M91" s="214">
        <f>K91/'Исп. коэффициенты'!$F$52</f>
        <v>0</v>
      </c>
      <c r="N91" s="214">
        <f>K91/'Исп. коэффициенты'!$F$53</f>
        <v>0</v>
      </c>
      <c r="O91" s="86"/>
      <c r="P91" s="86"/>
      <c r="Q91" s="86"/>
      <c r="R91" s="86"/>
      <c r="S91" s="86"/>
      <c r="T91" s="86"/>
      <c r="U91" s="86"/>
      <c r="V91" s="86"/>
      <c r="W91" s="214">
        <f>K91/'Исп. коэффициенты'!$F$38</f>
        <v>0</v>
      </c>
      <c r="X91" s="86"/>
      <c r="Y91" s="86"/>
      <c r="Z91" s="86"/>
      <c r="AA91" s="86"/>
      <c r="AB91" s="86"/>
    </row>
    <row r="92" spans="1:28" ht="17.25" customHeight="1" x14ac:dyDescent="0.25">
      <c r="A92" s="94" t="s">
        <v>1153</v>
      </c>
      <c r="B92" s="89" t="s">
        <v>1188</v>
      </c>
      <c r="C92" s="159">
        <f>$C$5</f>
        <v>0</v>
      </c>
      <c r="D92" s="85"/>
      <c r="E92" s="114">
        <f>($B$88*(1+C92))*D92</f>
        <v>0</v>
      </c>
      <c r="F92" s="85"/>
      <c r="G92" s="114">
        <f>(($B$88*(1+C92))+E92)*F92</f>
        <v>0</v>
      </c>
      <c r="H92" s="114">
        <f>(($B$88*(1+C92))+E92+G92)*$H$5</f>
        <v>0</v>
      </c>
      <c r="I92" s="114">
        <f>(($B$88*(1+C92))+E92+G92)*$I$5</f>
        <v>0</v>
      </c>
      <c r="J92" s="114">
        <f>(($B$88*(1+C92))+E92+G92+H92+I92)*$J$5</f>
        <v>0</v>
      </c>
      <c r="K92" s="114">
        <f>$B$88*(1+C92)+E92+G92+H92+I92+J92</f>
        <v>0</v>
      </c>
      <c r="L92" s="102"/>
      <c r="M92" s="214">
        <f>K92/'Исп. коэффициенты'!$F$52</f>
        <v>0</v>
      </c>
      <c r="N92" s="214">
        <f>K92/'Исп. коэффициенты'!$F$53</f>
        <v>0</v>
      </c>
      <c r="O92" s="86"/>
      <c r="P92" s="86"/>
      <c r="Q92" s="86"/>
      <c r="R92" s="86"/>
      <c r="S92" s="86"/>
      <c r="T92" s="86"/>
      <c r="U92" s="86"/>
      <c r="V92" s="86"/>
      <c r="W92" s="214">
        <f>K92/'Исп. коэффициенты'!$F$38</f>
        <v>0</v>
      </c>
      <c r="X92" s="86"/>
      <c r="Y92" s="86"/>
      <c r="Z92" s="86"/>
      <c r="AA92" s="86"/>
      <c r="AB92" s="86"/>
    </row>
    <row r="93" spans="1:28" ht="48" customHeight="1" x14ac:dyDescent="0.25">
      <c r="A93" s="99" t="s">
        <v>773</v>
      </c>
      <c r="B93" s="173">
        <v>9404</v>
      </c>
      <c r="C93" s="119"/>
      <c r="D93" s="100"/>
      <c r="E93" s="117"/>
      <c r="F93" s="100"/>
      <c r="G93" s="117"/>
      <c r="H93" s="119"/>
      <c r="I93" s="119"/>
      <c r="J93" s="119"/>
      <c r="K93" s="119"/>
      <c r="L93" s="102"/>
      <c r="M93" s="214"/>
      <c r="N93" s="214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</row>
    <row r="94" spans="1:28" ht="13.5" customHeight="1" x14ac:dyDescent="0.25">
      <c r="A94" s="93" t="s">
        <v>1151</v>
      </c>
      <c r="B94" s="89" t="s">
        <v>1188</v>
      </c>
      <c r="C94" s="159">
        <f>$C$5</f>
        <v>0</v>
      </c>
      <c r="D94" s="85">
        <v>0.2</v>
      </c>
      <c r="E94" s="114">
        <f>($B$93*(1+C94))*D94</f>
        <v>1880.8000000000002</v>
      </c>
      <c r="F94" s="85"/>
      <c r="G94" s="114">
        <f>(($B$93*(1+C94))+E94)*F94</f>
        <v>0</v>
      </c>
      <c r="H94" s="114">
        <f>(($B$93*(1+C94))+E94+G94)*$H$5</f>
        <v>3385.4399999999996</v>
      </c>
      <c r="I94" s="114">
        <f>(($B$93*(1+C94))+E94+G94)*$I$5</f>
        <v>3385.4399999999996</v>
      </c>
      <c r="J94" s="114">
        <f>(($B$93*(1+C94))+E94+G94+H94+I94)*$J$5</f>
        <v>2628.7370899065641</v>
      </c>
      <c r="K94" s="114">
        <f>$B$93*(1+C94)+E94+G94+H94+I94+J94</f>
        <v>20684.417089906561</v>
      </c>
      <c r="L94" s="102"/>
      <c r="M94" s="214">
        <f>K94/'Исп. коэффициенты'!$F$52</f>
        <v>23.394911799665778</v>
      </c>
      <c r="N94" s="214">
        <f>K94/'Исп. коэффициенты'!$F$53</f>
        <v>25.347795512837742</v>
      </c>
      <c r="O94" s="86"/>
      <c r="P94" s="86"/>
      <c r="Q94" s="86"/>
      <c r="R94" s="86"/>
      <c r="S94" s="86"/>
      <c r="T94" s="86"/>
      <c r="U94" s="86"/>
      <c r="V94" s="214">
        <f>K94/'Исп. коэффициенты'!$F$28</f>
        <v>27.72483732883812</v>
      </c>
      <c r="W94" s="214">
        <f>K94/'Исп. коэффициенты'!$F$38</f>
        <v>27.72483732883812</v>
      </c>
      <c r="X94" s="86"/>
      <c r="Y94" s="86"/>
      <c r="Z94" s="86"/>
      <c r="AA94" s="86"/>
      <c r="AB94" s="86"/>
    </row>
    <row r="95" spans="1:28" ht="13.5" customHeight="1" x14ac:dyDescent="0.25">
      <c r="A95" s="93" t="s">
        <v>1152</v>
      </c>
      <c r="B95" s="89" t="s">
        <v>1188</v>
      </c>
      <c r="C95" s="159">
        <f>$C$5</f>
        <v>0</v>
      </c>
      <c r="D95" s="85">
        <v>0.15</v>
      </c>
      <c r="E95" s="114">
        <f>($B$93*(1+C95))*D95</f>
        <v>1410.6</v>
      </c>
      <c r="F95" s="85"/>
      <c r="G95" s="114">
        <f>(($B$93*(1+C95))+E95)*F95</f>
        <v>0</v>
      </c>
      <c r="H95" s="114">
        <f>(($B$93*(1+C95))+E95+G95)*$H$5</f>
        <v>3244.38</v>
      </c>
      <c r="I95" s="114">
        <f>(($B$93*(1+C95))+E95+G95)*$I$5</f>
        <v>3244.38</v>
      </c>
      <c r="J95" s="114">
        <f>(($B$93*(1+C95))+E95+G95+H95+I95)*$J$5</f>
        <v>2519.2063778271245</v>
      </c>
      <c r="K95" s="114">
        <f>$B$93*(1+C95)+E95+G95+H95+I95+J95</f>
        <v>19822.566377827126</v>
      </c>
      <c r="L95" s="102"/>
      <c r="M95" s="214">
        <f>K95/'Исп. коэффициенты'!$F$52</f>
        <v>22.420123808013045</v>
      </c>
      <c r="N95" s="214">
        <f>K95/'Исп. коэффициенты'!$F$53</f>
        <v>24.291637366469509</v>
      </c>
      <c r="O95" s="86"/>
      <c r="P95" s="86"/>
      <c r="Q95" s="86"/>
      <c r="R95" s="86"/>
      <c r="S95" s="86"/>
      <c r="T95" s="86"/>
      <c r="U95" s="86"/>
      <c r="V95" s="214">
        <f>K95/'Исп. коэффициенты'!$F$28</f>
        <v>26.569635773469869</v>
      </c>
      <c r="W95" s="214">
        <f>K95/'Исп. коэффициенты'!$F$38</f>
        <v>26.569635773469869</v>
      </c>
      <c r="X95" s="86"/>
      <c r="Y95" s="86"/>
      <c r="Z95" s="86"/>
      <c r="AA95" s="86"/>
      <c r="AB95" s="86"/>
    </row>
    <row r="96" spans="1:28" ht="13.5" customHeight="1" x14ac:dyDescent="0.25">
      <c r="A96" s="93" t="s">
        <v>1154</v>
      </c>
      <c r="B96" s="89" t="s">
        <v>1188</v>
      </c>
      <c r="C96" s="159">
        <f>$C$5</f>
        <v>0</v>
      </c>
      <c r="D96" s="85">
        <v>0.1</v>
      </c>
      <c r="E96" s="114">
        <f>($B$93*(1+C96))*D96</f>
        <v>940.40000000000009</v>
      </c>
      <c r="F96" s="85"/>
      <c r="G96" s="114">
        <f>(($B$93*(1+C96))+E96)*F96</f>
        <v>0</v>
      </c>
      <c r="H96" s="114">
        <f>(($B$93*(1+C96))+E96+G96)*$H$5</f>
        <v>3103.3199999999997</v>
      </c>
      <c r="I96" s="114">
        <f>(($B$93*(1+C96))+E96+G96)*$I$5</f>
        <v>3103.3199999999997</v>
      </c>
      <c r="J96" s="114">
        <f>(($B$93*(1+C96))+E96+G96+H96+I96)*$J$5</f>
        <v>2409.675665747684</v>
      </c>
      <c r="K96" s="114">
        <f>$B$93*(1+C96)+E96+G96+H96+I96+J96</f>
        <v>18960.715665747684</v>
      </c>
      <c r="L96" s="102"/>
      <c r="M96" s="214">
        <f>K96/'Исп. коэффициенты'!$F$52</f>
        <v>21.445335816360302</v>
      </c>
      <c r="N96" s="214">
        <f>K96/'Исп. коэффициенты'!$F$53</f>
        <v>23.235479220101269</v>
      </c>
      <c r="O96" s="86"/>
      <c r="P96" s="86"/>
      <c r="Q96" s="86"/>
      <c r="R96" s="86"/>
      <c r="S96" s="86"/>
      <c r="T96" s="86"/>
      <c r="U96" s="86"/>
      <c r="V96" s="214">
        <f>K96/'Исп. коэффициенты'!$F$28</f>
        <v>25.414434218101611</v>
      </c>
      <c r="W96" s="214">
        <f>K96/'Исп. коэффициенты'!$F$38</f>
        <v>25.414434218101611</v>
      </c>
      <c r="X96" s="86"/>
      <c r="Y96" s="86"/>
      <c r="Z96" s="86"/>
      <c r="AA96" s="86"/>
      <c r="AB96" s="86"/>
    </row>
    <row r="97" spans="1:28" ht="13.5" customHeight="1" x14ac:dyDescent="0.25">
      <c r="A97" s="94" t="s">
        <v>1153</v>
      </c>
      <c r="B97" s="89" t="s">
        <v>1188</v>
      </c>
      <c r="C97" s="159">
        <f>$C$5</f>
        <v>0</v>
      </c>
      <c r="D97" s="85"/>
      <c r="E97" s="114">
        <f>($B$93*(1+C97))*D97</f>
        <v>0</v>
      </c>
      <c r="F97" s="85"/>
      <c r="G97" s="114">
        <f>(($B$93*(1+C97))+E97)*F97</f>
        <v>0</v>
      </c>
      <c r="H97" s="114">
        <f>(($B$93*(1+C97))+E97+G97)*$H$5</f>
        <v>2821.2</v>
      </c>
      <c r="I97" s="114">
        <f>(($B$93*(1+C97))+E97+G97)*$I$5</f>
        <v>2821.2</v>
      </c>
      <c r="J97" s="114">
        <f>(($B$93*(1+C97))+E97+G97+H97+I97)*$J$5</f>
        <v>2190.6142415888039</v>
      </c>
      <c r="K97" s="114">
        <f>$B$93*(1+C97)+E97+G97+H97+I97+J97</f>
        <v>17237.014241588804</v>
      </c>
      <c r="L97" s="102"/>
      <c r="M97" s="214">
        <f>K97/'Исп. коэффициенты'!$F$52</f>
        <v>19.495759833054819</v>
      </c>
      <c r="N97" s="214">
        <f>K97/'Исп. коэффициенты'!$F$53</f>
        <v>21.123162927364788</v>
      </c>
      <c r="O97" s="86"/>
      <c r="P97" s="86"/>
      <c r="Q97" s="86"/>
      <c r="R97" s="86"/>
      <c r="S97" s="86"/>
      <c r="T97" s="86"/>
      <c r="U97" s="86"/>
      <c r="V97" s="214">
        <f>K97/'Исп. коэффициенты'!$F$28</f>
        <v>23.104031107365103</v>
      </c>
      <c r="W97" s="214">
        <f>K97/'Исп. коэффициенты'!$F$38</f>
        <v>23.104031107365103</v>
      </c>
      <c r="X97" s="86"/>
      <c r="Y97" s="86"/>
      <c r="Z97" s="86"/>
      <c r="AA97" s="86"/>
      <c r="AB97" s="86"/>
    </row>
    <row r="98" spans="1:28" ht="121.5" customHeight="1" x14ac:dyDescent="0.25">
      <c r="A98" s="91" t="s">
        <v>1203</v>
      </c>
      <c r="B98" s="172">
        <v>9404</v>
      </c>
      <c r="C98" s="114"/>
      <c r="D98" s="95"/>
      <c r="E98" s="115"/>
      <c r="F98" s="95"/>
      <c r="G98" s="115"/>
      <c r="H98" s="114"/>
      <c r="I98" s="114"/>
      <c r="J98" s="114"/>
      <c r="K98" s="114"/>
      <c r="L98" s="102"/>
      <c r="M98" s="214"/>
      <c r="N98" s="214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</row>
    <row r="99" spans="1:28" ht="15.75" customHeight="1" x14ac:dyDescent="0.25">
      <c r="A99" s="93" t="s">
        <v>1151</v>
      </c>
      <c r="B99" s="89" t="s">
        <v>1188</v>
      </c>
      <c r="C99" s="159">
        <f>$C$5</f>
        <v>0</v>
      </c>
      <c r="D99" s="85">
        <v>0.2</v>
      </c>
      <c r="E99" s="114">
        <f>($B$98*(1+C99))*D99</f>
        <v>1880.8000000000002</v>
      </c>
      <c r="F99" s="85">
        <v>0.15</v>
      </c>
      <c r="G99" s="114">
        <f>(($B$98*(1+C99))+E99)*F99</f>
        <v>1692.7199999999998</v>
      </c>
      <c r="H99" s="114">
        <f>(($B$98*(1+C99))+E99+G99)*$H$5</f>
        <v>3893.2559999999994</v>
      </c>
      <c r="I99" s="114">
        <f>(($B$98*(1+C99))+E99+G99)*$I$5</f>
        <v>3893.2559999999994</v>
      </c>
      <c r="J99" s="114">
        <f>(($B$98*(1+C99))+E99+G99+H99+I99)*$J$5</f>
        <v>3023.0476533925489</v>
      </c>
      <c r="K99" s="114">
        <f>$B$98*(1+C99)+E99+G99+H99+I99+J99</f>
        <v>23787.07965339255</v>
      </c>
      <c r="L99" s="102"/>
      <c r="M99" s="214">
        <f>K99/'Исп. коэффициенты'!$F$52</f>
        <v>26.90414856961565</v>
      </c>
      <c r="N99" s="214">
        <f>K99/'Исп. коэффициенты'!$F$53</f>
        <v>29.14996483976341</v>
      </c>
      <c r="O99" s="86"/>
      <c r="P99" s="214">
        <f>K99/'Исп. коэффициенты'!$F$47</f>
        <v>29.216057039830893</v>
      </c>
      <c r="Q99" s="86"/>
      <c r="R99" s="86"/>
      <c r="S99" s="214">
        <f>K99/'Исп. коэффициенты'!$F$47</f>
        <v>29.216057039830893</v>
      </c>
      <c r="T99" s="86"/>
      <c r="U99" s="214">
        <f>K99/'Исп. коэффициенты'!$F$47</f>
        <v>29.216057039830893</v>
      </c>
      <c r="V99" s="86"/>
      <c r="W99" s="86"/>
      <c r="X99" s="214">
        <f>K99/'Исп. коэффициенты'!$F$44</f>
        <v>34.621798332582621</v>
      </c>
      <c r="Y99" s="214">
        <f>K99/'Исп. коэффициенты'!$F$31</f>
        <v>35.983782850605166</v>
      </c>
      <c r="Z99" s="86"/>
      <c r="AA99" s="86"/>
      <c r="AB99" s="86"/>
    </row>
    <row r="100" spans="1:28" ht="15.75" customHeight="1" x14ac:dyDescent="0.25">
      <c r="A100" s="93" t="s">
        <v>1152</v>
      </c>
      <c r="B100" s="89" t="s">
        <v>1188</v>
      </c>
      <c r="C100" s="159">
        <f>$C$5</f>
        <v>0</v>
      </c>
      <c r="D100" s="85">
        <v>0.15</v>
      </c>
      <c r="E100" s="114">
        <f>($B$98*(1+C100))*D100</f>
        <v>1410.6</v>
      </c>
      <c r="F100" s="85">
        <v>0.15</v>
      </c>
      <c r="G100" s="114">
        <f>(($B$98*(1+C100))+E100)*F100</f>
        <v>1622.19</v>
      </c>
      <c r="H100" s="114">
        <f>(($B$98*(1+C100))+E100+G100)*$H$5</f>
        <v>3731.0370000000003</v>
      </c>
      <c r="I100" s="114">
        <f>(($B$98*(1+C100))+E100+G100)*$I$5</f>
        <v>3731.0370000000003</v>
      </c>
      <c r="J100" s="114">
        <f>(($B$98*(1+C100))+E100+G100+H100+I100)*$J$5</f>
        <v>2897.0873345011928</v>
      </c>
      <c r="K100" s="114">
        <f>$B$98*(1+C100)+E100+G100+H100+I100+J100</f>
        <v>22795.951334501195</v>
      </c>
      <c r="L100" s="102"/>
      <c r="M100" s="214">
        <f>K100/'Исп. коэффициенты'!$F$52</f>
        <v>25.783142379215001</v>
      </c>
      <c r="N100" s="214">
        <f>K100/'Исп. коэффициенты'!$F$53</f>
        <v>27.935382971439935</v>
      </c>
      <c r="O100" s="86"/>
      <c r="P100" s="214">
        <f>K100/'Исп. коэффициенты'!$F$47</f>
        <v>27.998721329837942</v>
      </c>
      <c r="Q100" s="86"/>
      <c r="R100" s="86"/>
      <c r="S100" s="214">
        <f>K100/'Исп. коэффициенты'!$F$47</f>
        <v>27.998721329837942</v>
      </c>
      <c r="T100" s="86"/>
      <c r="U100" s="214">
        <f>K100/'Исп. коэффициенты'!$F$47</f>
        <v>27.998721329837942</v>
      </c>
      <c r="V100" s="86"/>
      <c r="W100" s="86"/>
      <c r="X100" s="214">
        <f>K100/'Исп. коэффициенты'!$F$44</f>
        <v>33.179223402058348</v>
      </c>
      <c r="Y100" s="214">
        <f>K100/'Исп. коэффициенты'!$F$31</f>
        <v>34.484458565163287</v>
      </c>
      <c r="Z100" s="86"/>
      <c r="AA100" s="86"/>
      <c r="AB100" s="86"/>
    </row>
    <row r="101" spans="1:28" ht="15.75" customHeight="1" x14ac:dyDescent="0.25">
      <c r="A101" s="93" t="s">
        <v>1154</v>
      </c>
      <c r="B101" s="89" t="s">
        <v>1188</v>
      </c>
      <c r="C101" s="159">
        <f>$C$5</f>
        <v>0</v>
      </c>
      <c r="D101" s="85">
        <v>0.1</v>
      </c>
      <c r="E101" s="114">
        <f>($B$98*(1+C101))*D101</f>
        <v>940.40000000000009</v>
      </c>
      <c r="F101" s="85">
        <v>0.15</v>
      </c>
      <c r="G101" s="114">
        <f>(($B$98*(1+C101))+E101)*F101</f>
        <v>1551.6599999999999</v>
      </c>
      <c r="H101" s="114">
        <f>(($B$98*(1+C101))+E101+G101)*$H$5</f>
        <v>3568.8179999999998</v>
      </c>
      <c r="I101" s="114">
        <f>(($B$98*(1+C101))+E101+G101)*$I$5</f>
        <v>3568.8179999999998</v>
      </c>
      <c r="J101" s="114">
        <f>(($B$98*(1+C101))+E101+G101+H101+I101)*$J$5</f>
        <v>2771.1270156098367</v>
      </c>
      <c r="K101" s="114">
        <f>$B$98*(1+C101)+E101+G101+H101+I101+J101</f>
        <v>21804.823015609836</v>
      </c>
      <c r="L101" s="102"/>
      <c r="M101" s="214">
        <f>K101/'Исп. коэффициенты'!$F$52</f>
        <v>24.662136188814344</v>
      </c>
      <c r="N101" s="214">
        <f>K101/'Исп. коэффициенты'!$F$53</f>
        <v>26.720801103116457</v>
      </c>
      <c r="O101" s="86"/>
      <c r="P101" s="214">
        <f>K101/'Исп. коэффициенты'!$F$47</f>
        <v>26.781385619844983</v>
      </c>
      <c r="Q101" s="86"/>
      <c r="R101" s="86"/>
      <c r="S101" s="214">
        <f>K101/'Исп. коэффициенты'!$F$47</f>
        <v>26.781385619844983</v>
      </c>
      <c r="T101" s="86"/>
      <c r="U101" s="214">
        <f>K101/'Исп. коэффициенты'!$F$47</f>
        <v>26.781385619844983</v>
      </c>
      <c r="V101" s="86"/>
      <c r="W101" s="86"/>
      <c r="X101" s="214">
        <f>K101/'Исп. коэффициенты'!$F$44</f>
        <v>31.736648471534068</v>
      </c>
      <c r="Y101" s="214">
        <f>K101/'Исп. коэффициенты'!$F$31</f>
        <v>32.9851342797214</v>
      </c>
      <c r="Z101" s="86"/>
      <c r="AA101" s="86"/>
      <c r="AB101" s="86"/>
    </row>
    <row r="102" spans="1:28" ht="15.75" customHeight="1" x14ac:dyDescent="0.25">
      <c r="A102" s="94" t="s">
        <v>1153</v>
      </c>
      <c r="B102" s="89" t="s">
        <v>1188</v>
      </c>
      <c r="C102" s="159">
        <f>$C$5</f>
        <v>0</v>
      </c>
      <c r="D102" s="85"/>
      <c r="E102" s="114">
        <f>($B$98*(1+C102))*D102</f>
        <v>0</v>
      </c>
      <c r="F102" s="85">
        <v>0.15</v>
      </c>
      <c r="G102" s="114">
        <f>(($B$98*(1+C102))+E102)*F102</f>
        <v>1410.6</v>
      </c>
      <c r="H102" s="114">
        <f>(($B$98*(1+C102))+E102+G102)*$H$5</f>
        <v>3244.38</v>
      </c>
      <c r="I102" s="114">
        <f>(($B$98*(1+C102))+E102+G102)*$I$5</f>
        <v>3244.38</v>
      </c>
      <c r="J102" s="114">
        <f>(($B$98*(1+C102))+E102+G102+H102+I102)*$J$5</f>
        <v>2519.2063778271245</v>
      </c>
      <c r="K102" s="114">
        <f>$B$98*(1+C102)+E102+G102+H102+I102+J102</f>
        <v>19822.566377827126</v>
      </c>
      <c r="L102" s="102"/>
      <c r="M102" s="214">
        <f>K102/'Исп. коэффициенты'!$F$52</f>
        <v>22.420123808013045</v>
      </c>
      <c r="N102" s="214">
        <f>K102/'Исп. коэффициенты'!$F$53</f>
        <v>24.291637366469509</v>
      </c>
      <c r="O102" s="86"/>
      <c r="P102" s="214">
        <f>K102/'Исп. коэффициенты'!$F$47</f>
        <v>24.346714199859079</v>
      </c>
      <c r="Q102" s="86"/>
      <c r="R102" s="86"/>
      <c r="S102" s="214">
        <f>K102/'Исп. коэффициенты'!$F$47</f>
        <v>24.346714199859079</v>
      </c>
      <c r="T102" s="86"/>
      <c r="U102" s="214">
        <f>K102/'Исп. коэффициенты'!$F$47</f>
        <v>24.346714199859079</v>
      </c>
      <c r="V102" s="86"/>
      <c r="W102" s="86"/>
      <c r="X102" s="214">
        <f>K102/'Исп. коэффициенты'!$F$44</f>
        <v>28.851498610485518</v>
      </c>
      <c r="Y102" s="214">
        <f>K102/'Исп. коэффициенты'!$F$31</f>
        <v>29.986485708837645</v>
      </c>
      <c r="Z102" s="86"/>
      <c r="AA102" s="86"/>
      <c r="AB102" s="86"/>
    </row>
    <row r="103" spans="1:28" ht="90.75" customHeight="1" x14ac:dyDescent="0.25">
      <c r="A103" s="91" t="s">
        <v>1204</v>
      </c>
      <c r="B103" s="172"/>
      <c r="C103" s="114"/>
      <c r="D103" s="95"/>
      <c r="E103" s="115"/>
      <c r="F103" s="95"/>
      <c r="G103" s="115"/>
      <c r="H103" s="114"/>
      <c r="I103" s="114"/>
      <c r="J103" s="114"/>
      <c r="K103" s="114"/>
      <c r="L103" s="102"/>
      <c r="M103" s="214"/>
      <c r="N103" s="214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</row>
    <row r="104" spans="1:28" ht="15.75" customHeight="1" x14ac:dyDescent="0.25">
      <c r="A104" s="93" t="s">
        <v>1151</v>
      </c>
      <c r="B104" s="89" t="s">
        <v>1188</v>
      </c>
      <c r="C104" s="159">
        <f>$C$5</f>
        <v>0</v>
      </c>
      <c r="D104" s="85">
        <v>0.2</v>
      </c>
      <c r="E104" s="114">
        <f>($B$103*(1+C104))*D104</f>
        <v>0</v>
      </c>
      <c r="F104" s="85">
        <v>0.25</v>
      </c>
      <c r="G104" s="114">
        <f>(($B$103*(1+C104))+E104)*F104</f>
        <v>0</v>
      </c>
      <c r="H104" s="114">
        <f>(($B$103*(1+C104))+E104+G104)*$H$5</f>
        <v>0</v>
      </c>
      <c r="I104" s="114">
        <f>(($B$103*(1+C104))+E104+G104)*$I$5</f>
        <v>0</v>
      </c>
      <c r="J104" s="114">
        <f>(($B$103*(1+C104))+E104+G104+H104+I104)*$J$5</f>
        <v>0</v>
      </c>
      <c r="K104" s="114">
        <f>$B$103*(1+C104)+E104+G104+H104+I104+J104</f>
        <v>0</v>
      </c>
      <c r="L104" s="102"/>
      <c r="M104" s="214">
        <f>K104/'Исп. коэффициенты'!$F$52</f>
        <v>0</v>
      </c>
      <c r="N104" s="214">
        <f>K104/'Исп. коэффициенты'!$F$53</f>
        <v>0</v>
      </c>
      <c r="O104" s="86"/>
      <c r="P104" s="86"/>
      <c r="Q104" s="86"/>
      <c r="R104" s="86"/>
      <c r="S104" s="86"/>
      <c r="T104" s="214">
        <f>K104/'Исп. коэффициенты'!$F$47</f>
        <v>0</v>
      </c>
      <c r="U104" s="86"/>
      <c r="V104" s="86"/>
      <c r="W104" s="86"/>
      <c r="X104" s="86"/>
      <c r="Y104" s="86"/>
      <c r="Z104" s="214">
        <f>K104/'Исп. коэффициенты'!$F$31</f>
        <v>0</v>
      </c>
      <c r="AA104" s="86"/>
      <c r="AB104" s="86"/>
    </row>
    <row r="105" spans="1:28" ht="15.75" customHeight="1" x14ac:dyDescent="0.25">
      <c r="A105" s="93" t="s">
        <v>1152</v>
      </c>
      <c r="B105" s="89" t="s">
        <v>1188</v>
      </c>
      <c r="C105" s="159">
        <f>$C$5</f>
        <v>0</v>
      </c>
      <c r="D105" s="85">
        <v>0.15</v>
      </c>
      <c r="E105" s="114">
        <f>($B$103*(1+C105))*D105</f>
        <v>0</v>
      </c>
      <c r="F105" s="85">
        <v>0.25</v>
      </c>
      <c r="G105" s="114">
        <f>(($B$103*(1+C105))+E105)*F105</f>
        <v>0</v>
      </c>
      <c r="H105" s="114">
        <f>(($B$103*(1+C105))+E105+G105)*$H$5</f>
        <v>0</v>
      </c>
      <c r="I105" s="114">
        <f>(($B$103*(1+C105))+E105+G105)*$I$5</f>
        <v>0</v>
      </c>
      <c r="J105" s="114">
        <f>(($B$103*(1+C105))+E105+G105+H105+I105)*$J$5</f>
        <v>0</v>
      </c>
      <c r="K105" s="114">
        <f>$B$103*(1+C105)+E105+G105+H105+I105+J105</f>
        <v>0</v>
      </c>
      <c r="L105" s="102"/>
      <c r="M105" s="214">
        <f>K105/'Исп. коэффициенты'!$F$52</f>
        <v>0</v>
      </c>
      <c r="N105" s="214">
        <f>K105/'Исп. коэффициенты'!$F$53</f>
        <v>0</v>
      </c>
      <c r="O105" s="86"/>
      <c r="P105" s="86"/>
      <c r="Q105" s="86"/>
      <c r="R105" s="86"/>
      <c r="S105" s="86"/>
      <c r="T105" s="214">
        <f>K105/'Исп. коэффициенты'!$F$47</f>
        <v>0</v>
      </c>
      <c r="U105" s="86"/>
      <c r="V105" s="86"/>
      <c r="W105" s="86"/>
      <c r="X105" s="86"/>
      <c r="Y105" s="86"/>
      <c r="Z105" s="214">
        <f>K105/'Исп. коэффициенты'!$F$31</f>
        <v>0</v>
      </c>
      <c r="AA105" s="86"/>
      <c r="AB105" s="86"/>
    </row>
    <row r="106" spans="1:28" ht="15.75" customHeight="1" x14ac:dyDescent="0.25">
      <c r="A106" s="93" t="s">
        <v>1154</v>
      </c>
      <c r="B106" s="89" t="s">
        <v>1188</v>
      </c>
      <c r="C106" s="159">
        <f>$C$5</f>
        <v>0</v>
      </c>
      <c r="D106" s="85">
        <v>0.1</v>
      </c>
      <c r="E106" s="114">
        <f>($B$103*(1+C106))*D106</f>
        <v>0</v>
      </c>
      <c r="F106" s="85">
        <v>0.25</v>
      </c>
      <c r="G106" s="114">
        <f>(($B$103*(1+C106))+E106)*F106</f>
        <v>0</v>
      </c>
      <c r="H106" s="114">
        <f>(($B$103*(1+C106))+E106+G106)*$H$5</f>
        <v>0</v>
      </c>
      <c r="I106" s="114">
        <f>(($B$103*(1+C106))+E106+G106)*$I$5</f>
        <v>0</v>
      </c>
      <c r="J106" s="114">
        <f>(($B$103*(1+C106))+E106+G106+H106+I106)*$J$5</f>
        <v>0</v>
      </c>
      <c r="K106" s="114">
        <f>$B$103*(1+C106)+E106+G106+H106+I106+J106</f>
        <v>0</v>
      </c>
      <c r="L106" s="102"/>
      <c r="M106" s="214">
        <f>K106/'Исп. коэффициенты'!$F$52</f>
        <v>0</v>
      </c>
      <c r="N106" s="214">
        <f>K106/'Исп. коэффициенты'!$F$53</f>
        <v>0</v>
      </c>
      <c r="O106" s="86"/>
      <c r="P106" s="86"/>
      <c r="Q106" s="86"/>
      <c r="R106" s="86"/>
      <c r="S106" s="86"/>
      <c r="T106" s="214">
        <f>K106/'Исп. коэффициенты'!$F$47</f>
        <v>0</v>
      </c>
      <c r="U106" s="86"/>
      <c r="V106" s="86"/>
      <c r="W106" s="86"/>
      <c r="X106" s="86"/>
      <c r="Y106" s="86"/>
      <c r="Z106" s="214">
        <f>K106/'Исп. коэффициенты'!$F$31</f>
        <v>0</v>
      </c>
      <c r="AA106" s="86"/>
      <c r="AB106" s="86"/>
    </row>
    <row r="107" spans="1:28" ht="15.75" customHeight="1" x14ac:dyDescent="0.25">
      <c r="A107" s="94" t="s">
        <v>1153</v>
      </c>
      <c r="B107" s="89" t="s">
        <v>1188</v>
      </c>
      <c r="C107" s="159">
        <f>$C$5</f>
        <v>0</v>
      </c>
      <c r="D107" s="85"/>
      <c r="E107" s="114">
        <f>($B$103*(1+C107))*D107</f>
        <v>0</v>
      </c>
      <c r="F107" s="85">
        <v>0.25</v>
      </c>
      <c r="G107" s="114">
        <f>(($B$103*(1+C107))+E107)*F107</f>
        <v>0</v>
      </c>
      <c r="H107" s="114">
        <f>(($B$103*(1+C107))+E107+G107)*$H$5</f>
        <v>0</v>
      </c>
      <c r="I107" s="114">
        <f>(($B$103*(1+C107))+E107+G107)*$I$5</f>
        <v>0</v>
      </c>
      <c r="J107" s="114">
        <f>(($B$103*(1+C107))+E107+G107+H107+I107)*$J$5</f>
        <v>0</v>
      </c>
      <c r="K107" s="114">
        <f>$B$103*(1+C107)+E107+G107+H107+I107+J107</f>
        <v>0</v>
      </c>
      <c r="L107" s="102"/>
      <c r="M107" s="214">
        <f>K107/'Исп. коэффициенты'!$F$52</f>
        <v>0</v>
      </c>
      <c r="N107" s="214">
        <f>K107/'Исп. коэффициенты'!$F$53</f>
        <v>0</v>
      </c>
      <c r="O107" s="86"/>
      <c r="P107" s="86"/>
      <c r="Q107" s="86"/>
      <c r="R107" s="86"/>
      <c r="S107" s="86"/>
      <c r="T107" s="214">
        <f>K107/'Исп. коэффициенты'!$F$47</f>
        <v>0</v>
      </c>
      <c r="U107" s="86"/>
      <c r="V107" s="86"/>
      <c r="W107" s="86"/>
      <c r="X107" s="86"/>
      <c r="Y107" s="86"/>
      <c r="Z107" s="214">
        <f>K107/'Исп. коэффициенты'!$F$31</f>
        <v>0</v>
      </c>
      <c r="AA107" s="86"/>
      <c r="AB107" s="86"/>
    </row>
    <row r="108" spans="1:28" ht="90.75" customHeight="1" x14ac:dyDescent="0.25">
      <c r="A108" s="91" t="s">
        <v>1285</v>
      </c>
      <c r="B108" s="172"/>
      <c r="C108" s="114"/>
      <c r="D108" s="95"/>
      <c r="E108" s="115"/>
      <c r="F108" s="95"/>
      <c r="G108" s="115"/>
      <c r="H108" s="114"/>
      <c r="I108" s="114"/>
      <c r="J108" s="114"/>
      <c r="K108" s="114"/>
      <c r="L108" s="102"/>
      <c r="M108" s="214"/>
      <c r="N108" s="214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</row>
    <row r="109" spans="1:28" ht="15.75" customHeight="1" x14ac:dyDescent="0.25">
      <c r="A109" s="93" t="s">
        <v>1151</v>
      </c>
      <c r="B109" s="89" t="s">
        <v>1188</v>
      </c>
      <c r="C109" s="159">
        <f>$C$5</f>
        <v>0</v>
      </c>
      <c r="D109" s="85">
        <v>0.2</v>
      </c>
      <c r="E109" s="114">
        <f>($B$108*(1+C109))*D109</f>
        <v>0</v>
      </c>
      <c r="F109" s="85">
        <v>0.25</v>
      </c>
      <c r="G109" s="114">
        <f>(($B$108*(1+C109))+E109)*F109</f>
        <v>0</v>
      </c>
      <c r="H109" s="114">
        <f>(($B$108*(1+C109))+E109+G109)*$H$5</f>
        <v>0</v>
      </c>
      <c r="I109" s="114">
        <f>(($B$108*(1+C109))+E109+G109)*$I$5</f>
        <v>0</v>
      </c>
      <c r="J109" s="114">
        <f>(($B$108*(1+C109))+E109+G109+H109+I109)*$J$5</f>
        <v>0</v>
      </c>
      <c r="K109" s="114">
        <f>$B$108*(1+C109)+E109+G109+H109+I109+J109</f>
        <v>0</v>
      </c>
      <c r="L109" s="102"/>
      <c r="M109" s="214">
        <f>K109/'Исп. коэффициенты'!$F$52</f>
        <v>0</v>
      </c>
      <c r="N109" s="214">
        <f>K109/'Исп. коэффициенты'!$F$53</f>
        <v>0</v>
      </c>
      <c r="O109" s="86"/>
      <c r="P109" s="86"/>
      <c r="Q109" s="86"/>
      <c r="R109" s="86"/>
      <c r="S109" s="86"/>
      <c r="T109" s="214"/>
      <c r="U109" s="86"/>
      <c r="V109" s="86"/>
      <c r="W109" s="86"/>
      <c r="X109" s="86"/>
      <c r="Y109" s="86"/>
      <c r="Z109" s="214">
        <f>K109/'Исп. коэффициенты'!$F$31</f>
        <v>0</v>
      </c>
      <c r="AA109" s="86"/>
      <c r="AB109" s="86"/>
    </row>
    <row r="110" spans="1:28" ht="15.75" customHeight="1" x14ac:dyDescent="0.25">
      <c r="A110" s="93" t="s">
        <v>1152</v>
      </c>
      <c r="B110" s="89" t="s">
        <v>1188</v>
      </c>
      <c r="C110" s="159">
        <f>$C$5</f>
        <v>0</v>
      </c>
      <c r="D110" s="85">
        <v>0.15</v>
      </c>
      <c r="E110" s="114">
        <f>($B$108*(1+C110))*D110</f>
        <v>0</v>
      </c>
      <c r="F110" s="85">
        <v>0.25</v>
      </c>
      <c r="G110" s="114">
        <f>(($B$108*(1+C110))+E110)*F110</f>
        <v>0</v>
      </c>
      <c r="H110" s="114">
        <f>(($B$108*(1+C110))+E110+G110)*$H$5</f>
        <v>0</v>
      </c>
      <c r="I110" s="114">
        <f>(($B$108*(1+C110))+E110+G110)*$I$5</f>
        <v>0</v>
      </c>
      <c r="J110" s="114">
        <f>(($B$108*(1+C110))+E110+G110+H110+I110)*$J$5</f>
        <v>0</v>
      </c>
      <c r="K110" s="114">
        <f>$B$108*(1+C110)+E110+G110+H110+I110+J110</f>
        <v>0</v>
      </c>
      <c r="L110" s="102"/>
      <c r="M110" s="214">
        <f>K110/'Исп. коэффициенты'!$F$52</f>
        <v>0</v>
      </c>
      <c r="N110" s="214">
        <f>K110/'Исп. коэффициенты'!$F$53</f>
        <v>0</v>
      </c>
      <c r="O110" s="86"/>
      <c r="P110" s="86"/>
      <c r="Q110" s="86"/>
      <c r="R110" s="86"/>
      <c r="S110" s="86"/>
      <c r="T110" s="214"/>
      <c r="U110" s="86"/>
      <c r="V110" s="86"/>
      <c r="W110" s="86"/>
      <c r="X110" s="86"/>
      <c r="Y110" s="86"/>
      <c r="Z110" s="214">
        <f>K110/'Исп. коэффициенты'!$F$31</f>
        <v>0</v>
      </c>
      <c r="AA110" s="86"/>
      <c r="AB110" s="86"/>
    </row>
    <row r="111" spans="1:28" ht="15.75" customHeight="1" x14ac:dyDescent="0.25">
      <c r="A111" s="93" t="s">
        <v>1154</v>
      </c>
      <c r="B111" s="89" t="s">
        <v>1188</v>
      </c>
      <c r="C111" s="159">
        <f>$C$5</f>
        <v>0</v>
      </c>
      <c r="D111" s="85">
        <v>0.1</v>
      </c>
      <c r="E111" s="114">
        <f>($B$108*(1+C111))*D111</f>
        <v>0</v>
      </c>
      <c r="F111" s="85">
        <v>0.25</v>
      </c>
      <c r="G111" s="114">
        <f>(($B$108*(1+C111))+E111)*F111</f>
        <v>0</v>
      </c>
      <c r="H111" s="114">
        <f>(($B$108*(1+C111))+E111+G111)*$H$5</f>
        <v>0</v>
      </c>
      <c r="I111" s="114">
        <f>(($B$108*(1+C111))+E111+G111)*$I$5</f>
        <v>0</v>
      </c>
      <c r="J111" s="114">
        <f>(($B$108*(1+C111))+E111+G111+H111+I111)*$J$5</f>
        <v>0</v>
      </c>
      <c r="K111" s="114">
        <f>$B$108*(1+C111)+E111+G111+H111+I111+J111</f>
        <v>0</v>
      </c>
      <c r="L111" s="102"/>
      <c r="M111" s="214">
        <f>K111/'Исп. коэффициенты'!$F$52</f>
        <v>0</v>
      </c>
      <c r="N111" s="214">
        <f>K111/'Исп. коэффициенты'!$F$53</f>
        <v>0</v>
      </c>
      <c r="O111" s="86"/>
      <c r="P111" s="86"/>
      <c r="Q111" s="86"/>
      <c r="R111" s="86"/>
      <c r="S111" s="86"/>
      <c r="T111" s="214"/>
      <c r="U111" s="86"/>
      <c r="V111" s="86"/>
      <c r="W111" s="86"/>
      <c r="X111" s="86"/>
      <c r="Y111" s="86"/>
      <c r="Z111" s="214">
        <f>K111/'Исп. коэффициенты'!$F$31</f>
        <v>0</v>
      </c>
      <c r="AA111" s="86"/>
      <c r="AB111" s="86"/>
    </row>
    <row r="112" spans="1:28" ht="15.75" customHeight="1" x14ac:dyDescent="0.25">
      <c r="A112" s="94" t="s">
        <v>1153</v>
      </c>
      <c r="B112" s="89" t="s">
        <v>1188</v>
      </c>
      <c r="C112" s="159">
        <f>$C$5</f>
        <v>0</v>
      </c>
      <c r="D112" s="85"/>
      <c r="E112" s="114">
        <f>($B$108*(1+C112))*D112</f>
        <v>0</v>
      </c>
      <c r="F112" s="85">
        <v>0.25</v>
      </c>
      <c r="G112" s="114">
        <f>(($B$108*(1+C112))+E112)*F112</f>
        <v>0</v>
      </c>
      <c r="H112" s="114">
        <f>(($B$108*(1+C112))+E112+G112)*$H$5</f>
        <v>0</v>
      </c>
      <c r="I112" s="114">
        <f>(($B$108*(1+C112))+E112+G112)*$I$5</f>
        <v>0</v>
      </c>
      <c r="J112" s="114">
        <f>(($B$108*(1+C112))+E112+G112+H112+I112)*$J$5</f>
        <v>0</v>
      </c>
      <c r="K112" s="114">
        <f>$B$108*(1+C112)+E112+G112+H112+I112+J112</f>
        <v>0</v>
      </c>
      <c r="L112" s="102"/>
      <c r="M112" s="214">
        <f>K112/'Исп. коэффициенты'!$F$52</f>
        <v>0</v>
      </c>
      <c r="N112" s="214">
        <f>K112/'Исп. коэффициенты'!$F$53</f>
        <v>0</v>
      </c>
      <c r="O112" s="86"/>
      <c r="P112" s="86"/>
      <c r="Q112" s="86"/>
      <c r="R112" s="86"/>
      <c r="S112" s="86"/>
      <c r="T112" s="214"/>
      <c r="U112" s="86"/>
      <c r="V112" s="86"/>
      <c r="W112" s="86"/>
      <c r="X112" s="86"/>
      <c r="Y112" s="86"/>
      <c r="Z112" s="214">
        <f>K112/'Исп. коэффициенты'!$F$31</f>
        <v>0</v>
      </c>
      <c r="AA112" s="86"/>
      <c r="AB112" s="86"/>
    </row>
    <row r="113" spans="1:28" ht="91.5" customHeight="1" x14ac:dyDescent="0.25">
      <c r="A113" s="91" t="s">
        <v>1202</v>
      </c>
      <c r="B113" s="172">
        <v>11163</v>
      </c>
      <c r="C113" s="114"/>
      <c r="D113" s="95"/>
      <c r="E113" s="115"/>
      <c r="F113" s="95"/>
      <c r="G113" s="115"/>
      <c r="H113" s="114"/>
      <c r="I113" s="114"/>
      <c r="J113" s="114"/>
      <c r="K113" s="114"/>
      <c r="L113" s="102"/>
      <c r="M113" s="214"/>
      <c r="N113" s="214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</row>
    <row r="114" spans="1:28" x14ac:dyDescent="0.25">
      <c r="A114" s="93" t="s">
        <v>1151</v>
      </c>
      <c r="B114" s="89" t="s">
        <v>1188</v>
      </c>
      <c r="C114" s="159">
        <f>$C$5</f>
        <v>0</v>
      </c>
      <c r="D114" s="85">
        <v>0.2</v>
      </c>
      <c r="E114" s="114">
        <f>($B$113*(1+C114))*D114</f>
        <v>2232.6</v>
      </c>
      <c r="F114" s="85"/>
      <c r="G114" s="114">
        <f>(($B$113*(1+C114))+E114)*F114</f>
        <v>0</v>
      </c>
      <c r="H114" s="114">
        <f>(($B$113*(1+C114))+E114+G114)*$H$5</f>
        <v>4018.68</v>
      </c>
      <c r="I114" s="114">
        <f>(($B$113*(1+C114))+E114+G114)*$I$5</f>
        <v>4018.68</v>
      </c>
      <c r="J114" s="114">
        <f>(($B$113*(1+C114))+E114+G114+H114+I114)*$J$5</f>
        <v>3120.4372750560374</v>
      </c>
      <c r="K114" s="114">
        <f>$B$113*(1+C114)+E114+G114+H114+I114+J114</f>
        <v>24553.397275056035</v>
      </c>
      <c r="L114" s="102"/>
      <c r="M114" s="214">
        <f>K114/'Исп. коэффициенты'!$F$52</f>
        <v>27.770884774528827</v>
      </c>
      <c r="N114" s="214">
        <f>K114/'Исп. коэффициенты'!$F$53</f>
        <v>30.089051606742636</v>
      </c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</row>
    <row r="115" spans="1:28" x14ac:dyDescent="0.25">
      <c r="A115" s="93" t="s">
        <v>1152</v>
      </c>
      <c r="B115" s="89" t="s">
        <v>1188</v>
      </c>
      <c r="C115" s="159">
        <f>$C$5</f>
        <v>0</v>
      </c>
      <c r="D115" s="85">
        <v>0.15</v>
      </c>
      <c r="E115" s="114">
        <f>($B$113*(1+C115))*D115</f>
        <v>1674.45</v>
      </c>
      <c r="F115" s="85"/>
      <c r="G115" s="114">
        <f>(($B$113*(1+C115))+E115)*F115</f>
        <v>0</v>
      </c>
      <c r="H115" s="114">
        <f>(($B$113*(1+C115))+E115+G115)*$H$5</f>
        <v>3851.2350000000001</v>
      </c>
      <c r="I115" s="114">
        <f>(($B$113*(1+C115))+E115+G115)*$I$5</f>
        <v>3851.2350000000001</v>
      </c>
      <c r="J115" s="114">
        <f>(($B$113*(1+C115))+E115+G115+H115+I115)*$J$5</f>
        <v>2990.4190552620362</v>
      </c>
      <c r="K115" s="114">
        <f>$B$113*(1+C115)+E115+G115+H115+I115+J115</f>
        <v>23530.339055262037</v>
      </c>
      <c r="L115" s="102"/>
      <c r="M115" s="214">
        <f>K115/'Исп. коэффициенты'!$F$52</f>
        <v>26.613764575590132</v>
      </c>
      <c r="N115" s="214">
        <f>K115/'Исп. коэффициенты'!$F$53</f>
        <v>28.835341123128362</v>
      </c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</row>
    <row r="116" spans="1:28" x14ac:dyDescent="0.25">
      <c r="A116" s="93" t="s">
        <v>1154</v>
      </c>
      <c r="B116" s="89" t="s">
        <v>1188</v>
      </c>
      <c r="C116" s="159">
        <f>$C$5</f>
        <v>0</v>
      </c>
      <c r="D116" s="85">
        <v>0.1</v>
      </c>
      <c r="E116" s="114">
        <f>($B$113*(1+C116))*D116</f>
        <v>1116.3</v>
      </c>
      <c r="F116" s="85"/>
      <c r="G116" s="114">
        <f>(($B$113*(1+C116))+E116)*F116</f>
        <v>0</v>
      </c>
      <c r="H116" s="114">
        <f>(($B$113*(1+C116))+E116+G116)*$H$5</f>
        <v>3683.7899999999995</v>
      </c>
      <c r="I116" s="114">
        <f>(($B$113*(1+C116))+E116+G116)*$I$5</f>
        <v>3683.7899999999995</v>
      </c>
      <c r="J116" s="114">
        <f>(($B$113*(1+C116))+E116+G116+H116+I116)*$J$5</f>
        <v>2860.4008354680341</v>
      </c>
      <c r="K116" s="114">
        <f>$B$113*(1+C116)+E116+G116+H116+I116+J116</f>
        <v>22507.280835468031</v>
      </c>
      <c r="L116" s="102"/>
      <c r="M116" s="214">
        <f>K116/'Исп. коэффициенты'!$F$52</f>
        <v>25.456644376651425</v>
      </c>
      <c r="N116" s="214">
        <f>K116/'Исп. коэффициенты'!$F$53</f>
        <v>27.581630639514081</v>
      </c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</row>
    <row r="117" spans="1:28" x14ac:dyDescent="0.25">
      <c r="A117" s="94" t="s">
        <v>1153</v>
      </c>
      <c r="B117" s="89" t="s">
        <v>1188</v>
      </c>
      <c r="C117" s="159">
        <f>$C$5</f>
        <v>0</v>
      </c>
      <c r="D117" s="85"/>
      <c r="E117" s="114">
        <f>($B$113*(1+C117))*D117</f>
        <v>0</v>
      </c>
      <c r="F117" s="85"/>
      <c r="G117" s="114">
        <f>(($B$113*(1+C117))+E117)*F117</f>
        <v>0</v>
      </c>
      <c r="H117" s="114">
        <f>(($B$113*(1+C117))+E117+G117)*$H$5</f>
        <v>3348.9</v>
      </c>
      <c r="I117" s="114">
        <f>(($B$113*(1+C117))+E117+G117)*$I$5</f>
        <v>3348.9</v>
      </c>
      <c r="J117" s="114">
        <f>(($B$113*(1+C117))+E117+G117+H117+I117)*$J$5</f>
        <v>2600.3643958800312</v>
      </c>
      <c r="K117" s="114">
        <f>$B$113*(1+C117)+E117+G117+H117+I117+J117</f>
        <v>20461.16439588003</v>
      </c>
      <c r="L117" s="102"/>
      <c r="M117" s="214">
        <f>K117/'Исп. коэффициенты'!$F$52</f>
        <v>23.142403978774023</v>
      </c>
      <c r="N117" s="214">
        <f>K117/'Исп. коэффициенты'!$F$53</f>
        <v>25.07420967228553</v>
      </c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</row>
    <row r="118" spans="1:28" ht="32.25" customHeight="1" x14ac:dyDescent="0.25">
      <c r="A118" s="91" t="s">
        <v>872</v>
      </c>
      <c r="B118" s="172"/>
      <c r="C118" s="114"/>
      <c r="D118" s="95"/>
      <c r="E118" s="115"/>
      <c r="F118" s="95"/>
      <c r="G118" s="115"/>
      <c r="H118" s="114"/>
      <c r="I118" s="114"/>
      <c r="J118" s="114"/>
      <c r="K118" s="114"/>
      <c r="L118" s="102"/>
      <c r="M118" s="214"/>
      <c r="N118" s="214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</row>
    <row r="119" spans="1:28" x14ac:dyDescent="0.25">
      <c r="A119" s="93" t="s">
        <v>1151</v>
      </c>
      <c r="B119" s="89" t="s">
        <v>1188</v>
      </c>
      <c r="C119" s="159">
        <f>$C$5</f>
        <v>0</v>
      </c>
      <c r="D119" s="85">
        <v>0.2</v>
      </c>
      <c r="E119" s="114">
        <f>($B$123*(1+C119))*D119</f>
        <v>2232.6</v>
      </c>
      <c r="F119" s="85"/>
      <c r="G119" s="114">
        <f>(($B$123*(1+C119))+E119)*F119</f>
        <v>0</v>
      </c>
      <c r="H119" s="114">
        <f>(($B$123*(1+C119))+E119+G119)*$H$5</f>
        <v>4018.68</v>
      </c>
      <c r="I119" s="114">
        <f>(($B$123*(1+C119))+E119+G119)*$I$5</f>
        <v>4018.68</v>
      </c>
      <c r="J119" s="114">
        <f>(($B$123*(1+C119))+E119+G119+H119+I119)*$J$5</f>
        <v>3120.4372750560374</v>
      </c>
      <c r="K119" s="114">
        <f>$B$123*(1+C119)+E119+G119+H119+I119+J119</f>
        <v>24553.397275056035</v>
      </c>
      <c r="L119" s="102"/>
      <c r="M119" s="214">
        <f>K119/'Исп. коэффициенты'!$F$52</f>
        <v>27.770884774528827</v>
      </c>
      <c r="N119" s="214">
        <f>K119/'Исп. коэффициенты'!$F$53</f>
        <v>30.089051606742636</v>
      </c>
      <c r="O119" s="214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</row>
    <row r="120" spans="1:28" x14ac:dyDescent="0.25">
      <c r="A120" s="93" t="s">
        <v>1152</v>
      </c>
      <c r="B120" s="89" t="s">
        <v>1188</v>
      </c>
      <c r="C120" s="159">
        <f>$C$5</f>
        <v>0</v>
      </c>
      <c r="D120" s="85">
        <v>0.15</v>
      </c>
      <c r="E120" s="114">
        <f>($B$123*(1+C120))*D120</f>
        <v>1674.45</v>
      </c>
      <c r="F120" s="85"/>
      <c r="G120" s="114">
        <f>(($B$123*(1+C120))+E120)*F120</f>
        <v>0</v>
      </c>
      <c r="H120" s="114">
        <f>(($B$123*(1+C120))+E120+G120)*$H$5</f>
        <v>3851.2350000000001</v>
      </c>
      <c r="I120" s="114">
        <f>(($B$123*(1+C120))+E120+G120)*$I$5</f>
        <v>3851.2350000000001</v>
      </c>
      <c r="J120" s="114">
        <f>(($B$123*(1+C120))+E120+G120+H120+I120)*$J$5</f>
        <v>2990.4190552620362</v>
      </c>
      <c r="K120" s="114">
        <f>$B$123*(1+C120)+E120+G120+H120+I120+J120</f>
        <v>23530.339055262037</v>
      </c>
      <c r="L120" s="102"/>
      <c r="M120" s="214">
        <f>K120/'Исп. коэффициенты'!$F$52</f>
        <v>26.613764575590132</v>
      </c>
      <c r="N120" s="214">
        <f>K120/'Исп. коэффициенты'!$F$53</f>
        <v>28.835341123128362</v>
      </c>
      <c r="O120" s="214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</row>
    <row r="121" spans="1:28" x14ac:dyDescent="0.25">
      <c r="A121" s="93" t="s">
        <v>1154</v>
      </c>
      <c r="B121" s="89" t="s">
        <v>1188</v>
      </c>
      <c r="C121" s="159">
        <f>$C$5</f>
        <v>0</v>
      </c>
      <c r="D121" s="85">
        <v>0.1</v>
      </c>
      <c r="E121" s="114">
        <f>($B$123*(1+C121))*D121</f>
        <v>1116.3</v>
      </c>
      <c r="F121" s="85"/>
      <c r="G121" s="114">
        <f>(($B$123*(1+C121))+E121)*F121</f>
        <v>0</v>
      </c>
      <c r="H121" s="114">
        <f>(($B$123*(1+C121))+E121+G121)*$H$5</f>
        <v>3683.7899999999995</v>
      </c>
      <c r="I121" s="114">
        <f>(($B$123*(1+C121))+E121+G121)*$I$5</f>
        <v>3683.7899999999995</v>
      </c>
      <c r="J121" s="114">
        <f>(($B$123*(1+C121))+E121+G121+H121+I121)*$J$5</f>
        <v>2860.4008354680341</v>
      </c>
      <c r="K121" s="114">
        <f>$B$123*(1+C121)+E121+G121+H121+I121+J121</f>
        <v>22507.280835468031</v>
      </c>
      <c r="L121" s="102"/>
      <c r="M121" s="214">
        <f>K121/'Исп. коэффициенты'!$F$52</f>
        <v>25.456644376651425</v>
      </c>
      <c r="N121" s="214">
        <f>K121/'Исп. коэффициенты'!$F$53</f>
        <v>27.581630639514081</v>
      </c>
      <c r="O121" s="214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</row>
    <row r="122" spans="1:28" x14ac:dyDescent="0.25">
      <c r="A122" s="94" t="s">
        <v>1153</v>
      </c>
      <c r="B122" s="89" t="s">
        <v>1188</v>
      </c>
      <c r="C122" s="159">
        <f>$C$5</f>
        <v>0</v>
      </c>
      <c r="D122" s="85"/>
      <c r="E122" s="114">
        <f>($B$123*(1+C122))*D122</f>
        <v>0</v>
      </c>
      <c r="F122" s="85"/>
      <c r="G122" s="114">
        <f>(($B$123*(1+C122))+E122)*F122</f>
        <v>0</v>
      </c>
      <c r="H122" s="114">
        <f>(($B$123*(1+C122))+E122+G122)*$H$5</f>
        <v>3348.9</v>
      </c>
      <c r="I122" s="114">
        <f>(($B$123*(1+C122))+E122+G122)*$I$5</f>
        <v>3348.9</v>
      </c>
      <c r="J122" s="114">
        <f>(($B$123*(1+C122))+E122+G122+H122+I122)*$J$5</f>
        <v>2600.3643958800312</v>
      </c>
      <c r="K122" s="114">
        <f>$B$123*(1+C122)+E122+G122+H122+I122+J122</f>
        <v>20461.16439588003</v>
      </c>
      <c r="L122" s="102"/>
      <c r="M122" s="214">
        <f>K122/'Исп. коэффициенты'!$F$52</f>
        <v>23.142403978774023</v>
      </c>
      <c r="N122" s="214">
        <f>K122/'Исп. коэффициенты'!$F$53</f>
        <v>25.07420967228553</v>
      </c>
      <c r="O122" s="214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</row>
    <row r="123" spans="1:28" ht="60" customHeight="1" x14ac:dyDescent="0.25">
      <c r="A123" s="91" t="s">
        <v>871</v>
      </c>
      <c r="B123" s="172">
        <v>11163</v>
      </c>
      <c r="C123" s="114"/>
      <c r="D123" s="95"/>
      <c r="E123" s="115"/>
      <c r="F123" s="95"/>
      <c r="G123" s="115"/>
      <c r="H123" s="114"/>
      <c r="I123" s="114"/>
      <c r="J123" s="114"/>
      <c r="K123" s="114"/>
      <c r="L123" s="102"/>
      <c r="M123" s="214"/>
      <c r="N123" s="214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</row>
    <row r="124" spans="1:28" ht="15" customHeight="1" x14ac:dyDescent="0.25">
      <c r="A124" s="93" t="s">
        <v>1151</v>
      </c>
      <c r="B124" s="89" t="s">
        <v>1188</v>
      </c>
      <c r="C124" s="159">
        <f>$C$5</f>
        <v>0</v>
      </c>
      <c r="D124" s="85">
        <v>0.2</v>
      </c>
      <c r="E124" s="114">
        <f>($B$123*(1+C124))*D124</f>
        <v>2232.6</v>
      </c>
      <c r="F124" s="85"/>
      <c r="G124" s="114">
        <f>(($B$123*(1+C124))+E124)*F124</f>
        <v>0</v>
      </c>
      <c r="H124" s="114">
        <f>(($B$123*(1+C124))+E124+G124)*$H$5</f>
        <v>4018.68</v>
      </c>
      <c r="I124" s="114">
        <f>(($B$123*(1+C124))+E124+G124)*$I$5</f>
        <v>4018.68</v>
      </c>
      <c r="J124" s="114">
        <f>(($B$123*(1+C124))+E124+G124+H124+I124)*$J$5</f>
        <v>3120.4372750560374</v>
      </c>
      <c r="K124" s="114">
        <f>$B$123*(1+C124)+E124+G124+H124+I124+J124</f>
        <v>24553.397275056035</v>
      </c>
      <c r="L124" s="102"/>
      <c r="M124" s="214">
        <f>K124/'Исп. коэффициенты'!$F$52</f>
        <v>27.770884774528827</v>
      </c>
      <c r="N124" s="214">
        <f>K124/'Исп. коэффициенты'!$F$53</f>
        <v>30.089051606742636</v>
      </c>
      <c r="O124" s="214">
        <f>K124/'Исп. коэффициенты'!$F$47</f>
        <v>30.157273013854624</v>
      </c>
      <c r="P124" s="86"/>
      <c r="Q124" s="86"/>
      <c r="R124" s="86"/>
      <c r="S124" s="86"/>
      <c r="T124" s="86"/>
      <c r="U124" s="86"/>
      <c r="V124" s="86"/>
      <c r="W124" s="86"/>
      <c r="X124" s="86"/>
      <c r="Y124" s="214">
        <f>K124/'Исп. коэффициенты'!$F$31</f>
        <v>37.143025905840759</v>
      </c>
      <c r="Z124" s="86"/>
      <c r="AA124" s="86"/>
      <c r="AB124" s="86"/>
    </row>
    <row r="125" spans="1:28" ht="15" customHeight="1" x14ac:dyDescent="0.25">
      <c r="A125" s="93" t="s">
        <v>1152</v>
      </c>
      <c r="B125" s="89" t="s">
        <v>1188</v>
      </c>
      <c r="C125" s="159">
        <f>$C$5</f>
        <v>0</v>
      </c>
      <c r="D125" s="85">
        <v>0.15</v>
      </c>
      <c r="E125" s="114">
        <f>($B$123*(1+C125))*D125</f>
        <v>1674.45</v>
      </c>
      <c r="F125" s="85"/>
      <c r="G125" s="114">
        <f>(($B$123*(1+C125))+E125)*F125</f>
        <v>0</v>
      </c>
      <c r="H125" s="114">
        <f>(($B$123*(1+C125))+E125+G125)*$H$5</f>
        <v>3851.2350000000001</v>
      </c>
      <c r="I125" s="114">
        <f>(($B$123*(1+C125))+E125+G125)*$I$5</f>
        <v>3851.2350000000001</v>
      </c>
      <c r="J125" s="114">
        <f>(($B$123*(1+C125))+E125+G125+H125+I125)*$J$5</f>
        <v>2990.4190552620362</v>
      </c>
      <c r="K125" s="114">
        <f>$B$123*(1+C125)+E125+G125+H125+I125+J125</f>
        <v>23530.339055262037</v>
      </c>
      <c r="L125" s="102"/>
      <c r="M125" s="214">
        <f>K125/'Исп. коэффициенты'!$F$52</f>
        <v>26.613764575590132</v>
      </c>
      <c r="N125" s="214">
        <f>K125/'Исп. коэффициенты'!$F$53</f>
        <v>28.835341123128362</v>
      </c>
      <c r="O125" s="214">
        <f>K125/'Исп. коэффициенты'!$F$47</f>
        <v>28.900719971610684</v>
      </c>
      <c r="P125" s="86"/>
      <c r="Q125" s="86"/>
      <c r="R125" s="86"/>
      <c r="S125" s="86"/>
      <c r="T125" s="86"/>
      <c r="U125" s="86"/>
      <c r="V125" s="86"/>
      <c r="W125" s="86"/>
      <c r="X125" s="86"/>
      <c r="Y125" s="214">
        <f>K125/'Исп. коэффициенты'!$F$31</f>
        <v>35.595399826430729</v>
      </c>
      <c r="Z125" s="86"/>
      <c r="AA125" s="86"/>
      <c r="AB125" s="86"/>
    </row>
    <row r="126" spans="1:28" ht="15" customHeight="1" x14ac:dyDescent="0.25">
      <c r="A126" s="93" t="s">
        <v>1154</v>
      </c>
      <c r="B126" s="89" t="s">
        <v>1188</v>
      </c>
      <c r="C126" s="159">
        <f>$C$5</f>
        <v>0</v>
      </c>
      <c r="D126" s="85">
        <v>0.1</v>
      </c>
      <c r="E126" s="114">
        <f>($B$123*(1+C126))*D126</f>
        <v>1116.3</v>
      </c>
      <c r="F126" s="85"/>
      <c r="G126" s="114">
        <f>(($B$123*(1+C126))+E126)*F126</f>
        <v>0</v>
      </c>
      <c r="H126" s="114">
        <f>(($B$123*(1+C126))+E126+G126)*$H$5</f>
        <v>3683.7899999999995</v>
      </c>
      <c r="I126" s="114">
        <f>(($B$123*(1+C126))+E126+G126)*$I$5</f>
        <v>3683.7899999999995</v>
      </c>
      <c r="J126" s="114">
        <f>(($B$123*(1+C126))+E126+G126+H126+I126)*$J$5</f>
        <v>2860.4008354680341</v>
      </c>
      <c r="K126" s="114">
        <f>$B$123*(1+C126)+E126+G126+H126+I126+J126</f>
        <v>22507.280835468031</v>
      </c>
      <c r="L126" s="102"/>
      <c r="M126" s="214">
        <f>K126/'Исп. коэффициенты'!$F$52</f>
        <v>25.456644376651425</v>
      </c>
      <c r="N126" s="214">
        <f>K126/'Исп. коэффициенты'!$F$53</f>
        <v>27.581630639514081</v>
      </c>
      <c r="O126" s="214">
        <f>K126/'Исп. коэффициенты'!$F$47</f>
        <v>27.644166929366737</v>
      </c>
      <c r="P126" s="86"/>
      <c r="Q126" s="86"/>
      <c r="R126" s="86"/>
      <c r="S126" s="86"/>
      <c r="T126" s="86"/>
      <c r="U126" s="86"/>
      <c r="V126" s="86"/>
      <c r="W126" s="86"/>
      <c r="X126" s="86"/>
      <c r="Y126" s="214">
        <f>K126/'Исп. коэффициенты'!$F$31</f>
        <v>34.047773747020692</v>
      </c>
      <c r="Z126" s="86"/>
      <c r="AA126" s="86"/>
      <c r="AB126" s="86"/>
    </row>
    <row r="127" spans="1:28" ht="15" customHeight="1" x14ac:dyDescent="0.25">
      <c r="A127" s="94" t="s">
        <v>1153</v>
      </c>
      <c r="B127" s="89" t="s">
        <v>1188</v>
      </c>
      <c r="C127" s="159">
        <f>$C$5</f>
        <v>0</v>
      </c>
      <c r="D127" s="85"/>
      <c r="E127" s="114">
        <f>($B$123*(1+C127))*D127</f>
        <v>0</v>
      </c>
      <c r="F127" s="85"/>
      <c r="G127" s="114">
        <f>(($B$123*(1+C127))+E127)*F127</f>
        <v>0</v>
      </c>
      <c r="H127" s="114">
        <f>(($B$123*(1+C127))+E127+G127)*$H$5</f>
        <v>3348.9</v>
      </c>
      <c r="I127" s="114">
        <f>(($B$123*(1+C127))+E127+G127)*$I$5</f>
        <v>3348.9</v>
      </c>
      <c r="J127" s="114">
        <f>(($B$123*(1+C127))+E127+G127+H127+I127)*$J$5</f>
        <v>2600.3643958800312</v>
      </c>
      <c r="K127" s="114">
        <f>$B$123*(1+C127)+E127+G127+H127+I127+J127</f>
        <v>20461.16439588003</v>
      </c>
      <c r="L127" s="102"/>
      <c r="M127" s="214">
        <f>K127/'Исп. коэффициенты'!$F$52</f>
        <v>23.142403978774023</v>
      </c>
      <c r="N127" s="214">
        <f>K127/'Исп. коэффициенты'!$F$53</f>
        <v>25.07420967228553</v>
      </c>
      <c r="O127" s="214">
        <f>K127/'Исп. коэффициенты'!$F$47</f>
        <v>25.131060844878856</v>
      </c>
      <c r="P127" s="86"/>
      <c r="Q127" s="86"/>
      <c r="R127" s="86"/>
      <c r="S127" s="86"/>
      <c r="T127" s="86"/>
      <c r="U127" s="86"/>
      <c r="V127" s="86"/>
      <c r="W127" s="86"/>
      <c r="X127" s="86"/>
      <c r="Y127" s="214">
        <f>K127/'Исп. коэффициенты'!$F$31</f>
        <v>30.952521588200632</v>
      </c>
      <c r="Z127" s="86"/>
      <c r="AA127" s="86"/>
      <c r="AB127" s="86"/>
    </row>
    <row r="128" spans="1:28" ht="61.5" customHeight="1" x14ac:dyDescent="0.25">
      <c r="A128" s="91" t="s">
        <v>1201</v>
      </c>
      <c r="B128" s="172">
        <v>11163</v>
      </c>
      <c r="C128" s="114"/>
      <c r="D128" s="95"/>
      <c r="E128" s="115"/>
      <c r="F128" s="95"/>
      <c r="G128" s="115"/>
      <c r="H128" s="114"/>
      <c r="I128" s="114"/>
      <c r="J128" s="114"/>
      <c r="K128" s="114"/>
      <c r="L128" s="102"/>
      <c r="M128" s="214"/>
      <c r="N128" s="214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</row>
    <row r="129" spans="1:28" ht="15" customHeight="1" x14ac:dyDescent="0.25">
      <c r="A129" s="93" t="s">
        <v>1151</v>
      </c>
      <c r="B129" s="89" t="s">
        <v>1188</v>
      </c>
      <c r="C129" s="159">
        <f>$C$5</f>
        <v>0</v>
      </c>
      <c r="D129" s="85">
        <v>0.2</v>
      </c>
      <c r="E129" s="114">
        <f>($B$128*(1+C129))*D129</f>
        <v>2232.6</v>
      </c>
      <c r="F129" s="85"/>
      <c r="G129" s="114">
        <f>(($B$128*(1+C129))+E129)*F129</f>
        <v>0</v>
      </c>
      <c r="H129" s="114">
        <f>(($B$128*(1+C129))+E129+G129)*$H$5</f>
        <v>4018.68</v>
      </c>
      <c r="I129" s="114">
        <f>(($B$128*(1+C129))+E129+G129)*$I$5</f>
        <v>4018.68</v>
      </c>
      <c r="J129" s="114">
        <f>(($B$128*(1+C129))+E129+G129+H129+I129)*$J$5</f>
        <v>3120.4372750560374</v>
      </c>
      <c r="K129" s="114">
        <f>$B$128*(1+C129)+E129+G129+H129+I129+J129</f>
        <v>24553.397275056035</v>
      </c>
      <c r="L129" s="102"/>
      <c r="M129" s="214">
        <f>K129/'Исп. коэффициенты'!$F$52</f>
        <v>27.770884774528827</v>
      </c>
      <c r="N129" s="214">
        <f>K129/'Исп. коэффициенты'!$F$53</f>
        <v>30.089051606742636</v>
      </c>
      <c r="O129" s="86"/>
      <c r="P129" s="86"/>
      <c r="Q129" s="214">
        <f>K129/'Исп. коэффициенты'!$F$40</f>
        <v>30.157273013854624</v>
      </c>
      <c r="R129" s="214">
        <f>K129/'Исп. коэффициенты'!$F$39</f>
        <v>34.793953739734775</v>
      </c>
      <c r="S129" s="86"/>
      <c r="T129" s="86"/>
      <c r="U129" s="86"/>
      <c r="V129" s="86"/>
      <c r="W129" s="86"/>
      <c r="X129" s="86"/>
      <c r="Y129" s="86"/>
      <c r="Z129" s="86"/>
      <c r="AA129" s="86"/>
      <c r="AB129" s="86"/>
    </row>
    <row r="130" spans="1:28" ht="15" customHeight="1" x14ac:dyDescent="0.25">
      <c r="A130" s="93" t="s">
        <v>1152</v>
      </c>
      <c r="B130" s="89" t="s">
        <v>1188</v>
      </c>
      <c r="C130" s="159">
        <f>$C$5</f>
        <v>0</v>
      </c>
      <c r="D130" s="85">
        <v>0.15</v>
      </c>
      <c r="E130" s="114">
        <f>($B$128*(1+C130))*D130</f>
        <v>1674.45</v>
      </c>
      <c r="F130" s="85"/>
      <c r="G130" s="114">
        <f>(($B$128*(1+C130))+E130)*F130</f>
        <v>0</v>
      </c>
      <c r="H130" s="114">
        <f>(($B$128*(1+C130))+E130+G130)*$H$5</f>
        <v>3851.2350000000001</v>
      </c>
      <c r="I130" s="114">
        <f>(($B$128*(1+C130))+E130+G130)*$I$5</f>
        <v>3851.2350000000001</v>
      </c>
      <c r="J130" s="114">
        <f>(($B$128*(1+C130))+E130+G130+H130+I130)*$J$5</f>
        <v>2990.4190552620362</v>
      </c>
      <c r="K130" s="114">
        <f>$B$128*(1+C130)+E130+G130+H130+I130+J130</f>
        <v>23530.339055262037</v>
      </c>
      <c r="L130" s="102"/>
      <c r="M130" s="214">
        <f>K130/'Исп. коэффициенты'!$F$52</f>
        <v>26.613764575590132</v>
      </c>
      <c r="N130" s="214">
        <f>K130/'Исп. коэффициенты'!$F$53</f>
        <v>28.835341123128362</v>
      </c>
      <c r="O130" s="86"/>
      <c r="P130" s="86"/>
      <c r="Q130" s="214">
        <f>K130/'Исп. коэффициенты'!$F$40</f>
        <v>28.900719971610684</v>
      </c>
      <c r="R130" s="214">
        <f>K130/'Исп. коэффициенты'!$F$39</f>
        <v>33.344205667245831</v>
      </c>
      <c r="S130" s="86"/>
      <c r="T130" s="86"/>
      <c r="U130" s="86"/>
      <c r="V130" s="86"/>
      <c r="W130" s="86"/>
      <c r="X130" s="86"/>
      <c r="Y130" s="86"/>
      <c r="Z130" s="86"/>
      <c r="AA130" s="86"/>
      <c r="AB130" s="86"/>
    </row>
    <row r="131" spans="1:28" ht="15" customHeight="1" x14ac:dyDescent="0.25">
      <c r="A131" s="93" t="s">
        <v>1154</v>
      </c>
      <c r="B131" s="89" t="s">
        <v>1188</v>
      </c>
      <c r="C131" s="159">
        <f>$C$5</f>
        <v>0</v>
      </c>
      <c r="D131" s="85">
        <v>0.1</v>
      </c>
      <c r="E131" s="114">
        <f>($B$128*(1+C131))*D131</f>
        <v>1116.3</v>
      </c>
      <c r="F131" s="85"/>
      <c r="G131" s="114">
        <f>(($B$128*(1+C131))+E131)*F131</f>
        <v>0</v>
      </c>
      <c r="H131" s="114">
        <f>(($B$128*(1+C131))+E131+G131)*$H$5</f>
        <v>3683.7899999999995</v>
      </c>
      <c r="I131" s="114">
        <f>(($B$128*(1+C131))+E131+G131)*$I$5</f>
        <v>3683.7899999999995</v>
      </c>
      <c r="J131" s="114">
        <f>(($B$128*(1+C131))+E131+G131+H131+I131)*$J$5</f>
        <v>2860.4008354680341</v>
      </c>
      <c r="K131" s="114">
        <f>$B$128*(1+C131)+E131+G131+H131+I131+J131</f>
        <v>22507.280835468031</v>
      </c>
      <c r="L131" s="102"/>
      <c r="M131" s="214">
        <f>K131/'Исп. коэффициенты'!$F$52</f>
        <v>25.456644376651425</v>
      </c>
      <c r="N131" s="214">
        <f>K131/'Исп. коэффициенты'!$F$53</f>
        <v>27.581630639514081</v>
      </c>
      <c r="O131" s="86"/>
      <c r="P131" s="86"/>
      <c r="Q131" s="214">
        <f>K131/'Исп. коэффициенты'!$F$40</f>
        <v>27.644166929366737</v>
      </c>
      <c r="R131" s="214">
        <f>K131/'Исп. коэффициенты'!$F$39</f>
        <v>31.894457594756876</v>
      </c>
      <c r="S131" s="86"/>
      <c r="T131" s="86"/>
      <c r="U131" s="86"/>
      <c r="V131" s="86"/>
      <c r="W131" s="86"/>
      <c r="X131" s="86"/>
      <c r="Y131" s="86"/>
      <c r="Z131" s="86"/>
      <c r="AA131" s="86"/>
      <c r="AB131" s="86"/>
    </row>
    <row r="132" spans="1:28" ht="16.5" customHeight="1" x14ac:dyDescent="0.25">
      <c r="A132" s="94" t="s">
        <v>1153</v>
      </c>
      <c r="B132" s="89" t="s">
        <v>1188</v>
      </c>
      <c r="C132" s="159">
        <f>$C$5</f>
        <v>0</v>
      </c>
      <c r="D132" s="85"/>
      <c r="E132" s="114">
        <f>($B$128*(1+C132))*D132</f>
        <v>0</v>
      </c>
      <c r="F132" s="85"/>
      <c r="G132" s="114">
        <f>(($B$128*(1+C132))+E132)*F132</f>
        <v>0</v>
      </c>
      <c r="H132" s="114">
        <f>(($B$128*(1+C132))+E132+G132)*$H$5</f>
        <v>3348.9</v>
      </c>
      <c r="I132" s="114">
        <f>(($B$128*(1+C132))+E132+G132)*$I$5</f>
        <v>3348.9</v>
      </c>
      <c r="J132" s="114">
        <f>(($B$128*(1+C132))+E132+G132+H132+I132)*$J$5</f>
        <v>2600.3643958800312</v>
      </c>
      <c r="K132" s="114">
        <f>$B$128*(1+C132)+E132+G132+H132+I132+J132</f>
        <v>20461.16439588003</v>
      </c>
      <c r="L132" s="102"/>
      <c r="M132" s="214">
        <f>K132/'Исп. коэффициенты'!$F$52</f>
        <v>23.142403978774023</v>
      </c>
      <c r="N132" s="214">
        <f>K132/'Исп. коэффициенты'!$F$53</f>
        <v>25.07420967228553</v>
      </c>
      <c r="O132" s="86"/>
      <c r="P132" s="86"/>
      <c r="Q132" s="214">
        <f>K132/'Исп. коэффициенты'!$F$40</f>
        <v>25.131060844878856</v>
      </c>
      <c r="R132" s="214">
        <f>K132/'Исп. коэффициенты'!$F$39</f>
        <v>28.99496144977898</v>
      </c>
      <c r="S132" s="86"/>
      <c r="T132" s="86"/>
      <c r="U132" s="86"/>
      <c r="V132" s="86"/>
      <c r="W132" s="86"/>
      <c r="X132" s="86"/>
      <c r="Y132" s="86"/>
      <c r="Z132" s="86"/>
      <c r="AA132" s="86"/>
      <c r="AB132" s="86"/>
    </row>
    <row r="133" spans="1:28" ht="60.75" customHeight="1" x14ac:dyDescent="0.25">
      <c r="A133" s="91" t="s">
        <v>873</v>
      </c>
      <c r="B133" s="172">
        <v>11163</v>
      </c>
      <c r="C133" s="114"/>
      <c r="D133" s="95"/>
      <c r="E133" s="115"/>
      <c r="F133" s="95"/>
      <c r="G133" s="115"/>
      <c r="H133" s="114"/>
      <c r="I133" s="114"/>
      <c r="J133" s="114"/>
      <c r="K133" s="114"/>
      <c r="L133" s="102"/>
      <c r="M133" s="214"/>
      <c r="N133" s="214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</row>
    <row r="134" spans="1:28" ht="15" customHeight="1" x14ac:dyDescent="0.25">
      <c r="A134" s="93" t="s">
        <v>1151</v>
      </c>
      <c r="B134" s="89" t="s">
        <v>1188</v>
      </c>
      <c r="C134" s="159">
        <f>$C$5</f>
        <v>0</v>
      </c>
      <c r="D134" s="85">
        <v>0.2</v>
      </c>
      <c r="E134" s="114">
        <f>($B$133*(1+C134))*D134</f>
        <v>2232.6</v>
      </c>
      <c r="F134" s="85"/>
      <c r="G134" s="114">
        <f>(($B$133*(1+C134))+E134)*F134</f>
        <v>0</v>
      </c>
      <c r="H134" s="114">
        <f>(($B$133*(1+C134))+E134+G134)*$H$5</f>
        <v>4018.68</v>
      </c>
      <c r="I134" s="114">
        <f>(($B$133*(1+C134))+E134+G134)*$I$5</f>
        <v>4018.68</v>
      </c>
      <c r="J134" s="114">
        <f>(($B$133*(1+C134))+E134+G134+H134+I134)*$J$5</f>
        <v>3120.4372750560374</v>
      </c>
      <c r="K134" s="114">
        <f>$B$133*(1+C134)+E134+G134+H134+I134+J134</f>
        <v>24553.397275056035</v>
      </c>
      <c r="L134" s="102"/>
      <c r="M134" s="214">
        <f>K134/'Исп. коэффициенты'!$F$52</f>
        <v>27.770884774528827</v>
      </c>
      <c r="N134" s="214">
        <f>K134/'Исп. коэффициенты'!$F$53</f>
        <v>30.089051606742636</v>
      </c>
      <c r="O134" s="214">
        <f>K134/'Исп. коэффициенты'!$F$47</f>
        <v>30.157273013854624</v>
      </c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</row>
    <row r="135" spans="1:28" ht="15" customHeight="1" x14ac:dyDescent="0.25">
      <c r="A135" s="93" t="s">
        <v>1152</v>
      </c>
      <c r="B135" s="89" t="s">
        <v>1188</v>
      </c>
      <c r="C135" s="159">
        <f>$C$5</f>
        <v>0</v>
      </c>
      <c r="D135" s="85">
        <v>0.15</v>
      </c>
      <c r="E135" s="114">
        <f>($B$133*(1+C135))*D135</f>
        <v>1674.45</v>
      </c>
      <c r="F135" s="85"/>
      <c r="G135" s="114">
        <f>(($B$133*(1+C135))+E135)*F135</f>
        <v>0</v>
      </c>
      <c r="H135" s="114">
        <f>(($B$133*(1+C135))+E135+G135)*$H$5</f>
        <v>3851.2350000000001</v>
      </c>
      <c r="I135" s="114">
        <f>(($B$133*(1+C135))+E135+G135)*$I$5</f>
        <v>3851.2350000000001</v>
      </c>
      <c r="J135" s="114">
        <f>(($B$133*(1+C135))+E135+G135+H135+I135)*$J$5</f>
        <v>2990.4190552620362</v>
      </c>
      <c r="K135" s="114">
        <f>$B$133*(1+C135)+E135+G135+H135+I135+J135</f>
        <v>23530.339055262037</v>
      </c>
      <c r="L135" s="102"/>
      <c r="M135" s="214">
        <f>K135/'Исп. коэффициенты'!$F$52</f>
        <v>26.613764575590132</v>
      </c>
      <c r="N135" s="214">
        <f>K135/'Исп. коэффициенты'!$F$53</f>
        <v>28.835341123128362</v>
      </c>
      <c r="O135" s="214">
        <f>K135/'Исп. коэффициенты'!$F$47</f>
        <v>28.900719971610684</v>
      </c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</row>
    <row r="136" spans="1:28" ht="15" customHeight="1" x14ac:dyDescent="0.25">
      <c r="A136" s="93" t="s">
        <v>1154</v>
      </c>
      <c r="B136" s="89" t="s">
        <v>1188</v>
      </c>
      <c r="C136" s="159">
        <f>$C$5</f>
        <v>0</v>
      </c>
      <c r="D136" s="85">
        <v>0.1</v>
      </c>
      <c r="E136" s="114">
        <f>($B$133*(1+C136))*D136</f>
        <v>1116.3</v>
      </c>
      <c r="F136" s="85"/>
      <c r="G136" s="114">
        <f>(($B$133*(1+C136))+E136)*F136</f>
        <v>0</v>
      </c>
      <c r="H136" s="114">
        <f>(($B$133*(1+C136))+E136+G136)*$H$5</f>
        <v>3683.7899999999995</v>
      </c>
      <c r="I136" s="114">
        <f>(($B$133*(1+C136))+E136+G136)*$I$5</f>
        <v>3683.7899999999995</v>
      </c>
      <c r="J136" s="114">
        <f>(($B$133*(1+C136))+E136+G136+H136+I136)*$J$5</f>
        <v>2860.4008354680341</v>
      </c>
      <c r="K136" s="114">
        <f>$B$133*(1+C136)+E136+G136+H136+I136+J136</f>
        <v>22507.280835468031</v>
      </c>
      <c r="L136" s="102"/>
      <c r="M136" s="214">
        <f>K136/'Исп. коэффициенты'!$F$52</f>
        <v>25.456644376651425</v>
      </c>
      <c r="N136" s="214">
        <f>K136/'Исп. коэффициенты'!$F$53</f>
        <v>27.581630639514081</v>
      </c>
      <c r="O136" s="214">
        <f>K136/'Исп. коэффициенты'!$F$47</f>
        <v>27.644166929366737</v>
      </c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</row>
    <row r="137" spans="1:28" ht="15" customHeight="1" x14ac:dyDescent="0.25">
      <c r="A137" s="94" t="s">
        <v>1153</v>
      </c>
      <c r="B137" s="89" t="s">
        <v>1188</v>
      </c>
      <c r="C137" s="159">
        <f>$C$5</f>
        <v>0</v>
      </c>
      <c r="D137" s="85"/>
      <c r="E137" s="114">
        <f>($B$133*(1+C137))*D137</f>
        <v>0</v>
      </c>
      <c r="F137" s="85"/>
      <c r="G137" s="114">
        <f>(($B$133*(1+C137))+E137)*F137</f>
        <v>0</v>
      </c>
      <c r="H137" s="114">
        <f>(($B$133*(1+C137))+E137+G137)*$H$5</f>
        <v>3348.9</v>
      </c>
      <c r="I137" s="114">
        <f>(($B$133*(1+C137))+E137+G137)*$I$5</f>
        <v>3348.9</v>
      </c>
      <c r="J137" s="114">
        <f>(($B$133*(1+C137))+E137+G137+H137+I137)*$J$5</f>
        <v>2600.3643958800312</v>
      </c>
      <c r="K137" s="114">
        <f>$B$133*(1+C137)+E137+G137+H137+I137+J137</f>
        <v>20461.16439588003</v>
      </c>
      <c r="L137" s="102"/>
      <c r="M137" s="214">
        <f>K137/'Исп. коэффициенты'!$F$52</f>
        <v>23.142403978774023</v>
      </c>
      <c r="N137" s="214">
        <f>K137/'Исп. коэффициенты'!$F$53</f>
        <v>25.07420967228553</v>
      </c>
      <c r="O137" s="214">
        <f>K137/'Исп. коэффициенты'!$F$47</f>
        <v>25.131060844878856</v>
      </c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</row>
    <row r="138" spans="1:28" ht="32.25" customHeight="1" x14ac:dyDescent="0.25">
      <c r="A138" s="91" t="s">
        <v>1200</v>
      </c>
      <c r="B138" s="172"/>
      <c r="C138" s="114"/>
      <c r="D138" s="95"/>
      <c r="E138" s="115"/>
      <c r="F138" s="95"/>
      <c r="G138" s="115"/>
      <c r="H138" s="114"/>
      <c r="I138" s="114"/>
      <c r="J138" s="114"/>
      <c r="K138" s="114"/>
      <c r="L138" s="102"/>
      <c r="M138" s="214"/>
      <c r="N138" s="214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</row>
    <row r="139" spans="1:28" ht="15" customHeight="1" x14ac:dyDescent="0.25">
      <c r="A139" s="93" t="s">
        <v>1151</v>
      </c>
      <c r="B139" s="89" t="s">
        <v>1188</v>
      </c>
      <c r="C139" s="159">
        <f>$C$5</f>
        <v>0</v>
      </c>
      <c r="D139" s="85">
        <v>0.2</v>
      </c>
      <c r="E139" s="114">
        <f>($B$138*(1+C139))*D139</f>
        <v>0</v>
      </c>
      <c r="F139" s="85">
        <v>0.25</v>
      </c>
      <c r="G139" s="114">
        <f>(($B$138*(1+C139))+E139)*F139</f>
        <v>0</v>
      </c>
      <c r="H139" s="114">
        <f>($B$138*(1+C139)+E139+G139)*$H$5</f>
        <v>0</v>
      </c>
      <c r="I139" s="114">
        <f>($B$138*(1+C139)+E139+G139)*$I$5</f>
        <v>0</v>
      </c>
      <c r="J139" s="114">
        <f>(($B$138*(1+C139))+E139+G139+H139+I139)*$J$5</f>
        <v>0</v>
      </c>
      <c r="K139" s="114">
        <f>$B$138*(1+C139)+E139+G139+H139+I139+J139</f>
        <v>0</v>
      </c>
      <c r="L139" s="102"/>
      <c r="M139" s="214">
        <f>K139/'Исп. коэффициенты'!$F$52</f>
        <v>0</v>
      </c>
      <c r="N139" s="214">
        <f>K139/'Исп. коэффициенты'!$F$53</f>
        <v>0</v>
      </c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</row>
    <row r="140" spans="1:28" ht="15" customHeight="1" x14ac:dyDescent="0.25">
      <c r="A140" s="93" t="s">
        <v>1152</v>
      </c>
      <c r="B140" s="89" t="s">
        <v>1188</v>
      </c>
      <c r="C140" s="159">
        <f>$C$5</f>
        <v>0</v>
      </c>
      <c r="D140" s="85">
        <v>0.15</v>
      </c>
      <c r="E140" s="114">
        <f>($B$138*(1+C140))*D140</f>
        <v>0</v>
      </c>
      <c r="F140" s="85">
        <v>0.25</v>
      </c>
      <c r="G140" s="114">
        <f>(($B$138*(1+C140))+E140)*F140</f>
        <v>0</v>
      </c>
      <c r="H140" s="114">
        <f>($B$138*(1+C140)+E140+G140)*$H$5</f>
        <v>0</v>
      </c>
      <c r="I140" s="114">
        <f>($B$138*(1+C140)+E140+G140)*$I$5</f>
        <v>0</v>
      </c>
      <c r="J140" s="114">
        <f>(($B$138*(1+C140))+E140+G140+H140+I140)*$J$5</f>
        <v>0</v>
      </c>
      <c r="K140" s="114">
        <f>$B$138*(1+C140)+E140+G140+H140+I140+J140</f>
        <v>0</v>
      </c>
      <c r="L140" s="102"/>
      <c r="M140" s="214">
        <f>K140/'Исп. коэффициенты'!$F$52</f>
        <v>0</v>
      </c>
      <c r="N140" s="214">
        <f>K140/'Исп. коэффициенты'!$F$53</f>
        <v>0</v>
      </c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</row>
    <row r="141" spans="1:28" ht="15" customHeight="1" x14ac:dyDescent="0.25">
      <c r="A141" s="93" t="s">
        <v>1154</v>
      </c>
      <c r="B141" s="89" t="s">
        <v>1188</v>
      </c>
      <c r="C141" s="159">
        <f>$C$5</f>
        <v>0</v>
      </c>
      <c r="D141" s="85">
        <v>0.1</v>
      </c>
      <c r="E141" s="114">
        <f>($B$138*(1+C141))*D141</f>
        <v>0</v>
      </c>
      <c r="F141" s="85">
        <v>0.25</v>
      </c>
      <c r="G141" s="114">
        <f>(($B$138*(1+C141))+E141)*F141</f>
        <v>0</v>
      </c>
      <c r="H141" s="114">
        <f>($B$138*(1+C141)+E141+G141)*$H$5</f>
        <v>0</v>
      </c>
      <c r="I141" s="114">
        <f>($B$138*(1+C141)+E141+G141)*$I$5</f>
        <v>0</v>
      </c>
      <c r="J141" s="114">
        <f>(($B$138*(1+C141))+E141+G141+H141+I141)*$J$5</f>
        <v>0</v>
      </c>
      <c r="K141" s="114">
        <f>$B$138*(1+C141)+E141+G141+H141+I141+J141</f>
        <v>0</v>
      </c>
      <c r="L141" s="102"/>
      <c r="M141" s="214">
        <f>K141/'Исп. коэффициенты'!$F$52</f>
        <v>0</v>
      </c>
      <c r="N141" s="214">
        <f>K141/'Исп. коэффициенты'!$F$53</f>
        <v>0</v>
      </c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</row>
    <row r="142" spans="1:28" ht="15" customHeight="1" x14ac:dyDescent="0.25">
      <c r="A142" s="94" t="s">
        <v>1153</v>
      </c>
      <c r="B142" s="89" t="s">
        <v>1188</v>
      </c>
      <c r="C142" s="159">
        <f>$C$5</f>
        <v>0</v>
      </c>
      <c r="D142" s="85"/>
      <c r="E142" s="114">
        <f>($B$138*(1+C142))*D142</f>
        <v>0</v>
      </c>
      <c r="F142" s="85">
        <v>0.25</v>
      </c>
      <c r="G142" s="114">
        <f>(($B$138*(1+C142))+E142)*F142</f>
        <v>0</v>
      </c>
      <c r="H142" s="114">
        <f>($B$138*(1+C142)+E142+G142)*$H$5</f>
        <v>0</v>
      </c>
      <c r="I142" s="114">
        <f>($B$138*(1+C142)+E142+G142)*$I$5</f>
        <v>0</v>
      </c>
      <c r="J142" s="114">
        <f>(($B$138*(1+C142))+E142+G142+H142+I142)*$J$5</f>
        <v>0</v>
      </c>
      <c r="K142" s="114">
        <f>$B$138*(1+C142)+E142+G142+H142+I142+J142</f>
        <v>0</v>
      </c>
      <c r="L142" s="102"/>
      <c r="M142" s="214">
        <f>K142/'Исп. коэффициенты'!$F$52</f>
        <v>0</v>
      </c>
      <c r="N142" s="214">
        <f>K142/'Исп. коэффициенты'!$F$53</f>
        <v>0</v>
      </c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</row>
    <row r="143" spans="1:28" ht="108" customHeight="1" x14ac:dyDescent="0.25">
      <c r="A143" s="91" t="s">
        <v>772</v>
      </c>
      <c r="B143" s="172">
        <v>11163</v>
      </c>
      <c r="C143" s="114"/>
      <c r="D143" s="95"/>
      <c r="E143" s="115"/>
      <c r="F143" s="95"/>
      <c r="G143" s="115"/>
      <c r="H143" s="114"/>
      <c r="I143" s="114"/>
      <c r="J143" s="114"/>
      <c r="K143" s="114"/>
      <c r="L143" s="102"/>
      <c r="M143" s="214"/>
      <c r="N143" s="214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</row>
    <row r="144" spans="1:28" ht="15" customHeight="1" x14ac:dyDescent="0.25">
      <c r="A144" s="93" t="s">
        <v>1151</v>
      </c>
      <c r="B144" s="89" t="s">
        <v>1188</v>
      </c>
      <c r="C144" s="159">
        <f>$C$5</f>
        <v>0</v>
      </c>
      <c r="D144" s="85">
        <v>0.2</v>
      </c>
      <c r="E144" s="114">
        <f>($B$143*(1+C144))*D144</f>
        <v>2232.6</v>
      </c>
      <c r="F144" s="85"/>
      <c r="G144" s="114">
        <f>(($B$143*(1+C144))+E144)*F144</f>
        <v>0</v>
      </c>
      <c r="H144" s="114">
        <f>(($B$143*(1+C144))+E144+G144)*$H$5</f>
        <v>4018.68</v>
      </c>
      <c r="I144" s="114">
        <f>(($B$143*(1+C144))+E144+G144)*$I$5</f>
        <v>4018.68</v>
      </c>
      <c r="J144" s="114">
        <f>(($B$143*(1+C144))+E144+G144+H144+I144)*$J$5</f>
        <v>3120.4372750560374</v>
      </c>
      <c r="K144" s="114">
        <f>$B$143*(1+C144)+E144+G144+H144+I144+J144</f>
        <v>24553.397275056035</v>
      </c>
      <c r="L144" s="102"/>
      <c r="M144" s="214">
        <f>K144/'Исп. коэффициенты'!$F$52</f>
        <v>27.770884774528827</v>
      </c>
      <c r="N144" s="214">
        <f>K144/'Исп. коэффициенты'!$F$53</f>
        <v>30.089051606742636</v>
      </c>
      <c r="O144" s="214">
        <f>K144/'Исп. коэффициенты'!$F$47</f>
        <v>30.157273013854624</v>
      </c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</row>
    <row r="145" spans="1:28" ht="15" customHeight="1" x14ac:dyDescent="0.25">
      <c r="A145" s="93" t="s">
        <v>1152</v>
      </c>
      <c r="B145" s="89" t="s">
        <v>1188</v>
      </c>
      <c r="C145" s="159">
        <f>$C$5</f>
        <v>0</v>
      </c>
      <c r="D145" s="85">
        <v>0.15</v>
      </c>
      <c r="E145" s="114">
        <f>($B$143*(1+C145))*D145</f>
        <v>1674.45</v>
      </c>
      <c r="F145" s="85"/>
      <c r="G145" s="114">
        <f>(($B$143*(1+C145))+E145)*F145</f>
        <v>0</v>
      </c>
      <c r="H145" s="114">
        <f>(($B$143*(1+C145))+E145+G145)*$H$5</f>
        <v>3851.2350000000001</v>
      </c>
      <c r="I145" s="114">
        <f>(($B$143*(1+C145))+E145+G145)*$I$5</f>
        <v>3851.2350000000001</v>
      </c>
      <c r="J145" s="114">
        <f>(($B$143*(1+C145))+E145+G145+H145+I145)*$J$5</f>
        <v>2990.4190552620362</v>
      </c>
      <c r="K145" s="114">
        <f>$B$143*(1+C145)+E145+G145+H145+I145+J145</f>
        <v>23530.339055262037</v>
      </c>
      <c r="L145" s="102"/>
      <c r="M145" s="214">
        <f>K145/'Исп. коэффициенты'!$F$52</f>
        <v>26.613764575590132</v>
      </c>
      <c r="N145" s="214">
        <f>K145/'Исп. коэффициенты'!$F$53</f>
        <v>28.835341123128362</v>
      </c>
      <c r="O145" s="214">
        <f>K145/'Исп. коэффициенты'!$F$47</f>
        <v>28.900719971610684</v>
      </c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</row>
    <row r="146" spans="1:28" ht="15" customHeight="1" x14ac:dyDescent="0.25">
      <c r="A146" s="93" t="s">
        <v>1154</v>
      </c>
      <c r="B146" s="89" t="s">
        <v>1188</v>
      </c>
      <c r="C146" s="159">
        <f>$C$5</f>
        <v>0</v>
      </c>
      <c r="D146" s="85">
        <v>0.1</v>
      </c>
      <c r="E146" s="114">
        <f>($B$143*(1+C146))*D146</f>
        <v>1116.3</v>
      </c>
      <c r="F146" s="85"/>
      <c r="G146" s="114">
        <f>(($B$143*(1+C146))+E146)*F146</f>
        <v>0</v>
      </c>
      <c r="H146" s="114">
        <f>(($B$143*(1+C146))+E146+G146)*$H$5</f>
        <v>3683.7899999999995</v>
      </c>
      <c r="I146" s="114">
        <f>(($B$143*(1+C146))+E146+G146)*$I$5</f>
        <v>3683.7899999999995</v>
      </c>
      <c r="J146" s="114">
        <f>(($B$143*(1+C146))+E146+G146+H146+I146)*$J$5</f>
        <v>2860.4008354680341</v>
      </c>
      <c r="K146" s="114">
        <f>$B$143*(1+C146)+E146+G146+H146+I146+J146</f>
        <v>22507.280835468031</v>
      </c>
      <c r="L146" s="102"/>
      <c r="M146" s="214">
        <f>K146/'Исп. коэффициенты'!$F$52</f>
        <v>25.456644376651425</v>
      </c>
      <c r="N146" s="214">
        <f>K146/'Исп. коэффициенты'!$F$53</f>
        <v>27.581630639514081</v>
      </c>
      <c r="O146" s="214">
        <f>K146/'Исп. коэффициенты'!$F$47</f>
        <v>27.644166929366737</v>
      </c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</row>
    <row r="147" spans="1:28" ht="14.25" customHeight="1" x14ac:dyDescent="0.25">
      <c r="A147" s="94" t="s">
        <v>1153</v>
      </c>
      <c r="B147" s="89" t="s">
        <v>1188</v>
      </c>
      <c r="C147" s="159">
        <f>$C$5</f>
        <v>0</v>
      </c>
      <c r="D147" s="85"/>
      <c r="E147" s="114">
        <f>($B$143*(1+C147))*D147</f>
        <v>0</v>
      </c>
      <c r="F147" s="85"/>
      <c r="G147" s="114">
        <f>(($B$143*(1+C147))+E147)*F147</f>
        <v>0</v>
      </c>
      <c r="H147" s="114">
        <f>(($B$143*(1+C147))+E147+G147)*$H$5</f>
        <v>3348.9</v>
      </c>
      <c r="I147" s="114">
        <f>(($B$143*(1+C147))+E147+G147)*$I$5</f>
        <v>3348.9</v>
      </c>
      <c r="J147" s="114">
        <f>(($B$143*(1+C147))+E147+G147+H147+I147)*$J$5</f>
        <v>2600.3643958800312</v>
      </c>
      <c r="K147" s="114">
        <f>$B$143*(1+C147)+E147+G147+H147+I147+J147</f>
        <v>20461.16439588003</v>
      </c>
      <c r="L147" s="102"/>
      <c r="M147" s="214">
        <f>K147/'Исп. коэффициенты'!$F$52</f>
        <v>23.142403978774023</v>
      </c>
      <c r="N147" s="214">
        <f>K147/'Исп. коэффициенты'!$F$53</f>
        <v>25.07420967228553</v>
      </c>
      <c r="O147" s="214">
        <f>K147/'Исп. коэффициенты'!$F$47</f>
        <v>25.131060844878856</v>
      </c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</row>
    <row r="148" spans="1:28" ht="30.75" customHeight="1" x14ac:dyDescent="0.25">
      <c r="A148" s="109" t="s">
        <v>1183</v>
      </c>
      <c r="B148" s="110"/>
      <c r="C148" s="120"/>
      <c r="D148" s="111"/>
      <c r="E148" s="118"/>
      <c r="F148" s="111"/>
      <c r="G148" s="118"/>
      <c r="H148" s="120"/>
      <c r="I148" s="120"/>
      <c r="J148" s="120"/>
      <c r="K148" s="114"/>
      <c r="L148" s="102"/>
      <c r="M148" s="214"/>
      <c r="N148" s="214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</row>
    <row r="149" spans="1:28" ht="17.25" customHeight="1" x14ac:dyDescent="0.25">
      <c r="A149" s="99" t="s">
        <v>1184</v>
      </c>
      <c r="B149" s="175"/>
      <c r="C149" s="119"/>
      <c r="D149" s="108"/>
      <c r="E149" s="119"/>
      <c r="F149" s="108"/>
      <c r="G149" s="119"/>
      <c r="H149" s="119"/>
      <c r="I149" s="119"/>
      <c r="J149" s="119"/>
      <c r="K149" s="114"/>
      <c r="L149" s="102"/>
      <c r="M149" s="214"/>
      <c r="N149" s="214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</row>
    <row r="150" spans="1:28" ht="15" customHeight="1" x14ac:dyDescent="0.25">
      <c r="A150" s="93" t="s">
        <v>1151</v>
      </c>
      <c r="B150" s="89" t="s">
        <v>1188</v>
      </c>
      <c r="C150" s="159">
        <f>$C$5</f>
        <v>0</v>
      </c>
      <c r="D150" s="85">
        <v>0.2</v>
      </c>
      <c r="E150" s="114">
        <f>($B$149*(1+C150))*D150</f>
        <v>0</v>
      </c>
      <c r="F150" s="85"/>
      <c r="G150" s="114"/>
      <c r="H150" s="114">
        <f>(($B$149*(1+C150))+E150+G150)*$H$5</f>
        <v>0</v>
      </c>
      <c r="I150" s="114">
        <f>(($B$149*(1+C150))+E150+G150)*$I$5</f>
        <v>0</v>
      </c>
      <c r="J150" s="114">
        <f>(($B$149*(1+C150))+E150+G150+H150+I150)*$J$5</f>
        <v>0</v>
      </c>
      <c r="K150" s="114">
        <f>$B$149*(1+C150)+E150+G150+H150+I150+J150</f>
        <v>0</v>
      </c>
      <c r="L150" s="102"/>
      <c r="M150" s="214">
        <f>K150/'Исп. коэффициенты'!$H$49</f>
        <v>0</v>
      </c>
      <c r="N150" s="214">
        <f>K150/'Исп. коэффициенты'!$F$53</f>
        <v>0</v>
      </c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</row>
    <row r="151" spans="1:28" ht="15" customHeight="1" x14ac:dyDescent="0.25">
      <c r="A151" s="93" t="s">
        <v>1152</v>
      </c>
      <c r="B151" s="89" t="s">
        <v>1188</v>
      </c>
      <c r="C151" s="159">
        <f>$C$5</f>
        <v>0</v>
      </c>
      <c r="D151" s="85">
        <v>0.15</v>
      </c>
      <c r="E151" s="114">
        <f>($B$149*(1+C151))*D151</f>
        <v>0</v>
      </c>
      <c r="F151" s="85"/>
      <c r="G151" s="114"/>
      <c r="H151" s="114">
        <f>(($B$149*(1+C151))+E151+G151)*$H$5</f>
        <v>0</v>
      </c>
      <c r="I151" s="114">
        <f>(($B$149*(1+C151))+E151+G151)*$I$5</f>
        <v>0</v>
      </c>
      <c r="J151" s="114">
        <f>(($B$149*(1+C151))+E151+G151+H151+I151)*$J$5</f>
        <v>0</v>
      </c>
      <c r="K151" s="114">
        <f>$B$149*(1+C151)+E151+G151+H151+I151+J151</f>
        <v>0</v>
      </c>
      <c r="L151" s="102"/>
      <c r="M151" s="214">
        <f>K151/'Исп. коэффициенты'!$H$49</f>
        <v>0</v>
      </c>
      <c r="N151" s="214">
        <f>K151/'Исп. коэффициенты'!$F$53</f>
        <v>0</v>
      </c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</row>
    <row r="152" spans="1:28" ht="15" customHeight="1" x14ac:dyDescent="0.25">
      <c r="A152" s="93" t="s">
        <v>1154</v>
      </c>
      <c r="B152" s="89" t="s">
        <v>1188</v>
      </c>
      <c r="C152" s="159">
        <f>$C$5</f>
        <v>0</v>
      </c>
      <c r="D152" s="85">
        <v>0.1</v>
      </c>
      <c r="E152" s="114">
        <f>($B$149*(1+C152))*D152</f>
        <v>0</v>
      </c>
      <c r="F152" s="85"/>
      <c r="G152" s="114"/>
      <c r="H152" s="114">
        <f>(($B$149*(1+C152))+E152+G152)*$H$5</f>
        <v>0</v>
      </c>
      <c r="I152" s="114">
        <f>(($B$149*(1+C152))+E152+G152)*$I$5</f>
        <v>0</v>
      </c>
      <c r="J152" s="114">
        <f>(($B$149*(1+C152))+E152+G152+H152+I152)*$J$5</f>
        <v>0</v>
      </c>
      <c r="K152" s="114">
        <f>$B$149*(1+C152)+E152+G152+H152+I152+J152</f>
        <v>0</v>
      </c>
      <c r="L152" s="102"/>
      <c r="M152" s="214">
        <f>K152/'Исп. коэффициенты'!$H$49</f>
        <v>0</v>
      </c>
      <c r="N152" s="214">
        <f>K152/'Исп. коэффициенты'!$F$53</f>
        <v>0</v>
      </c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</row>
    <row r="153" spans="1:28" ht="14.25" customHeight="1" x14ac:dyDescent="0.25">
      <c r="A153" s="94" t="s">
        <v>1153</v>
      </c>
      <c r="B153" s="89" t="s">
        <v>1188</v>
      </c>
      <c r="C153" s="159">
        <f>$C$5</f>
        <v>0</v>
      </c>
      <c r="D153" s="85"/>
      <c r="E153" s="114">
        <f>($B$149*(1+C153))*D153</f>
        <v>0</v>
      </c>
      <c r="F153" s="85"/>
      <c r="G153" s="114"/>
      <c r="H153" s="114">
        <f>(($B$149*(1+C153))+E153+G153)*$H$5</f>
        <v>0</v>
      </c>
      <c r="I153" s="114">
        <f>(($B$149*(1+C153))+E153+G153)*$I$5</f>
        <v>0</v>
      </c>
      <c r="J153" s="114">
        <f>(($B$149*(1+C153))+E153+G153+H153+I153)*$J$5</f>
        <v>0</v>
      </c>
      <c r="K153" s="114">
        <f>$B$149*(1+C153)+E153+G153+H153+I153+J153</f>
        <v>0</v>
      </c>
      <c r="L153" s="102"/>
      <c r="M153" s="214">
        <f>K153/'Исп. коэффициенты'!$H$49</f>
        <v>0</v>
      </c>
      <c r="N153" s="214">
        <f>K153/'Исп. коэффициенты'!$F$53</f>
        <v>0</v>
      </c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</row>
    <row r="154" spans="1:28" ht="18.75" customHeight="1" x14ac:dyDescent="0.25">
      <c r="A154" s="91" t="s">
        <v>776</v>
      </c>
      <c r="B154" s="148" t="s">
        <v>1188</v>
      </c>
      <c r="C154" s="114"/>
      <c r="D154" s="86"/>
      <c r="E154" s="114"/>
      <c r="F154" s="86"/>
      <c r="G154" s="114"/>
      <c r="H154" s="114"/>
      <c r="I154" s="114"/>
      <c r="J154" s="114"/>
      <c r="K154" s="114"/>
      <c r="L154" s="102"/>
      <c r="M154" s="214"/>
      <c r="N154" s="214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</row>
    <row r="155" spans="1:28" ht="15" customHeight="1" x14ac:dyDescent="0.25">
      <c r="A155" s="94" t="s">
        <v>775</v>
      </c>
      <c r="B155" s="172"/>
      <c r="C155" s="159">
        <f>$C$5</f>
        <v>0</v>
      </c>
      <c r="D155" s="85"/>
      <c r="E155" s="114"/>
      <c r="F155" s="85"/>
      <c r="G155" s="114"/>
      <c r="H155" s="114">
        <f>(B155+G155)*$H$5</f>
        <v>0</v>
      </c>
      <c r="I155" s="114">
        <f>(B155+G155)*$I$5</f>
        <v>0</v>
      </c>
      <c r="J155" s="114">
        <f>(($B$155*(1+C155))+G155+H155+I155)*$J$5</f>
        <v>0</v>
      </c>
      <c r="K155" s="114">
        <f>B155*(1+C155)+E155+G155+H155+I155+J155</f>
        <v>0</v>
      </c>
      <c r="L155" s="102"/>
      <c r="M155" s="214">
        <f>K155/'Исп. коэффициенты'!$H$49</f>
        <v>0</v>
      </c>
      <c r="N155" s="214">
        <f>K155/'Исп. коэффициенты'!$F$53</f>
        <v>0</v>
      </c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</row>
    <row r="156" spans="1:28" ht="15" customHeight="1" x14ac:dyDescent="0.25">
      <c r="A156" s="94" t="s">
        <v>1185</v>
      </c>
      <c r="B156" s="172"/>
      <c r="C156" s="159">
        <f>$C$5</f>
        <v>0</v>
      </c>
      <c r="D156" s="85"/>
      <c r="E156" s="114"/>
      <c r="F156" s="85"/>
      <c r="G156" s="114"/>
      <c r="H156" s="114">
        <f>(B156+G156)*$H$5</f>
        <v>0</v>
      </c>
      <c r="I156" s="114">
        <f>(B156+G156)*$I$5</f>
        <v>0</v>
      </c>
      <c r="J156" s="114">
        <f>(($B$155*(1+C156))+G156+H156+I156)*$J$5</f>
        <v>0</v>
      </c>
      <c r="K156" s="114">
        <f>B156*(1+C156)+E156+G156+H156+I156+J156</f>
        <v>0</v>
      </c>
      <c r="L156" s="102"/>
      <c r="M156" s="214">
        <f>K156/'Исп. коэффициенты'!$H$49</f>
        <v>0</v>
      </c>
      <c r="N156" s="214">
        <f>K156/'Исп. коэффициенты'!$F$53</f>
        <v>0</v>
      </c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</row>
    <row r="157" spans="1:28" ht="15" customHeight="1" x14ac:dyDescent="0.25">
      <c r="A157" s="94" t="s">
        <v>1186</v>
      </c>
      <c r="B157" s="172"/>
      <c r="C157" s="159">
        <f>$C$5</f>
        <v>0</v>
      </c>
      <c r="D157" s="85"/>
      <c r="E157" s="114"/>
      <c r="F157" s="85"/>
      <c r="G157" s="114"/>
      <c r="H157" s="114">
        <f>(B157+G157)*$H$5</f>
        <v>0</v>
      </c>
      <c r="I157" s="114">
        <f>(B157+G157)*$I$5</f>
        <v>0</v>
      </c>
      <c r="J157" s="114">
        <f>(($B$155*(1+C157))+G157+H157+I157)*$J$5</f>
        <v>0</v>
      </c>
      <c r="K157" s="114">
        <f>B157*(1+C157)+E157+G157+H157+I157+J157</f>
        <v>0</v>
      </c>
      <c r="L157" s="102"/>
      <c r="M157" s="214">
        <f>K157/'Исп. коэффициенты'!$H$49</f>
        <v>0</v>
      </c>
      <c r="N157" s="214">
        <f>K157/'Исп. коэффициенты'!$F$53</f>
        <v>0</v>
      </c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</row>
    <row r="158" spans="1:28" ht="15" customHeight="1" x14ac:dyDescent="0.25">
      <c r="A158" s="94" t="s">
        <v>1146</v>
      </c>
      <c r="B158" s="172"/>
      <c r="C158" s="159">
        <f>$C$5</f>
        <v>0</v>
      </c>
      <c r="D158" s="85"/>
      <c r="E158" s="114"/>
      <c r="F158" s="85"/>
      <c r="G158" s="114"/>
      <c r="H158" s="114">
        <f>(B158+G158)*$H$5</f>
        <v>0</v>
      </c>
      <c r="I158" s="114">
        <f>(B158+G158)*$I$5</f>
        <v>0</v>
      </c>
      <c r="J158" s="114">
        <f>(($B$155*(1+C158))+G158+H158+I158)*$J$5</f>
        <v>0</v>
      </c>
      <c r="K158" s="114">
        <f>B158*(1+C158)+E158+G158+H158+I158+J158</f>
        <v>0</v>
      </c>
      <c r="L158" s="102"/>
      <c r="M158" s="214">
        <f>K158/'Исп. коэффициенты'!$H$49</f>
        <v>0</v>
      </c>
      <c r="N158" s="214">
        <f>K158/'Исп. коэффициенты'!$F$53</f>
        <v>0</v>
      </c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</row>
  </sheetData>
  <mergeCells count="22">
    <mergeCell ref="S4:S5"/>
    <mergeCell ref="T4:T5"/>
    <mergeCell ref="O4:O5"/>
    <mergeCell ref="K4:K5"/>
    <mergeCell ref="N4:N5"/>
    <mergeCell ref="R4:R5"/>
    <mergeCell ref="M3:M5"/>
    <mergeCell ref="N3:AB3"/>
    <mergeCell ref="U4:U5"/>
    <mergeCell ref="V4:V5"/>
    <mergeCell ref="W4:W5"/>
    <mergeCell ref="Y4:Y5"/>
    <mergeCell ref="AB4:AB5"/>
    <mergeCell ref="X4:X5"/>
    <mergeCell ref="Z4:Z5"/>
    <mergeCell ref="AA4:AA5"/>
    <mergeCell ref="P4:P5"/>
    <mergeCell ref="Q4:Q5"/>
    <mergeCell ref="A4:A5"/>
    <mergeCell ref="B4:B5"/>
    <mergeCell ref="D4:E4"/>
    <mergeCell ref="F4:G4"/>
  </mergeCells>
  <phoneticPr fontId="2" type="noConversion"/>
  <pageMargins left="0.48" right="0.31" top="0.54" bottom="0.33" header="0.39" footer="0.22"/>
  <pageSetup paperSize="9" scale="75" orientation="landscape" r:id="rId1"/>
  <headerFooter alignWithMargins="0">
    <oddFooter>&amp;R&amp;P</oddFooter>
  </headerFooter>
  <rowBreaks count="3" manualBreakCount="3">
    <brk id="66" max="10" man="1"/>
    <brk id="98" max="10" man="1"/>
    <brk id="122" max="10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</sheetPr>
  <dimension ref="A1:BA125"/>
  <sheetViews>
    <sheetView topLeftCell="F58" workbookViewId="0">
      <selection activeCell="H141" sqref="H141"/>
    </sheetView>
  </sheetViews>
  <sheetFormatPr defaultColWidth="9.109375" defaultRowHeight="13.2" x14ac:dyDescent="0.25"/>
  <cols>
    <col min="1" max="1" width="9.109375" style="378"/>
    <col min="2" max="2" width="12.44140625" style="378" customWidth="1"/>
    <col min="3" max="4" width="9.109375" style="378"/>
    <col min="5" max="5" width="11" style="378" customWidth="1"/>
    <col min="6" max="13" width="9.109375" style="378" customWidth="1"/>
    <col min="14" max="14" width="9.5546875" style="378" customWidth="1"/>
    <col min="15" max="15" width="11.109375" style="378" customWidth="1"/>
    <col min="16" max="18" width="9.109375" style="378" customWidth="1"/>
    <col min="19" max="19" width="9.5546875" style="378" customWidth="1"/>
    <col min="20" max="24" width="9.109375" style="378"/>
    <col min="25" max="25" width="9.5546875" style="378" bestFit="1" customWidth="1"/>
    <col min="26" max="26" width="9.109375" style="378"/>
    <col min="27" max="29" width="0" style="378" hidden="1" customWidth="1"/>
    <col min="30" max="16384" width="9.109375" style="378"/>
  </cols>
  <sheetData>
    <row r="1" spans="1:53" s="270" customFormat="1" ht="22.5" customHeight="1" x14ac:dyDescent="0.25">
      <c r="A1" s="1025" t="s">
        <v>1240</v>
      </c>
      <c r="B1" s="1025"/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1"/>
      <c r="AB1" s="261"/>
      <c r="AC1" s="261"/>
      <c r="AD1" s="261"/>
      <c r="AE1" s="261"/>
      <c r="AF1" s="262"/>
      <c r="AG1" s="263"/>
      <c r="AH1" s="263"/>
      <c r="AI1" s="338"/>
      <c r="AJ1" s="272"/>
      <c r="AK1" s="272"/>
      <c r="AL1" s="273"/>
      <c r="AM1" s="272"/>
      <c r="AN1" s="272"/>
      <c r="AO1" s="274"/>
      <c r="AP1" s="272"/>
      <c r="AQ1" s="272"/>
      <c r="AR1" s="274"/>
      <c r="AS1" s="274"/>
      <c r="AT1" s="272"/>
      <c r="AU1" s="272"/>
      <c r="AV1" s="274"/>
      <c r="AW1" s="272"/>
      <c r="AX1" s="272"/>
      <c r="AY1" s="272"/>
      <c r="AZ1" s="272"/>
      <c r="BA1" s="272"/>
    </row>
    <row r="2" spans="1:53" s="261" customFormat="1" ht="12.75" customHeight="1" x14ac:dyDescent="0.25">
      <c r="A2" s="39"/>
      <c r="B2" s="309" t="s">
        <v>1178</v>
      </c>
      <c r="C2" s="434">
        <f>'Заработная плата'!M73</f>
        <v>40.401251342681022</v>
      </c>
      <c r="D2" s="270"/>
      <c r="E2" s="285"/>
      <c r="F2" s="340"/>
      <c r="G2" s="319"/>
      <c r="H2" s="319"/>
      <c r="I2" s="270"/>
      <c r="J2" s="334"/>
      <c r="K2" s="341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F2" s="262"/>
      <c r="AG2" s="263"/>
      <c r="AH2" s="263"/>
      <c r="AI2" s="263"/>
      <c r="AJ2" s="263"/>
      <c r="AK2" s="263"/>
      <c r="AL2" s="264"/>
      <c r="AM2" s="263"/>
      <c r="AN2" s="263"/>
      <c r="AO2" s="265"/>
      <c r="AP2" s="263"/>
      <c r="AQ2" s="263"/>
      <c r="AR2" s="265"/>
      <c r="AS2" s="265"/>
      <c r="AT2" s="263"/>
      <c r="AU2" s="263"/>
      <c r="AV2" s="265"/>
      <c r="AW2" s="263"/>
      <c r="AX2" s="263"/>
      <c r="AY2" s="263"/>
      <c r="AZ2" s="263"/>
      <c r="BA2" s="263"/>
    </row>
    <row r="3" spans="1:53" s="261" customFormat="1" ht="12.75" customHeight="1" x14ac:dyDescent="0.25">
      <c r="B3" s="286" t="s">
        <v>1179</v>
      </c>
      <c r="C3" s="435">
        <f>'Заработная плата'!M116</f>
        <v>25.456644376651425</v>
      </c>
      <c r="E3" s="331"/>
      <c r="F3" s="342"/>
      <c r="G3" s="333"/>
      <c r="H3" s="333"/>
      <c r="J3" s="334"/>
      <c r="K3" s="341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F3" s="262"/>
      <c r="AG3" s="263"/>
      <c r="AH3" s="263"/>
      <c r="AI3" s="263"/>
      <c r="AJ3" s="263"/>
      <c r="AK3" s="263"/>
      <c r="AL3" s="264"/>
      <c r="AM3" s="263"/>
      <c r="AN3" s="263"/>
      <c r="AO3" s="265"/>
      <c r="AP3" s="263"/>
      <c r="AQ3" s="263"/>
      <c r="AR3" s="265"/>
      <c r="AS3" s="265"/>
      <c r="AT3" s="263"/>
      <c r="AU3" s="263"/>
      <c r="AV3" s="265"/>
      <c r="AW3" s="263"/>
      <c r="AX3" s="263"/>
      <c r="AY3" s="263"/>
      <c r="AZ3" s="263"/>
      <c r="BA3" s="263"/>
    </row>
    <row r="4" spans="1:53" s="339" customFormat="1" ht="59.25" customHeight="1" x14ac:dyDescent="0.25">
      <c r="A4" s="266"/>
      <c r="B4" s="1026" t="s">
        <v>487</v>
      </c>
      <c r="C4" s="1026"/>
      <c r="D4" s="268" t="s">
        <v>491</v>
      </c>
      <c r="E4" s="1027" t="s">
        <v>1164</v>
      </c>
      <c r="F4" s="1028"/>
      <c r="G4" s="1028"/>
      <c r="H4" s="1028"/>
      <c r="I4" s="1023"/>
      <c r="J4" s="1017" t="s">
        <v>1165</v>
      </c>
      <c r="K4" s="1018"/>
      <c r="L4" s="1018"/>
      <c r="M4" s="1018"/>
      <c r="N4" s="1021"/>
      <c r="O4" s="1017" t="s">
        <v>492</v>
      </c>
      <c r="P4" s="1018"/>
      <c r="Q4" s="1018"/>
      <c r="R4" s="1018"/>
      <c r="S4" s="1018"/>
      <c r="T4" s="1017" t="s">
        <v>840</v>
      </c>
      <c r="U4" s="1018"/>
      <c r="V4" s="1018"/>
      <c r="W4" s="1018"/>
      <c r="X4" s="1018"/>
      <c r="Y4" s="1021"/>
      <c r="Z4" s="269" t="s">
        <v>1166</v>
      </c>
      <c r="AA4" s="1023" t="s">
        <v>827</v>
      </c>
      <c r="AB4" s="1015" t="s">
        <v>1167</v>
      </c>
      <c r="AC4" s="1015" t="s">
        <v>1168</v>
      </c>
      <c r="AD4" s="343"/>
      <c r="AF4" s="344"/>
      <c r="AG4" s="345"/>
      <c r="AH4" s="345"/>
      <c r="AI4" s="345"/>
      <c r="AJ4" s="271"/>
      <c r="AK4" s="345"/>
      <c r="AL4" s="346"/>
      <c r="AM4" s="345"/>
      <c r="AN4" s="345"/>
      <c r="AO4" s="132"/>
      <c r="AP4" s="132"/>
      <c r="AQ4" s="132"/>
      <c r="AR4" s="132"/>
      <c r="AS4" s="132"/>
      <c r="AT4" s="132"/>
      <c r="AU4" s="345"/>
      <c r="AV4" s="345"/>
      <c r="AW4" s="271"/>
      <c r="AX4" s="271"/>
      <c r="AY4" s="271"/>
      <c r="AZ4" s="271"/>
      <c r="BA4" s="271"/>
    </row>
    <row r="5" spans="1:53" s="339" customFormat="1" ht="13.5" customHeight="1" x14ac:dyDescent="0.25">
      <c r="A5" s="275"/>
      <c r="B5" s="267" t="s">
        <v>488</v>
      </c>
      <c r="C5" s="267" t="s">
        <v>1169</v>
      </c>
      <c r="D5" s="347">
        <v>0.20200000000000001</v>
      </c>
      <c r="E5" s="1029"/>
      <c r="F5" s="1030"/>
      <c r="G5" s="1030"/>
      <c r="H5" s="1030"/>
      <c r="I5" s="1024"/>
      <c r="J5" s="1019"/>
      <c r="K5" s="1020"/>
      <c r="L5" s="1020"/>
      <c r="M5" s="1020"/>
      <c r="N5" s="1022"/>
      <c r="O5" s="1019"/>
      <c r="P5" s="1020"/>
      <c r="Q5" s="1020"/>
      <c r="R5" s="1020"/>
      <c r="S5" s="1020"/>
      <c r="T5" s="1019"/>
      <c r="U5" s="1020"/>
      <c r="V5" s="1020"/>
      <c r="W5" s="1020"/>
      <c r="X5" s="1020"/>
      <c r="Y5" s="1022"/>
      <c r="Z5" s="276">
        <f>'Исп. коэффициенты'!C91</f>
        <v>1.3001876927947804</v>
      </c>
      <c r="AA5" s="1024"/>
      <c r="AB5" s="1016"/>
      <c r="AC5" s="1016"/>
      <c r="AD5" s="343"/>
      <c r="AE5" s="348"/>
      <c r="AF5" s="344"/>
      <c r="AG5" s="271"/>
      <c r="AH5" s="349"/>
      <c r="AI5" s="350"/>
      <c r="AJ5" s="351"/>
      <c r="AK5" s="349"/>
      <c r="AL5" s="352"/>
      <c r="AM5" s="345"/>
      <c r="AN5" s="345"/>
      <c r="AO5" s="132"/>
      <c r="AP5" s="132"/>
      <c r="AQ5" s="138"/>
      <c r="AR5" s="138"/>
      <c r="AS5" s="138"/>
      <c r="AT5" s="132"/>
      <c r="AU5" s="345"/>
      <c r="AV5" s="271"/>
      <c r="AW5" s="271"/>
      <c r="AX5" s="271"/>
      <c r="AY5" s="271"/>
      <c r="AZ5" s="271"/>
      <c r="BA5" s="271"/>
    </row>
    <row r="6" spans="1:53" s="261" customFormat="1" ht="56.25" customHeight="1" x14ac:dyDescent="0.25">
      <c r="A6" s="1012" t="s">
        <v>699</v>
      </c>
      <c r="B6" s="438" t="s">
        <v>1721</v>
      </c>
      <c r="C6" s="277"/>
      <c r="D6" s="287"/>
      <c r="E6" s="278" t="s">
        <v>488</v>
      </c>
      <c r="F6" s="279" t="s">
        <v>837</v>
      </c>
      <c r="G6" s="277" t="s">
        <v>489</v>
      </c>
      <c r="H6" s="278" t="s">
        <v>1170</v>
      </c>
      <c r="I6" s="279" t="s">
        <v>838</v>
      </c>
      <c r="J6" s="280" t="s">
        <v>1171</v>
      </c>
      <c r="K6" s="280" t="s">
        <v>490</v>
      </c>
      <c r="L6" s="281" t="s">
        <v>489</v>
      </c>
      <c r="M6" s="280" t="s">
        <v>1172</v>
      </c>
      <c r="N6" s="354" t="s">
        <v>838</v>
      </c>
      <c r="O6" s="280" t="s">
        <v>1171</v>
      </c>
      <c r="P6" s="280" t="s">
        <v>826</v>
      </c>
      <c r="Q6" s="282" t="s">
        <v>1173</v>
      </c>
      <c r="R6" s="280" t="s">
        <v>1174</v>
      </c>
      <c r="S6" s="280" t="s">
        <v>839</v>
      </c>
      <c r="T6" s="280" t="s">
        <v>1171</v>
      </c>
      <c r="U6" s="280" t="s">
        <v>1392</v>
      </c>
      <c r="V6" s="282" t="s">
        <v>1173</v>
      </c>
      <c r="W6" s="280" t="s">
        <v>841</v>
      </c>
      <c r="X6" s="280" t="s">
        <v>1394</v>
      </c>
      <c r="Y6" s="280" t="s">
        <v>839</v>
      </c>
      <c r="Z6" s="283"/>
      <c r="AA6" s="284"/>
      <c r="AB6" s="284"/>
      <c r="AC6" s="284"/>
      <c r="AD6" s="263"/>
      <c r="AF6" s="262"/>
      <c r="AG6" s="263"/>
      <c r="AH6" s="263"/>
      <c r="AI6" s="263"/>
      <c r="AJ6" s="263"/>
      <c r="AK6" s="263"/>
      <c r="AL6" s="264"/>
      <c r="AM6" s="263"/>
      <c r="AN6" s="263"/>
      <c r="AO6" s="265"/>
      <c r="AP6" s="263"/>
      <c r="AQ6" s="355"/>
      <c r="AR6" s="355"/>
      <c r="AS6" s="355"/>
      <c r="AT6" s="263"/>
      <c r="AU6" s="263"/>
      <c r="AV6" s="265"/>
      <c r="AW6" s="263"/>
      <c r="AX6" s="263"/>
      <c r="AY6" s="263"/>
      <c r="AZ6" s="263"/>
      <c r="BA6" s="263"/>
    </row>
    <row r="7" spans="1:53" s="270" customFormat="1" ht="12" customHeight="1" x14ac:dyDescent="0.25">
      <c r="A7" s="1013"/>
      <c r="B7" s="285" t="s">
        <v>1175</v>
      </c>
      <c r="C7" s="277">
        <f>C14</f>
        <v>65.857895719332447</v>
      </c>
      <c r="D7" s="336">
        <f>C7*$D$5</f>
        <v>13.303294935305155</v>
      </c>
      <c r="E7" s="286" t="s">
        <v>1176</v>
      </c>
      <c r="F7" s="356"/>
      <c r="G7" s="288"/>
      <c r="H7" s="288"/>
      <c r="I7" s="289">
        <f>SUM(I8:I15)</f>
        <v>13.11</v>
      </c>
      <c r="J7" s="290" t="s">
        <v>1176</v>
      </c>
      <c r="K7" s="357"/>
      <c r="L7" s="291"/>
      <c r="M7" s="291"/>
      <c r="N7" s="433">
        <f>SUM(N8:N15)</f>
        <v>8.2000430473983976E-2</v>
      </c>
      <c r="O7" s="291"/>
      <c r="P7" s="291"/>
      <c r="Q7" s="291"/>
      <c r="R7" s="291"/>
      <c r="S7" s="295">
        <f>S8+S9</f>
        <v>0.21901767273821282</v>
      </c>
      <c r="T7" s="291" t="s">
        <v>1176</v>
      </c>
      <c r="U7" s="307"/>
      <c r="V7" s="308"/>
      <c r="W7" s="306"/>
      <c r="X7" s="292"/>
      <c r="Y7" s="433">
        <f>SUM(Y8:Y15)</f>
        <v>8.6978382876862383</v>
      </c>
      <c r="Z7" s="296">
        <f>(C7+D7+I7+N7+Y7+S7)*$Z$5</f>
        <v>131.67006881735438</v>
      </c>
      <c r="AA7" s="297">
        <f>C7+D7+I7+N7+S7+Y7+Z7</f>
        <v>232.94011586289042</v>
      </c>
      <c r="AB7" s="298">
        <v>0.25</v>
      </c>
      <c r="AC7" s="358">
        <f>AA7*(1+AB7)</f>
        <v>291.17514482861304</v>
      </c>
      <c r="AD7" s="265"/>
      <c r="AE7" s="261"/>
      <c r="AF7" s="262"/>
      <c r="AG7" s="263"/>
      <c r="AH7" s="263"/>
      <c r="AI7" s="355"/>
      <c r="AJ7" s="359"/>
      <c r="AK7" s="360"/>
      <c r="AL7" s="264"/>
      <c r="AM7" s="361"/>
      <c r="AN7" s="143"/>
      <c r="AO7" s="362"/>
      <c r="AP7" s="363"/>
      <c r="AQ7" s="363"/>
      <c r="AR7" s="363"/>
      <c r="AS7" s="363"/>
      <c r="AT7" s="363"/>
      <c r="AU7" s="362"/>
      <c r="AV7" s="362"/>
      <c r="AW7" s="364"/>
      <c r="AX7" s="272"/>
      <c r="AY7" s="272"/>
      <c r="AZ7" s="272"/>
      <c r="BA7" s="272"/>
    </row>
    <row r="8" spans="1:53" s="371" customFormat="1" ht="12.75" customHeight="1" x14ac:dyDescent="0.25">
      <c r="A8" s="1013"/>
      <c r="B8" s="299" t="s">
        <v>830</v>
      </c>
      <c r="C8" s="277"/>
      <c r="D8" s="336"/>
      <c r="E8" s="300" t="s">
        <v>1437</v>
      </c>
      <c r="F8" s="301" t="s">
        <v>1438</v>
      </c>
      <c r="G8" s="302">
        <v>0.3</v>
      </c>
      <c r="H8" s="301">
        <v>10</v>
      </c>
      <c r="I8" s="303">
        <f>G8*H8</f>
        <v>3</v>
      </c>
      <c r="J8" s="290" t="s">
        <v>1291</v>
      </c>
      <c r="K8" s="304">
        <v>2</v>
      </c>
      <c r="L8" s="305">
        <v>750</v>
      </c>
      <c r="M8" s="304">
        <v>2</v>
      </c>
      <c r="N8" s="433">
        <f>L8/'Исп. коэффициенты'!E52*C12</f>
        <v>7.0690026270675846E-2</v>
      </c>
      <c r="O8" s="291" t="s">
        <v>1667</v>
      </c>
      <c r="P8" s="291">
        <v>4500</v>
      </c>
      <c r="Q8" s="291">
        <v>19.670000000000002</v>
      </c>
      <c r="R8" s="291">
        <v>885.15</v>
      </c>
      <c r="S8" s="295">
        <f>R8/'Исп. коэффициенты'!E52*C12</f>
        <v>8.3428369004651629E-2</v>
      </c>
      <c r="T8" s="306" t="s">
        <v>1435</v>
      </c>
      <c r="U8" s="307">
        <v>6785401.3499999996</v>
      </c>
      <c r="V8" s="308">
        <v>1.3599999999999999E-2</v>
      </c>
      <c r="W8" s="306">
        <f>'Исп. коэффициенты'!E124</f>
        <v>2978.5</v>
      </c>
      <c r="X8" s="292">
        <f>U8*V8</f>
        <v>92281.45835999999</v>
      </c>
      <c r="Y8" s="295">
        <f>X8/'Исп. коэффициенты'!E52*C12</f>
        <v>8.6978382876862383</v>
      </c>
      <c r="Z8" s="291"/>
      <c r="AA8" s="284"/>
      <c r="AB8" s="284"/>
      <c r="AC8" s="284"/>
      <c r="AD8" s="263"/>
      <c r="AE8" s="261"/>
      <c r="AF8" s="365"/>
      <c r="AG8" s="366"/>
      <c r="AH8" s="366"/>
      <c r="AI8" s="366"/>
      <c r="AJ8" s="367"/>
      <c r="AK8" s="366"/>
      <c r="AL8" s="368"/>
      <c r="AM8" s="366"/>
      <c r="AN8" s="366"/>
      <c r="AO8" s="369"/>
      <c r="AP8" s="366"/>
      <c r="AQ8" s="366"/>
      <c r="AR8" s="369"/>
      <c r="AS8" s="369"/>
      <c r="AT8" s="370"/>
      <c r="AU8" s="366"/>
      <c r="AV8" s="369"/>
      <c r="AW8" s="366"/>
      <c r="AX8" s="366"/>
      <c r="AY8" s="366"/>
      <c r="AZ8" s="366"/>
      <c r="BA8" s="366"/>
    </row>
    <row r="9" spans="1:53" s="371" customFormat="1" x14ac:dyDescent="0.25">
      <c r="A9" s="1013"/>
      <c r="B9" s="309" t="s">
        <v>1178</v>
      </c>
      <c r="C9" s="310">
        <f>C2</f>
        <v>40.401251342681022</v>
      </c>
      <c r="D9" s="336"/>
      <c r="E9" s="300" t="s">
        <v>1439</v>
      </c>
      <c r="F9" s="301" t="s">
        <v>1</v>
      </c>
      <c r="G9" s="302">
        <v>5</v>
      </c>
      <c r="H9" s="301">
        <v>0.01</v>
      </c>
      <c r="I9" s="303">
        <f>G9*H9</f>
        <v>0.05</v>
      </c>
      <c r="J9" s="290" t="s">
        <v>1445</v>
      </c>
      <c r="K9" s="292">
        <v>2</v>
      </c>
      <c r="L9" s="311">
        <v>95</v>
      </c>
      <c r="M9" s="304">
        <v>2</v>
      </c>
      <c r="N9" s="433">
        <f>L9/'Исп. коэффициенты'!E52*C12</f>
        <v>8.9540699942856072E-3</v>
      </c>
      <c r="O9" s="291" t="s">
        <v>1668</v>
      </c>
      <c r="P9" s="291">
        <v>6750</v>
      </c>
      <c r="Q9" s="291">
        <v>19.670000000000002</v>
      </c>
      <c r="R9" s="291">
        <v>1327.73</v>
      </c>
      <c r="S9" s="295">
        <f>R9/'Исп. коэффициенты'!E53*C13</f>
        <v>0.13558930373356121</v>
      </c>
      <c r="T9" s="291"/>
      <c r="U9" s="291"/>
      <c r="V9" s="291"/>
      <c r="W9" s="372"/>
      <c r="X9" s="291"/>
      <c r="Y9" s="291"/>
      <c r="Z9" s="291"/>
      <c r="AA9" s="284"/>
      <c r="AB9" s="284"/>
      <c r="AC9" s="284"/>
      <c r="AD9" s="263"/>
      <c r="AE9" s="261"/>
      <c r="AF9" s="365"/>
      <c r="AG9" s="366"/>
      <c r="AH9" s="366"/>
      <c r="AI9" s="366"/>
      <c r="AJ9" s="367"/>
      <c r="AK9" s="366"/>
      <c r="AL9" s="368"/>
      <c r="AM9" s="373"/>
      <c r="AN9" s="366"/>
      <c r="AO9" s="369"/>
      <c r="AP9" s="366"/>
      <c r="AQ9" s="366"/>
      <c r="AR9" s="369"/>
      <c r="AS9" s="369"/>
      <c r="AT9" s="366"/>
      <c r="AU9" s="366"/>
      <c r="AV9" s="369"/>
      <c r="AW9" s="366"/>
      <c r="AX9" s="366"/>
      <c r="AY9" s="366"/>
      <c r="AZ9" s="366"/>
      <c r="BA9" s="366"/>
    </row>
    <row r="10" spans="1:53" s="371" customFormat="1" ht="12.75" customHeight="1" x14ac:dyDescent="0.25">
      <c r="A10" s="1013"/>
      <c r="B10" s="286" t="s">
        <v>1179</v>
      </c>
      <c r="C10" s="277">
        <f>C3</f>
        <v>25.456644376651425</v>
      </c>
      <c r="D10" s="336"/>
      <c r="E10" s="300" t="s">
        <v>1440</v>
      </c>
      <c r="F10" s="301" t="s">
        <v>1441</v>
      </c>
      <c r="G10" s="302">
        <v>5.36</v>
      </c>
      <c r="H10" s="312">
        <v>1</v>
      </c>
      <c r="I10" s="303">
        <f>G10*H10</f>
        <v>5.36</v>
      </c>
      <c r="J10" s="290" t="s">
        <v>1513</v>
      </c>
      <c r="K10" s="292">
        <v>2</v>
      </c>
      <c r="L10" s="292">
        <v>25</v>
      </c>
      <c r="M10" s="304">
        <v>0.5</v>
      </c>
      <c r="N10" s="433">
        <f>L10/'Исп. коэффициенты'!E52*C12</f>
        <v>2.3563342090225283E-3</v>
      </c>
      <c r="O10" s="291"/>
      <c r="P10" s="291"/>
      <c r="Q10" s="291"/>
      <c r="R10" s="291"/>
      <c r="S10" s="291"/>
      <c r="T10" s="291"/>
      <c r="U10" s="291"/>
      <c r="V10" s="291"/>
      <c r="W10" s="372"/>
      <c r="X10" s="291"/>
      <c r="Y10" s="291"/>
      <c r="Z10" s="291"/>
      <c r="AA10" s="284"/>
      <c r="AB10" s="284"/>
      <c r="AC10" s="284"/>
      <c r="AD10" s="263"/>
      <c r="AE10" s="261"/>
      <c r="AF10" s="365"/>
      <c r="AG10" s="366"/>
      <c r="AH10" s="366"/>
      <c r="AI10" s="366"/>
      <c r="AJ10" s="367"/>
      <c r="AK10" s="366"/>
      <c r="AL10" s="368"/>
      <c r="AM10" s="366"/>
      <c r="AN10" s="366"/>
      <c r="AO10" s="369"/>
      <c r="AP10" s="366"/>
      <c r="AQ10" s="366"/>
      <c r="AR10" s="369"/>
      <c r="AS10" s="369"/>
      <c r="AT10" s="366"/>
      <c r="AU10" s="366"/>
      <c r="AV10" s="369"/>
      <c r="AW10" s="366"/>
      <c r="AX10" s="366"/>
      <c r="AY10" s="366"/>
      <c r="AZ10" s="366"/>
      <c r="BA10" s="366"/>
    </row>
    <row r="11" spans="1:53" s="371" customFormat="1" ht="12.75" customHeight="1" x14ac:dyDescent="0.25">
      <c r="A11" s="1013"/>
      <c r="B11" s="286" t="s">
        <v>831</v>
      </c>
      <c r="C11" s="313"/>
      <c r="D11" s="336"/>
      <c r="E11" s="300" t="s">
        <v>1442</v>
      </c>
      <c r="F11" s="301" t="s">
        <v>1</v>
      </c>
      <c r="G11" s="302">
        <v>0.47</v>
      </c>
      <c r="H11" s="301">
        <v>10</v>
      </c>
      <c r="I11" s="303">
        <f>G11*H11</f>
        <v>4.6999999999999993</v>
      </c>
      <c r="J11" s="290"/>
      <c r="K11" s="374"/>
      <c r="L11" s="292"/>
      <c r="M11" s="292"/>
      <c r="N11" s="292"/>
      <c r="O11" s="291"/>
      <c r="P11" s="291"/>
      <c r="Q11" s="372"/>
      <c r="R11" s="291"/>
      <c r="S11" s="291"/>
      <c r="T11" s="291"/>
      <c r="U11" s="291"/>
      <c r="V11" s="291"/>
      <c r="W11" s="372"/>
      <c r="X11" s="291"/>
      <c r="Y11" s="291"/>
      <c r="Z11" s="291"/>
      <c r="AA11" s="284"/>
      <c r="AB11" s="284"/>
      <c r="AC11" s="284"/>
      <c r="AD11" s="263"/>
      <c r="AE11" s="261"/>
      <c r="AF11" s="365"/>
      <c r="AG11" s="366"/>
      <c r="AH11" s="366"/>
      <c r="AI11" s="366"/>
      <c r="AJ11" s="367"/>
      <c r="AK11" s="366"/>
      <c r="AL11" s="368"/>
      <c r="AM11" s="366"/>
      <c r="AN11" s="366"/>
      <c r="AO11" s="369"/>
      <c r="AP11" s="366"/>
      <c r="AQ11" s="366"/>
      <c r="AR11" s="369"/>
      <c r="AS11" s="369"/>
      <c r="AT11" s="366"/>
      <c r="AU11" s="366"/>
      <c r="AV11" s="369"/>
      <c r="AW11" s="366"/>
      <c r="AX11" s="366"/>
      <c r="AY11" s="366"/>
      <c r="AZ11" s="366"/>
      <c r="BA11" s="366"/>
    </row>
    <row r="12" spans="1:53" s="371" customFormat="1" ht="12.75" customHeight="1" x14ac:dyDescent="0.25">
      <c r="A12" s="1013"/>
      <c r="B12" s="309" t="s">
        <v>1178</v>
      </c>
      <c r="C12" s="314">
        <v>1</v>
      </c>
      <c r="D12" s="336"/>
      <c r="E12" s="300"/>
      <c r="F12" s="301"/>
      <c r="G12" s="302"/>
      <c r="H12" s="301"/>
      <c r="I12" s="303"/>
      <c r="J12" s="290"/>
      <c r="K12" s="374"/>
      <c r="L12" s="292"/>
      <c r="M12" s="292"/>
      <c r="N12" s="292"/>
      <c r="O12" s="291"/>
      <c r="P12" s="291"/>
      <c r="Q12" s="372"/>
      <c r="R12" s="291"/>
      <c r="S12" s="291"/>
      <c r="T12" s="291"/>
      <c r="U12" s="291"/>
      <c r="V12" s="291"/>
      <c r="W12" s="372"/>
      <c r="X12" s="291"/>
      <c r="Y12" s="291"/>
      <c r="Z12" s="291"/>
      <c r="AA12" s="284"/>
      <c r="AB12" s="284"/>
      <c r="AC12" s="284"/>
      <c r="AD12" s="263"/>
      <c r="AE12" s="261"/>
      <c r="AF12" s="365"/>
      <c r="AG12" s="366"/>
      <c r="AH12" s="366"/>
      <c r="AI12" s="366"/>
      <c r="AJ12" s="375"/>
      <c r="AK12" s="366"/>
      <c r="AL12" s="368"/>
      <c r="AM12" s="366"/>
      <c r="AN12" s="366"/>
      <c r="AO12" s="369"/>
      <c r="AP12" s="366"/>
      <c r="AQ12" s="366"/>
      <c r="AR12" s="369"/>
      <c r="AS12" s="369"/>
      <c r="AT12" s="366"/>
      <c r="AU12" s="366"/>
      <c r="AV12" s="369"/>
      <c r="AW12" s="366"/>
      <c r="AX12" s="366"/>
      <c r="AY12" s="366"/>
      <c r="AZ12" s="366"/>
      <c r="BA12" s="366"/>
    </row>
    <row r="13" spans="1:53" s="371" customFormat="1" ht="12.75" customHeight="1" x14ac:dyDescent="0.25">
      <c r="A13" s="1013"/>
      <c r="B13" s="286" t="s">
        <v>1179</v>
      </c>
      <c r="C13" s="314">
        <v>1</v>
      </c>
      <c r="D13" s="336"/>
      <c r="E13" s="300"/>
      <c r="F13" s="376"/>
      <c r="G13" s="302"/>
      <c r="H13" s="301"/>
      <c r="I13" s="303"/>
      <c r="J13" s="290"/>
      <c r="K13" s="374"/>
      <c r="L13" s="292"/>
      <c r="M13" s="292"/>
      <c r="N13" s="292"/>
      <c r="O13" s="291"/>
      <c r="P13" s="291"/>
      <c r="Q13" s="372"/>
      <c r="R13" s="291"/>
      <c r="S13" s="291"/>
      <c r="T13" s="291"/>
      <c r="U13" s="291"/>
      <c r="V13" s="291"/>
      <c r="W13" s="372"/>
      <c r="X13" s="291"/>
      <c r="Y13" s="291"/>
      <c r="Z13" s="291"/>
      <c r="AA13" s="284"/>
      <c r="AB13" s="284"/>
      <c r="AC13" s="284"/>
      <c r="AD13" s="263"/>
      <c r="AE13" s="261"/>
      <c r="AF13" s="365"/>
      <c r="AG13" s="366"/>
      <c r="AH13" s="366"/>
      <c r="AI13" s="366"/>
      <c r="AJ13" s="375"/>
      <c r="AK13" s="366"/>
      <c r="AL13" s="368"/>
      <c r="AM13" s="366"/>
      <c r="AN13" s="366"/>
      <c r="AO13" s="369"/>
      <c r="AP13" s="366"/>
      <c r="AQ13" s="366"/>
      <c r="AR13" s="369"/>
      <c r="AS13" s="369"/>
      <c r="AT13" s="366"/>
      <c r="AU13" s="366"/>
      <c r="AV13" s="369"/>
      <c r="AW13" s="366"/>
      <c r="AX13" s="366"/>
      <c r="AY13" s="366"/>
      <c r="AZ13" s="366"/>
      <c r="BA13" s="366"/>
    </row>
    <row r="14" spans="1:53" s="371" customFormat="1" ht="12.75" customHeight="1" x14ac:dyDescent="0.25">
      <c r="A14" s="1013"/>
      <c r="B14" s="315" t="s">
        <v>1181</v>
      </c>
      <c r="C14" s="277">
        <f>C9*C12+C10*C13</f>
        <v>65.857895719332447</v>
      </c>
      <c r="D14" s="336"/>
      <c r="E14" s="300"/>
      <c r="F14" s="376"/>
      <c r="G14" s="302"/>
      <c r="H14" s="301"/>
      <c r="I14" s="303"/>
      <c r="J14" s="290"/>
      <c r="K14" s="374"/>
      <c r="L14" s="292"/>
      <c r="M14" s="292"/>
      <c r="N14" s="292"/>
      <c r="O14" s="291"/>
      <c r="P14" s="291"/>
      <c r="Q14" s="372"/>
      <c r="R14" s="291"/>
      <c r="S14" s="291"/>
      <c r="T14" s="291"/>
      <c r="U14" s="291"/>
      <c r="V14" s="291"/>
      <c r="W14" s="372"/>
      <c r="X14" s="291"/>
      <c r="Y14" s="291"/>
      <c r="Z14" s="291"/>
      <c r="AA14" s="284"/>
      <c r="AB14" s="284"/>
      <c r="AC14" s="284"/>
      <c r="AD14" s="263"/>
      <c r="AE14" s="261"/>
      <c r="AF14" s="365"/>
      <c r="AG14" s="366"/>
      <c r="AH14" s="366"/>
      <c r="AI14" s="366"/>
      <c r="AJ14" s="367"/>
      <c r="AK14" s="366"/>
      <c r="AL14" s="368"/>
      <c r="AM14" s="366"/>
      <c r="AN14" s="366"/>
      <c r="AO14" s="369"/>
      <c r="AP14" s="366"/>
      <c r="AQ14" s="366"/>
      <c r="AR14" s="369"/>
      <c r="AS14" s="369"/>
      <c r="AT14" s="366"/>
      <c r="AU14" s="366"/>
      <c r="AV14" s="369"/>
      <c r="AW14" s="366"/>
      <c r="AX14" s="366"/>
      <c r="AY14" s="366"/>
      <c r="AZ14" s="366"/>
      <c r="BA14" s="366"/>
    </row>
    <row r="15" spans="1:53" s="371" customFormat="1" ht="12.75" customHeight="1" x14ac:dyDescent="0.25">
      <c r="A15" s="1014"/>
      <c r="B15" s="315"/>
      <c r="C15" s="314"/>
      <c r="D15" s="337"/>
      <c r="E15" s="300"/>
      <c r="F15" s="376"/>
      <c r="G15" s="302"/>
      <c r="H15" s="301"/>
      <c r="I15" s="303"/>
      <c r="J15" s="290"/>
      <c r="K15" s="374"/>
      <c r="L15" s="292"/>
      <c r="M15" s="292"/>
      <c r="N15" s="292"/>
      <c r="O15" s="291"/>
      <c r="P15" s="291"/>
      <c r="Q15" s="372"/>
      <c r="R15" s="291"/>
      <c r="S15" s="291"/>
      <c r="T15" s="291"/>
      <c r="U15" s="291"/>
      <c r="V15" s="291"/>
      <c r="W15" s="372"/>
      <c r="X15" s="291"/>
      <c r="Y15" s="291"/>
      <c r="Z15" s="291"/>
      <c r="AA15" s="284"/>
      <c r="AB15" s="284"/>
      <c r="AC15" s="284"/>
      <c r="AD15" s="263"/>
      <c r="AE15" s="261"/>
      <c r="AF15" s="365"/>
      <c r="AG15" s="366"/>
      <c r="AH15" s="366"/>
      <c r="AI15" s="366"/>
      <c r="AJ15" s="375"/>
      <c r="AK15" s="366"/>
      <c r="AL15" s="368"/>
      <c r="AM15" s="366"/>
      <c r="AN15" s="366"/>
      <c r="AO15" s="369"/>
      <c r="AP15" s="366"/>
      <c r="AQ15" s="366"/>
      <c r="AR15" s="369"/>
      <c r="AS15" s="369"/>
      <c r="AT15" s="366"/>
      <c r="AU15" s="366"/>
      <c r="AV15" s="369"/>
      <c r="AW15" s="366"/>
      <c r="AX15" s="366"/>
      <c r="AY15" s="366"/>
      <c r="AZ15" s="366"/>
      <c r="BA15" s="366"/>
    </row>
    <row r="16" spans="1:53" s="261" customFormat="1" ht="56.25" customHeight="1" x14ac:dyDescent="0.25">
      <c r="A16" s="1012" t="s">
        <v>700</v>
      </c>
      <c r="B16" s="438" t="s">
        <v>1722</v>
      </c>
      <c r="C16" s="277"/>
      <c r="D16" s="287"/>
      <c r="E16" s="278" t="s">
        <v>488</v>
      </c>
      <c r="F16" s="279" t="s">
        <v>837</v>
      </c>
      <c r="G16" s="277" t="s">
        <v>489</v>
      </c>
      <c r="H16" s="278" t="s">
        <v>1170</v>
      </c>
      <c r="I16" s="279" t="s">
        <v>838</v>
      </c>
      <c r="J16" s="280" t="s">
        <v>1171</v>
      </c>
      <c r="K16" s="280" t="s">
        <v>490</v>
      </c>
      <c r="L16" s="281" t="s">
        <v>489</v>
      </c>
      <c r="M16" s="280" t="s">
        <v>1172</v>
      </c>
      <c r="N16" s="354" t="s">
        <v>838</v>
      </c>
      <c r="O16" s="280" t="s">
        <v>1171</v>
      </c>
      <c r="P16" s="280" t="s">
        <v>826</v>
      </c>
      <c r="Q16" s="282" t="s">
        <v>1173</v>
      </c>
      <c r="R16" s="280" t="s">
        <v>1174</v>
      </c>
      <c r="S16" s="280" t="s">
        <v>839</v>
      </c>
      <c r="T16" s="280" t="s">
        <v>1171</v>
      </c>
      <c r="U16" s="280" t="s">
        <v>1392</v>
      </c>
      <c r="V16" s="282" t="s">
        <v>1173</v>
      </c>
      <c r="W16" s="280" t="s">
        <v>841</v>
      </c>
      <c r="X16" s="280" t="s">
        <v>1394</v>
      </c>
      <c r="Y16" s="280" t="s">
        <v>839</v>
      </c>
      <c r="Z16" s="283"/>
      <c r="AA16" s="284"/>
      <c r="AB16" s="284"/>
      <c r="AC16" s="284"/>
      <c r="AD16" s="263"/>
      <c r="AF16" s="262"/>
      <c r="AG16" s="263"/>
      <c r="AH16" s="263"/>
      <c r="AI16" s="263"/>
      <c r="AJ16" s="263"/>
      <c r="AK16" s="263"/>
      <c r="AL16" s="264"/>
      <c r="AM16" s="263"/>
      <c r="AN16" s="263"/>
      <c r="AO16" s="265"/>
      <c r="AP16" s="263"/>
      <c r="AQ16" s="355"/>
      <c r="AR16" s="355"/>
      <c r="AS16" s="355"/>
      <c r="AT16" s="263"/>
      <c r="AU16" s="263"/>
      <c r="AV16" s="265"/>
      <c r="AW16" s="263"/>
      <c r="AX16" s="263"/>
      <c r="AY16" s="263"/>
      <c r="AZ16" s="263"/>
      <c r="BA16" s="263"/>
    </row>
    <row r="17" spans="1:53" s="270" customFormat="1" ht="12" customHeight="1" x14ac:dyDescent="0.25">
      <c r="A17" s="1013"/>
      <c r="B17" s="285" t="s">
        <v>1175</v>
      </c>
      <c r="C17" s="277">
        <f>C24</f>
        <v>59.272106147399199</v>
      </c>
      <c r="D17" s="336">
        <f>C17*$D$5</f>
        <v>11.972965441774639</v>
      </c>
      <c r="E17" s="286" t="s">
        <v>1176</v>
      </c>
      <c r="F17" s="356"/>
      <c r="G17" s="288"/>
      <c r="H17" s="288"/>
      <c r="I17" s="289">
        <f>SUM(I18:I25)</f>
        <v>13.11</v>
      </c>
      <c r="J17" s="290" t="s">
        <v>1176</v>
      </c>
      <c r="K17" s="357"/>
      <c r="L17" s="291"/>
      <c r="M17" s="291"/>
      <c r="N17" s="433">
        <f>SUM(N18:N25)</f>
        <v>7.3800387426585595E-2</v>
      </c>
      <c r="O17" s="291"/>
      <c r="P17" s="291"/>
      <c r="Q17" s="291"/>
      <c r="R17" s="291"/>
      <c r="S17" s="295">
        <f>S18+S19</f>
        <v>0.18771425440062378</v>
      </c>
      <c r="T17" s="291" t="s">
        <v>1176</v>
      </c>
      <c r="U17" s="307"/>
      <c r="V17" s="308"/>
      <c r="W17" s="306"/>
      <c r="X17" s="292"/>
      <c r="Y17" s="433">
        <f>SUM(Y18:Y25)</f>
        <v>7.8280544589176149</v>
      </c>
      <c r="Z17" s="296">
        <f>(C17+D17+I17+N17+Y17+S17)*$Z$5</f>
        <v>120.19538408986782</v>
      </c>
      <c r="AA17" s="297">
        <f>C17+D17+I17+N17+S17+Y17+Z17</f>
        <v>212.64002477978647</v>
      </c>
      <c r="AB17" s="298">
        <v>0.25</v>
      </c>
      <c r="AC17" s="358">
        <f>AA17*(1+AB17)</f>
        <v>265.80003097473309</v>
      </c>
      <c r="AD17" s="265"/>
      <c r="AE17" s="261"/>
      <c r="AF17" s="262"/>
      <c r="AG17" s="263"/>
      <c r="AH17" s="263"/>
      <c r="AI17" s="355"/>
      <c r="AJ17" s="359"/>
      <c r="AK17" s="360"/>
      <c r="AL17" s="264"/>
      <c r="AM17" s="361"/>
      <c r="AN17" s="143"/>
      <c r="AO17" s="362"/>
      <c r="AP17" s="363"/>
      <c r="AQ17" s="363"/>
      <c r="AR17" s="363"/>
      <c r="AS17" s="363"/>
      <c r="AT17" s="363"/>
      <c r="AU17" s="362"/>
      <c r="AV17" s="362"/>
      <c r="AW17" s="364"/>
      <c r="AX17" s="272"/>
      <c r="AY17" s="272"/>
      <c r="AZ17" s="272"/>
      <c r="BA17" s="272"/>
    </row>
    <row r="18" spans="1:53" s="371" customFormat="1" ht="12.75" customHeight="1" x14ac:dyDescent="0.25">
      <c r="A18" s="1013"/>
      <c r="B18" s="299" t="s">
        <v>830</v>
      </c>
      <c r="C18" s="277"/>
      <c r="D18" s="336"/>
      <c r="E18" s="300" t="s">
        <v>1437</v>
      </c>
      <c r="F18" s="301" t="s">
        <v>1438</v>
      </c>
      <c r="G18" s="302">
        <v>0.3</v>
      </c>
      <c r="H18" s="301">
        <v>10</v>
      </c>
      <c r="I18" s="303">
        <f>G18*H18</f>
        <v>3</v>
      </c>
      <c r="J18" s="290" t="s">
        <v>1291</v>
      </c>
      <c r="K18" s="304">
        <v>2</v>
      </c>
      <c r="L18" s="305">
        <v>750</v>
      </c>
      <c r="M18" s="304">
        <v>2</v>
      </c>
      <c r="N18" s="433">
        <f>L18/'Исп. коэффициенты'!E52*C22</f>
        <v>6.3621023643608263E-2</v>
      </c>
      <c r="O18" s="291" t="s">
        <v>1667</v>
      </c>
      <c r="P18" s="291">
        <v>4500</v>
      </c>
      <c r="Q18" s="291">
        <v>19.670000000000002</v>
      </c>
      <c r="R18" s="291">
        <v>885.15</v>
      </c>
      <c r="S18" s="295">
        <f>R18/'Исп. коэффициенты'!E52*C22</f>
        <v>7.5085532104186462E-2</v>
      </c>
      <c r="T18" s="306" t="s">
        <v>1435</v>
      </c>
      <c r="U18" s="307">
        <v>6785401.3499999996</v>
      </c>
      <c r="V18" s="308">
        <v>1.3599999999999999E-2</v>
      </c>
      <c r="W18" s="306">
        <f>'Исп. коэффициенты'!E124</f>
        <v>2978.5</v>
      </c>
      <c r="X18" s="292">
        <f>U18*V18</f>
        <v>92281.45835999999</v>
      </c>
      <c r="Y18" s="295">
        <f>X18/'Исп. коэффициенты'!E52*C22</f>
        <v>7.8280544589176149</v>
      </c>
      <c r="Z18" s="291"/>
      <c r="AA18" s="284"/>
      <c r="AB18" s="284"/>
      <c r="AC18" s="284"/>
      <c r="AD18" s="263"/>
      <c r="AE18" s="261"/>
      <c r="AF18" s="365"/>
      <c r="AG18" s="366"/>
      <c r="AH18" s="366"/>
      <c r="AI18" s="366"/>
      <c r="AJ18" s="367"/>
      <c r="AK18" s="366"/>
      <c r="AL18" s="368"/>
      <c r="AM18" s="366"/>
      <c r="AN18" s="366"/>
      <c r="AO18" s="369"/>
      <c r="AP18" s="366"/>
      <c r="AQ18" s="366"/>
      <c r="AR18" s="369"/>
      <c r="AS18" s="369"/>
      <c r="AT18" s="370"/>
      <c r="AU18" s="366"/>
      <c r="AV18" s="369"/>
      <c r="AW18" s="366"/>
      <c r="AX18" s="366"/>
      <c r="AY18" s="366"/>
      <c r="AZ18" s="366"/>
      <c r="BA18" s="366"/>
    </row>
    <row r="19" spans="1:53" s="371" customFormat="1" x14ac:dyDescent="0.25">
      <c r="A19" s="1013"/>
      <c r="B19" s="309" t="s">
        <v>1178</v>
      </c>
      <c r="C19" s="310">
        <f>C9</f>
        <v>40.401251342681022</v>
      </c>
      <c r="D19" s="336"/>
      <c r="E19" s="300" t="s">
        <v>1439</v>
      </c>
      <c r="F19" s="301" t="s">
        <v>1</v>
      </c>
      <c r="G19" s="302">
        <v>5</v>
      </c>
      <c r="H19" s="301">
        <v>0.01</v>
      </c>
      <c r="I19" s="303">
        <f>G19*H19</f>
        <v>0.05</v>
      </c>
      <c r="J19" s="290" t="s">
        <v>1445</v>
      </c>
      <c r="K19" s="292">
        <v>2</v>
      </c>
      <c r="L19" s="311">
        <v>95</v>
      </c>
      <c r="M19" s="304">
        <v>2</v>
      </c>
      <c r="N19" s="433">
        <f>L19/'Исп. коэффициенты'!E52*C22</f>
        <v>8.0586629948570469E-3</v>
      </c>
      <c r="O19" s="291" t="s">
        <v>1668</v>
      </c>
      <c r="P19" s="291">
        <v>6750</v>
      </c>
      <c r="Q19" s="291">
        <v>19.670000000000002</v>
      </c>
      <c r="R19" s="291">
        <v>1327.73</v>
      </c>
      <c r="S19" s="295">
        <f>R19/'Исп. коэффициенты'!E52*C22</f>
        <v>0.11262872229643733</v>
      </c>
      <c r="T19" s="291"/>
      <c r="U19" s="291"/>
      <c r="V19" s="291"/>
      <c r="W19" s="372"/>
      <c r="X19" s="291"/>
      <c r="Y19" s="291"/>
      <c r="Z19" s="291"/>
      <c r="AA19" s="284"/>
      <c r="AB19" s="284"/>
      <c r="AC19" s="284"/>
      <c r="AD19" s="263"/>
      <c r="AE19" s="261"/>
      <c r="AF19" s="365"/>
      <c r="AG19" s="366"/>
      <c r="AH19" s="366"/>
      <c r="AI19" s="366"/>
      <c r="AJ19" s="367"/>
      <c r="AK19" s="366"/>
      <c r="AL19" s="368"/>
      <c r="AM19" s="373"/>
      <c r="AN19" s="366"/>
      <c r="AO19" s="369"/>
      <c r="AP19" s="366"/>
      <c r="AQ19" s="366"/>
      <c r="AR19" s="369"/>
      <c r="AS19" s="369"/>
      <c r="AT19" s="366"/>
      <c r="AU19" s="366"/>
      <c r="AV19" s="369"/>
      <c r="AW19" s="366"/>
      <c r="AX19" s="366"/>
      <c r="AY19" s="366"/>
      <c r="AZ19" s="366"/>
      <c r="BA19" s="366"/>
    </row>
    <row r="20" spans="1:53" s="371" customFormat="1" ht="12.75" customHeight="1" x14ac:dyDescent="0.25">
      <c r="A20" s="1013"/>
      <c r="B20" s="286" t="s">
        <v>1179</v>
      </c>
      <c r="C20" s="277">
        <f>C10</f>
        <v>25.456644376651425</v>
      </c>
      <c r="D20" s="336"/>
      <c r="E20" s="300" t="s">
        <v>1440</v>
      </c>
      <c r="F20" s="301" t="s">
        <v>1441</v>
      </c>
      <c r="G20" s="302">
        <v>5.36</v>
      </c>
      <c r="H20" s="312">
        <v>1</v>
      </c>
      <c r="I20" s="303">
        <f>G20*H20</f>
        <v>5.36</v>
      </c>
      <c r="J20" s="290" t="s">
        <v>1513</v>
      </c>
      <c r="K20" s="292">
        <v>2</v>
      </c>
      <c r="L20" s="292">
        <v>25</v>
      </c>
      <c r="M20" s="304">
        <v>0.5</v>
      </c>
      <c r="N20" s="433">
        <f>L20/'Исп. коэффициенты'!E52*C22</f>
        <v>2.1207007881202757E-3</v>
      </c>
      <c r="O20" s="291"/>
      <c r="P20" s="291"/>
      <c r="Q20" s="291"/>
      <c r="R20" s="291"/>
      <c r="S20" s="291"/>
      <c r="T20" s="291"/>
      <c r="U20" s="291"/>
      <c r="V20" s="291"/>
      <c r="W20" s="372"/>
      <c r="X20" s="291"/>
      <c r="Y20" s="291"/>
      <c r="Z20" s="291"/>
      <c r="AA20" s="284"/>
      <c r="AB20" s="284"/>
      <c r="AC20" s="284"/>
      <c r="AD20" s="263"/>
      <c r="AE20" s="261"/>
      <c r="AF20" s="365"/>
      <c r="AG20" s="366"/>
      <c r="AH20" s="366"/>
      <c r="AI20" s="366"/>
      <c r="AJ20" s="367"/>
      <c r="AK20" s="366"/>
      <c r="AL20" s="368"/>
      <c r="AM20" s="366"/>
      <c r="AN20" s="366"/>
      <c r="AO20" s="369"/>
      <c r="AP20" s="366"/>
      <c r="AQ20" s="366"/>
      <c r="AR20" s="369"/>
      <c r="AS20" s="369"/>
      <c r="AT20" s="366"/>
      <c r="AU20" s="366"/>
      <c r="AV20" s="369"/>
      <c r="AW20" s="366"/>
      <c r="AX20" s="366"/>
      <c r="AY20" s="366"/>
      <c r="AZ20" s="366"/>
      <c r="BA20" s="366"/>
    </row>
    <row r="21" spans="1:53" s="371" customFormat="1" ht="12.75" customHeight="1" x14ac:dyDescent="0.25">
      <c r="A21" s="1013"/>
      <c r="B21" s="286" t="s">
        <v>831</v>
      </c>
      <c r="C21" s="313"/>
      <c r="D21" s="336"/>
      <c r="E21" s="300" t="s">
        <v>1442</v>
      </c>
      <c r="F21" s="301" t="s">
        <v>1</v>
      </c>
      <c r="G21" s="302">
        <v>0.47</v>
      </c>
      <c r="H21" s="301">
        <v>10</v>
      </c>
      <c r="I21" s="303">
        <f>G21*H21</f>
        <v>4.6999999999999993</v>
      </c>
      <c r="J21" s="290"/>
      <c r="K21" s="374"/>
      <c r="L21" s="292"/>
      <c r="M21" s="292"/>
      <c r="N21" s="292"/>
      <c r="O21" s="291"/>
      <c r="P21" s="291"/>
      <c r="Q21" s="372"/>
      <c r="R21" s="291"/>
      <c r="S21" s="291"/>
      <c r="T21" s="291"/>
      <c r="U21" s="291"/>
      <c r="V21" s="291"/>
      <c r="W21" s="372"/>
      <c r="X21" s="291"/>
      <c r="Y21" s="291"/>
      <c r="Z21" s="291"/>
      <c r="AA21" s="284"/>
      <c r="AB21" s="284"/>
      <c r="AC21" s="284"/>
      <c r="AD21" s="263"/>
      <c r="AE21" s="261"/>
      <c r="AF21" s="365"/>
      <c r="AG21" s="366"/>
      <c r="AH21" s="366"/>
      <c r="AI21" s="366"/>
      <c r="AJ21" s="367"/>
      <c r="AK21" s="366"/>
      <c r="AL21" s="368"/>
      <c r="AM21" s="366"/>
      <c r="AN21" s="366"/>
      <c r="AO21" s="369"/>
      <c r="AP21" s="366"/>
      <c r="AQ21" s="366"/>
      <c r="AR21" s="369"/>
      <c r="AS21" s="369"/>
      <c r="AT21" s="366"/>
      <c r="AU21" s="366"/>
      <c r="AV21" s="369"/>
      <c r="AW21" s="366"/>
      <c r="AX21" s="366"/>
      <c r="AY21" s="366"/>
      <c r="AZ21" s="366"/>
      <c r="BA21" s="366"/>
    </row>
    <row r="22" spans="1:53" s="371" customFormat="1" ht="12.75" customHeight="1" x14ac:dyDescent="0.25">
      <c r="A22" s="1013"/>
      <c r="B22" s="309" t="s">
        <v>1178</v>
      </c>
      <c r="C22" s="314">
        <v>0.9</v>
      </c>
      <c r="D22" s="336"/>
      <c r="E22" s="300"/>
      <c r="F22" s="301"/>
      <c r="G22" s="302"/>
      <c r="H22" s="301"/>
      <c r="I22" s="303"/>
      <c r="J22" s="290"/>
      <c r="K22" s="374"/>
      <c r="L22" s="292"/>
      <c r="M22" s="292"/>
      <c r="N22" s="292"/>
      <c r="O22" s="291"/>
      <c r="P22" s="291"/>
      <c r="Q22" s="372"/>
      <c r="R22" s="291"/>
      <c r="S22" s="291"/>
      <c r="T22" s="291"/>
      <c r="U22" s="291"/>
      <c r="V22" s="291"/>
      <c r="W22" s="372"/>
      <c r="X22" s="291"/>
      <c r="Y22" s="291"/>
      <c r="Z22" s="291"/>
      <c r="AA22" s="284"/>
      <c r="AB22" s="284"/>
      <c r="AC22" s="284"/>
      <c r="AD22" s="263"/>
      <c r="AE22" s="261"/>
      <c r="AF22" s="365"/>
      <c r="AG22" s="366"/>
      <c r="AH22" s="366"/>
      <c r="AI22" s="366"/>
      <c r="AJ22" s="375"/>
      <c r="AK22" s="366"/>
      <c r="AL22" s="368"/>
      <c r="AM22" s="366"/>
      <c r="AN22" s="366"/>
      <c r="AO22" s="369"/>
      <c r="AP22" s="366"/>
      <c r="AQ22" s="366"/>
      <c r="AR22" s="369"/>
      <c r="AS22" s="369"/>
      <c r="AT22" s="366"/>
      <c r="AU22" s="366"/>
      <c r="AV22" s="369"/>
      <c r="AW22" s="366"/>
      <c r="AX22" s="366"/>
      <c r="AY22" s="366"/>
      <c r="AZ22" s="366"/>
      <c r="BA22" s="366"/>
    </row>
    <row r="23" spans="1:53" s="371" customFormat="1" ht="12.75" customHeight="1" x14ac:dyDescent="0.25">
      <c r="A23" s="1013"/>
      <c r="B23" s="286" t="s">
        <v>1179</v>
      </c>
      <c r="C23" s="314">
        <v>0.9</v>
      </c>
      <c r="D23" s="336"/>
      <c r="E23" s="300"/>
      <c r="F23" s="376"/>
      <c r="G23" s="302"/>
      <c r="H23" s="301"/>
      <c r="I23" s="303"/>
      <c r="J23" s="290"/>
      <c r="K23" s="374"/>
      <c r="L23" s="292"/>
      <c r="M23" s="292"/>
      <c r="N23" s="292"/>
      <c r="O23" s="291"/>
      <c r="P23" s="291"/>
      <c r="Q23" s="372"/>
      <c r="R23" s="291"/>
      <c r="S23" s="291"/>
      <c r="T23" s="291"/>
      <c r="U23" s="291"/>
      <c r="V23" s="291"/>
      <c r="W23" s="372"/>
      <c r="X23" s="291"/>
      <c r="Y23" s="291"/>
      <c r="Z23" s="291"/>
      <c r="AA23" s="284"/>
      <c r="AB23" s="284"/>
      <c r="AC23" s="284"/>
      <c r="AD23" s="263"/>
      <c r="AE23" s="261"/>
      <c r="AF23" s="365"/>
      <c r="AG23" s="366"/>
      <c r="AH23" s="366"/>
      <c r="AI23" s="366"/>
      <c r="AJ23" s="375"/>
      <c r="AK23" s="366"/>
      <c r="AL23" s="368"/>
      <c r="AM23" s="366"/>
      <c r="AN23" s="366"/>
      <c r="AO23" s="369"/>
      <c r="AP23" s="366"/>
      <c r="AQ23" s="366"/>
      <c r="AR23" s="369"/>
      <c r="AS23" s="369"/>
      <c r="AT23" s="366"/>
      <c r="AU23" s="366"/>
      <c r="AV23" s="369"/>
      <c r="AW23" s="366"/>
      <c r="AX23" s="366"/>
      <c r="AY23" s="366"/>
      <c r="AZ23" s="366"/>
      <c r="BA23" s="366"/>
    </row>
    <row r="24" spans="1:53" s="371" customFormat="1" ht="12.75" customHeight="1" x14ac:dyDescent="0.25">
      <c r="A24" s="1013"/>
      <c r="B24" s="315" t="s">
        <v>1181</v>
      </c>
      <c r="C24" s="277">
        <f>C19*C22+C20*C23</f>
        <v>59.272106147399199</v>
      </c>
      <c r="D24" s="336"/>
      <c r="E24" s="300"/>
      <c r="F24" s="376"/>
      <c r="G24" s="302"/>
      <c r="H24" s="301"/>
      <c r="I24" s="303"/>
      <c r="J24" s="290"/>
      <c r="K24" s="374"/>
      <c r="L24" s="292"/>
      <c r="M24" s="292"/>
      <c r="N24" s="292"/>
      <c r="O24" s="291"/>
      <c r="P24" s="291"/>
      <c r="Q24" s="372"/>
      <c r="R24" s="291"/>
      <c r="S24" s="291"/>
      <c r="T24" s="291"/>
      <c r="U24" s="291"/>
      <c r="V24" s="291"/>
      <c r="W24" s="372"/>
      <c r="X24" s="291"/>
      <c r="Y24" s="291"/>
      <c r="Z24" s="291"/>
      <c r="AA24" s="284"/>
      <c r="AB24" s="284"/>
      <c r="AC24" s="284"/>
      <c r="AD24" s="263"/>
      <c r="AE24" s="261"/>
      <c r="AF24" s="365"/>
      <c r="AG24" s="366"/>
      <c r="AH24" s="366"/>
      <c r="AI24" s="366"/>
      <c r="AJ24" s="367"/>
      <c r="AK24" s="366"/>
      <c r="AL24" s="368"/>
      <c r="AM24" s="366"/>
      <c r="AN24" s="366"/>
      <c r="AO24" s="369"/>
      <c r="AP24" s="366"/>
      <c r="AQ24" s="366"/>
      <c r="AR24" s="369"/>
      <c r="AS24" s="369"/>
      <c r="AT24" s="366"/>
      <c r="AU24" s="366"/>
      <c r="AV24" s="369"/>
      <c r="AW24" s="366"/>
      <c r="AX24" s="366"/>
      <c r="AY24" s="366"/>
      <c r="AZ24" s="366"/>
      <c r="BA24" s="366"/>
    </row>
    <row r="25" spans="1:53" s="371" customFormat="1" ht="12.75" customHeight="1" x14ac:dyDescent="0.25">
      <c r="A25" s="1014"/>
      <c r="B25" s="315"/>
      <c r="C25" s="314"/>
      <c r="D25" s="337"/>
      <c r="E25" s="300"/>
      <c r="F25" s="376"/>
      <c r="G25" s="302"/>
      <c r="H25" s="301"/>
      <c r="I25" s="303"/>
      <c r="J25" s="290"/>
      <c r="K25" s="374"/>
      <c r="L25" s="292"/>
      <c r="M25" s="292"/>
      <c r="N25" s="292"/>
      <c r="O25" s="291"/>
      <c r="P25" s="291"/>
      <c r="Q25" s="372"/>
      <c r="R25" s="291"/>
      <c r="S25" s="291"/>
      <c r="T25" s="291"/>
      <c r="U25" s="291"/>
      <c r="V25" s="291"/>
      <c r="W25" s="372"/>
      <c r="X25" s="291"/>
      <c r="Y25" s="291"/>
      <c r="Z25" s="291"/>
      <c r="AA25" s="284"/>
      <c r="AB25" s="284"/>
      <c r="AC25" s="284"/>
      <c r="AD25" s="263"/>
      <c r="AE25" s="261"/>
      <c r="AF25" s="365"/>
      <c r="AG25" s="366"/>
      <c r="AH25" s="366"/>
      <c r="AI25" s="366"/>
      <c r="AJ25" s="375"/>
      <c r="AK25" s="366"/>
      <c r="AL25" s="368"/>
      <c r="AM25" s="366"/>
      <c r="AN25" s="366"/>
      <c r="AO25" s="369"/>
      <c r="AP25" s="366"/>
      <c r="AQ25" s="366"/>
      <c r="AR25" s="369"/>
      <c r="AS25" s="369"/>
      <c r="AT25" s="366"/>
      <c r="AU25" s="366"/>
      <c r="AV25" s="369"/>
      <c r="AW25" s="366"/>
      <c r="AX25" s="366"/>
      <c r="AY25" s="366"/>
      <c r="AZ25" s="366"/>
      <c r="BA25" s="366"/>
    </row>
    <row r="26" spans="1:53" s="261" customFormat="1" ht="56.25" customHeight="1" x14ac:dyDescent="0.25">
      <c r="A26" s="1012" t="s">
        <v>1254</v>
      </c>
      <c r="B26" s="438" t="s">
        <v>1724</v>
      </c>
      <c r="C26" s="277"/>
      <c r="D26" s="335"/>
      <c r="E26" s="278" t="s">
        <v>488</v>
      </c>
      <c r="F26" s="279" t="s">
        <v>837</v>
      </c>
      <c r="G26" s="277" t="s">
        <v>489</v>
      </c>
      <c r="H26" s="278" t="s">
        <v>1170</v>
      </c>
      <c r="I26" s="279" t="s">
        <v>838</v>
      </c>
      <c r="J26" s="280" t="s">
        <v>1171</v>
      </c>
      <c r="K26" s="280" t="s">
        <v>490</v>
      </c>
      <c r="L26" s="281" t="s">
        <v>489</v>
      </c>
      <c r="M26" s="280" t="s">
        <v>1172</v>
      </c>
      <c r="N26" s="354" t="s">
        <v>838</v>
      </c>
      <c r="O26" s="280" t="s">
        <v>1171</v>
      </c>
      <c r="P26" s="280" t="s">
        <v>826</v>
      </c>
      <c r="Q26" s="280" t="s">
        <v>1173</v>
      </c>
      <c r="R26" s="280" t="s">
        <v>1174</v>
      </c>
      <c r="S26" s="280" t="s">
        <v>839</v>
      </c>
      <c r="T26" s="280" t="s">
        <v>1171</v>
      </c>
      <c r="U26" s="280" t="s">
        <v>1392</v>
      </c>
      <c r="V26" s="280" t="s">
        <v>841</v>
      </c>
      <c r="W26" s="282" t="s">
        <v>1173</v>
      </c>
      <c r="X26" s="280" t="s">
        <v>1394</v>
      </c>
      <c r="Y26" s="280" t="s">
        <v>839</v>
      </c>
      <c r="Z26" s="283"/>
      <c r="AA26" s="284"/>
      <c r="AB26" s="284"/>
      <c r="AC26" s="284"/>
      <c r="AD26" s="263"/>
      <c r="AF26" s="262"/>
      <c r="AG26" s="263"/>
      <c r="AH26" s="263"/>
      <c r="AI26" s="263"/>
      <c r="AJ26" s="263"/>
      <c r="AK26" s="263"/>
      <c r="AL26" s="264"/>
      <c r="AM26" s="263"/>
      <c r="AN26" s="263"/>
      <c r="AO26" s="265"/>
      <c r="AP26" s="263"/>
      <c r="AQ26" s="355"/>
      <c r="AR26" s="355"/>
      <c r="AS26" s="355"/>
      <c r="AT26" s="263"/>
      <c r="AU26" s="263"/>
      <c r="AV26" s="265"/>
      <c r="AW26" s="263"/>
      <c r="AX26" s="263"/>
      <c r="AY26" s="263"/>
      <c r="AZ26" s="263"/>
      <c r="BA26" s="263"/>
    </row>
    <row r="27" spans="1:53" s="270" customFormat="1" ht="12" customHeight="1" x14ac:dyDescent="0.25">
      <c r="A27" s="1013"/>
      <c r="B27" s="285" t="s">
        <v>1175</v>
      </c>
      <c r="C27" s="277">
        <f>C34</f>
        <v>197.57368715799734</v>
      </c>
      <c r="D27" s="335">
        <f>C27*$D$5</f>
        <v>39.909884805915468</v>
      </c>
      <c r="E27" s="286" t="s">
        <v>1176</v>
      </c>
      <c r="F27" s="356"/>
      <c r="G27" s="288"/>
      <c r="H27" s="288"/>
      <c r="I27" s="289">
        <f>SUM(I28:I35)</f>
        <v>13.11</v>
      </c>
      <c r="J27" s="290" t="s">
        <v>1176</v>
      </c>
      <c r="K27" s="357"/>
      <c r="L27" s="291"/>
      <c r="M27" s="291"/>
      <c r="N27" s="433">
        <f>SUM(N28:N35)</f>
        <v>0.24600129142195196</v>
      </c>
      <c r="O27" s="291"/>
      <c r="P27" s="291"/>
      <c r="Q27" s="291"/>
      <c r="R27" s="291"/>
      <c r="S27" s="295">
        <f>S28+S29</f>
        <v>0.62571418133541268</v>
      </c>
      <c r="T27" s="292"/>
      <c r="U27" s="292"/>
      <c r="V27" s="292"/>
      <c r="W27" s="292"/>
      <c r="X27" s="292"/>
      <c r="Y27" s="433">
        <f>SUM(Y28:Y35)</f>
        <v>26.093514863058715</v>
      </c>
      <c r="Z27" s="296">
        <f>(C27+D27+I27+N27+S27+Y27)*$Z$5</f>
        <v>360.8785387769671</v>
      </c>
      <c r="AA27" s="297">
        <f>C27+D27+I27+N27+S27+Y27+Z27</f>
        <v>638.43734107669593</v>
      </c>
      <c r="AB27" s="298">
        <v>0.25</v>
      </c>
      <c r="AC27" s="358">
        <f>AA27*(1+AB27)</f>
        <v>798.04667634586986</v>
      </c>
      <c r="AD27" s="265"/>
      <c r="AE27" s="261"/>
      <c r="AF27" s="262"/>
      <c r="AG27" s="263"/>
      <c r="AH27" s="263"/>
      <c r="AI27" s="355"/>
      <c r="AJ27" s="359"/>
      <c r="AK27" s="360"/>
      <c r="AL27" s="264"/>
      <c r="AM27" s="361"/>
      <c r="AN27" s="143"/>
      <c r="AO27" s="362"/>
      <c r="AP27" s="363"/>
      <c r="AQ27" s="363"/>
      <c r="AR27" s="363"/>
      <c r="AS27" s="363"/>
      <c r="AT27" s="363"/>
      <c r="AU27" s="362"/>
      <c r="AV27" s="362"/>
      <c r="AW27" s="364"/>
      <c r="AX27" s="272"/>
      <c r="AY27" s="272"/>
      <c r="AZ27" s="272"/>
      <c r="BA27" s="272"/>
    </row>
    <row r="28" spans="1:53" s="371" customFormat="1" ht="12.75" customHeight="1" x14ac:dyDescent="0.25">
      <c r="A28" s="1013"/>
      <c r="B28" s="299" t="s">
        <v>830</v>
      </c>
      <c r="C28" s="277"/>
      <c r="D28" s="336"/>
      <c r="E28" s="300" t="s">
        <v>1437</v>
      </c>
      <c r="F28" s="301" t="s">
        <v>1438</v>
      </c>
      <c r="G28" s="302">
        <v>0.3</v>
      </c>
      <c r="H28" s="301">
        <v>10</v>
      </c>
      <c r="I28" s="303">
        <f>G28*H28</f>
        <v>3</v>
      </c>
      <c r="J28" s="290" t="s">
        <v>1291</v>
      </c>
      <c r="K28" s="304">
        <v>2</v>
      </c>
      <c r="L28" s="305">
        <v>750</v>
      </c>
      <c r="M28" s="304">
        <v>2</v>
      </c>
      <c r="N28" s="433">
        <f>L28/'Исп. коэффициенты'!E52*C32</f>
        <v>0.21207007881202755</v>
      </c>
      <c r="O28" s="291" t="s">
        <v>1667</v>
      </c>
      <c r="P28" s="291">
        <v>4500</v>
      </c>
      <c r="Q28" s="291">
        <v>19.670000000000002</v>
      </c>
      <c r="R28" s="291">
        <v>885.15</v>
      </c>
      <c r="S28" s="295">
        <f>R28/'Исп. коэффициенты'!E52*C32</f>
        <v>0.2502851070139549</v>
      </c>
      <c r="T28" s="306" t="s">
        <v>1435</v>
      </c>
      <c r="U28" s="307">
        <v>6785401.3499999996</v>
      </c>
      <c r="V28" s="308">
        <v>1.3599999999999999E-2</v>
      </c>
      <c r="W28" s="306">
        <f>'Исп. коэффициенты'!E124</f>
        <v>2978.5</v>
      </c>
      <c r="X28" s="292">
        <f>U28*V28</f>
        <v>92281.45835999999</v>
      </c>
      <c r="Y28" s="295">
        <f>X28/'Исп. коэффициенты'!E52*C32</f>
        <v>26.093514863058715</v>
      </c>
      <c r="Z28" s="291"/>
      <c r="AA28" s="284"/>
      <c r="AB28" s="284"/>
      <c r="AC28" s="284"/>
      <c r="AD28" s="263"/>
      <c r="AE28" s="261"/>
      <c r="AF28" s="365"/>
      <c r="AG28" s="366"/>
      <c r="AH28" s="366"/>
      <c r="AI28" s="366"/>
      <c r="AJ28" s="367"/>
      <c r="AK28" s="366"/>
      <c r="AL28" s="368"/>
      <c r="AM28" s="366"/>
      <c r="AN28" s="366"/>
      <c r="AO28" s="369"/>
      <c r="AP28" s="366"/>
      <c r="AQ28" s="366"/>
      <c r="AR28" s="369"/>
      <c r="AS28" s="369"/>
      <c r="AT28" s="366"/>
      <c r="AU28" s="366"/>
      <c r="AV28" s="369"/>
      <c r="AW28" s="366"/>
      <c r="AX28" s="366"/>
      <c r="AY28" s="366"/>
      <c r="AZ28" s="366"/>
      <c r="BA28" s="366"/>
    </row>
    <row r="29" spans="1:53" s="371" customFormat="1" x14ac:dyDescent="0.25">
      <c r="A29" s="1013"/>
      <c r="B29" s="309" t="s">
        <v>1178</v>
      </c>
      <c r="C29" s="310">
        <f>C19</f>
        <v>40.401251342681022</v>
      </c>
      <c r="D29" s="336"/>
      <c r="E29" s="300" t="s">
        <v>1439</v>
      </c>
      <c r="F29" s="301" t="s">
        <v>1</v>
      </c>
      <c r="G29" s="302">
        <v>5</v>
      </c>
      <c r="H29" s="301">
        <v>0.01</v>
      </c>
      <c r="I29" s="303">
        <f>G29*H29</f>
        <v>0.05</v>
      </c>
      <c r="J29" s="290" t="s">
        <v>1445</v>
      </c>
      <c r="K29" s="292">
        <v>2</v>
      </c>
      <c r="L29" s="311">
        <v>95</v>
      </c>
      <c r="M29" s="304">
        <v>2</v>
      </c>
      <c r="N29" s="433">
        <f>L29/'Исп. коэффициенты'!E52*C32</f>
        <v>2.6862209982856822E-2</v>
      </c>
      <c r="O29" s="291" t="s">
        <v>1668</v>
      </c>
      <c r="P29" s="291">
        <v>6750</v>
      </c>
      <c r="Q29" s="291">
        <v>19.670000000000002</v>
      </c>
      <c r="R29" s="291">
        <v>1327.73</v>
      </c>
      <c r="S29" s="295">
        <f>R29/'Исп. коэффициенты'!E52*C32</f>
        <v>0.37542907432145778</v>
      </c>
      <c r="T29" s="291"/>
      <c r="U29" s="291"/>
      <c r="V29" s="291"/>
      <c r="W29" s="291"/>
      <c r="X29" s="291"/>
      <c r="Y29" s="291"/>
      <c r="Z29" s="291"/>
      <c r="AA29" s="284"/>
      <c r="AB29" s="284"/>
      <c r="AC29" s="284"/>
      <c r="AD29" s="263"/>
      <c r="AE29" s="261"/>
      <c r="AF29" s="365"/>
      <c r="AG29" s="366"/>
      <c r="AH29" s="366"/>
      <c r="AI29" s="366"/>
      <c r="AJ29" s="367"/>
      <c r="AK29" s="366"/>
      <c r="AL29" s="368"/>
      <c r="AM29" s="373"/>
      <c r="AN29" s="366"/>
      <c r="AO29" s="369"/>
      <c r="AP29" s="366"/>
      <c r="AQ29" s="366"/>
      <c r="AR29" s="369"/>
      <c r="AS29" s="369"/>
      <c r="AT29" s="366"/>
      <c r="AU29" s="366"/>
      <c r="AV29" s="369"/>
      <c r="AW29" s="366"/>
      <c r="AX29" s="366"/>
      <c r="AY29" s="366"/>
      <c r="AZ29" s="366"/>
      <c r="BA29" s="366"/>
    </row>
    <row r="30" spans="1:53" s="371" customFormat="1" ht="12.75" customHeight="1" x14ac:dyDescent="0.25">
      <c r="A30" s="1013"/>
      <c r="B30" s="286" t="s">
        <v>1179</v>
      </c>
      <c r="C30" s="277">
        <f>C20</f>
        <v>25.456644376651425</v>
      </c>
      <c r="D30" s="336"/>
      <c r="E30" s="300" t="s">
        <v>1440</v>
      </c>
      <c r="F30" s="301" t="s">
        <v>1441</v>
      </c>
      <c r="G30" s="302">
        <v>5.36</v>
      </c>
      <c r="H30" s="312">
        <v>1</v>
      </c>
      <c r="I30" s="303">
        <f>G30*H30</f>
        <v>5.36</v>
      </c>
      <c r="J30" s="290" t="s">
        <v>1513</v>
      </c>
      <c r="K30" s="292">
        <v>2</v>
      </c>
      <c r="L30" s="292">
        <v>25</v>
      </c>
      <c r="M30" s="304">
        <v>0.5</v>
      </c>
      <c r="N30" s="433">
        <f>L30/'Исп. коэффициенты'!E52*C32</f>
        <v>7.0690026270675849E-3</v>
      </c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84"/>
      <c r="AB30" s="284"/>
      <c r="AC30" s="284"/>
      <c r="AD30" s="263"/>
      <c r="AE30" s="261"/>
      <c r="AF30" s="365"/>
      <c r="AG30" s="366"/>
      <c r="AH30" s="366"/>
      <c r="AI30" s="366"/>
      <c r="AJ30" s="367"/>
      <c r="AK30" s="366"/>
      <c r="AL30" s="368"/>
      <c r="AM30" s="366"/>
      <c r="AN30" s="366"/>
      <c r="AO30" s="369"/>
      <c r="AP30" s="366"/>
      <c r="AQ30" s="366"/>
      <c r="AR30" s="369"/>
      <c r="AS30" s="369"/>
      <c r="AT30" s="366"/>
      <c r="AU30" s="366"/>
      <c r="AV30" s="369"/>
      <c r="AW30" s="366"/>
      <c r="AX30" s="366"/>
      <c r="AY30" s="366"/>
      <c r="AZ30" s="366"/>
      <c r="BA30" s="366"/>
    </row>
    <row r="31" spans="1:53" s="371" customFormat="1" ht="12.75" customHeight="1" x14ac:dyDescent="0.25">
      <c r="A31" s="1013"/>
      <c r="B31" s="286" t="s">
        <v>831</v>
      </c>
      <c r="C31" s="313"/>
      <c r="D31" s="336"/>
      <c r="E31" s="300" t="s">
        <v>1442</v>
      </c>
      <c r="F31" s="301" t="s">
        <v>1</v>
      </c>
      <c r="G31" s="302">
        <v>0.47</v>
      </c>
      <c r="H31" s="301">
        <v>10</v>
      </c>
      <c r="I31" s="303">
        <f>G31*H31</f>
        <v>4.6999999999999993</v>
      </c>
      <c r="J31" s="290"/>
      <c r="K31" s="292"/>
      <c r="L31" s="292"/>
      <c r="M31" s="304"/>
      <c r="N31" s="292"/>
      <c r="O31" s="290"/>
      <c r="P31" s="292"/>
      <c r="Q31" s="292"/>
      <c r="R31" s="292"/>
      <c r="S31" s="292"/>
      <c r="T31" s="291"/>
      <c r="U31" s="291"/>
      <c r="V31" s="291"/>
      <c r="W31" s="291"/>
      <c r="X31" s="291"/>
      <c r="Y31" s="291"/>
      <c r="Z31" s="291"/>
      <c r="AA31" s="284"/>
      <c r="AB31" s="284"/>
      <c r="AC31" s="284"/>
      <c r="AD31" s="263"/>
      <c r="AE31" s="261"/>
      <c r="AF31" s="365"/>
      <c r="AG31" s="366"/>
      <c r="AH31" s="366"/>
      <c r="AI31" s="366"/>
      <c r="AJ31" s="367"/>
      <c r="AK31" s="366"/>
      <c r="AL31" s="368"/>
      <c r="AM31" s="366"/>
      <c r="AN31" s="366"/>
      <c r="AO31" s="369"/>
      <c r="AP31" s="366"/>
      <c r="AQ31" s="366"/>
      <c r="AR31" s="369"/>
      <c r="AS31" s="369"/>
      <c r="AT31" s="366"/>
      <c r="AU31" s="366"/>
      <c r="AV31" s="369"/>
      <c r="AW31" s="366"/>
      <c r="AX31" s="366"/>
      <c r="AY31" s="366"/>
      <c r="AZ31" s="366"/>
      <c r="BA31" s="366"/>
    </row>
    <row r="32" spans="1:53" s="371" customFormat="1" ht="12.75" customHeight="1" x14ac:dyDescent="0.25">
      <c r="A32" s="1013"/>
      <c r="B32" s="309" t="s">
        <v>1178</v>
      </c>
      <c r="C32" s="314">
        <v>3</v>
      </c>
      <c r="D32" s="336"/>
      <c r="E32" s="300"/>
      <c r="F32" s="301"/>
      <c r="G32" s="302"/>
      <c r="H32" s="301"/>
      <c r="I32" s="303"/>
      <c r="J32" s="290"/>
      <c r="K32" s="292"/>
      <c r="L32" s="292"/>
      <c r="M32" s="292"/>
      <c r="N32" s="292"/>
      <c r="O32" s="291"/>
      <c r="P32" s="291"/>
      <c r="Q32" s="291"/>
      <c r="R32" s="291"/>
      <c r="S32" s="291"/>
      <c r="T32" s="291"/>
      <c r="U32" s="291"/>
      <c r="V32" s="291"/>
      <c r="W32" s="291"/>
      <c r="X32" s="291"/>
      <c r="Y32" s="291"/>
      <c r="Z32" s="291"/>
      <c r="AA32" s="284"/>
      <c r="AB32" s="284"/>
      <c r="AC32" s="284"/>
      <c r="AD32" s="263"/>
      <c r="AE32" s="261"/>
      <c r="AF32" s="365"/>
      <c r="AG32" s="366"/>
      <c r="AH32" s="366"/>
      <c r="AI32" s="366"/>
      <c r="AJ32" s="375"/>
      <c r="AK32" s="366"/>
      <c r="AL32" s="368"/>
      <c r="AM32" s="366"/>
      <c r="AN32" s="366"/>
      <c r="AO32" s="369"/>
      <c r="AP32" s="366"/>
      <c r="AQ32" s="366"/>
      <c r="AR32" s="369"/>
      <c r="AS32" s="369"/>
      <c r="AT32" s="366"/>
      <c r="AU32" s="366"/>
      <c r="AV32" s="369"/>
      <c r="AW32" s="366"/>
      <c r="AX32" s="366"/>
      <c r="AY32" s="366"/>
      <c r="AZ32" s="366"/>
      <c r="BA32" s="366"/>
    </row>
    <row r="33" spans="1:53" s="371" customFormat="1" ht="15.75" customHeight="1" x14ac:dyDescent="0.25">
      <c r="A33" s="1013"/>
      <c r="B33" s="286" t="s">
        <v>1179</v>
      </c>
      <c r="C33" s="314">
        <v>3</v>
      </c>
      <c r="D33" s="336"/>
      <c r="E33" s="300"/>
      <c r="F33" s="376"/>
      <c r="G33" s="302"/>
      <c r="H33" s="301"/>
      <c r="I33" s="303"/>
      <c r="J33" s="290"/>
      <c r="K33" s="292"/>
      <c r="L33" s="292"/>
      <c r="M33" s="292"/>
      <c r="N33" s="292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84"/>
      <c r="AB33" s="284"/>
      <c r="AC33" s="284"/>
      <c r="AD33" s="263"/>
      <c r="AE33" s="261"/>
      <c r="AF33" s="365"/>
      <c r="AG33" s="366"/>
      <c r="AH33" s="366"/>
      <c r="AI33" s="366"/>
      <c r="AJ33" s="375"/>
      <c r="AK33" s="366"/>
      <c r="AL33" s="368"/>
      <c r="AM33" s="366"/>
      <c r="AN33" s="366"/>
      <c r="AO33" s="369"/>
      <c r="AP33" s="366"/>
      <c r="AQ33" s="366"/>
      <c r="AR33" s="369"/>
      <c r="AS33" s="369"/>
      <c r="AT33" s="366"/>
      <c r="AU33" s="366"/>
      <c r="AV33" s="369"/>
      <c r="AW33" s="366"/>
      <c r="AX33" s="366"/>
      <c r="AY33" s="366"/>
      <c r="AZ33" s="366"/>
      <c r="BA33" s="366"/>
    </row>
    <row r="34" spans="1:53" s="371" customFormat="1" ht="20.25" customHeight="1" x14ac:dyDescent="0.25">
      <c r="A34" s="1013"/>
      <c r="B34" s="315" t="s">
        <v>1181</v>
      </c>
      <c r="C34" s="277">
        <f>C29*C32+C30*C33</f>
        <v>197.57368715799734</v>
      </c>
      <c r="D34" s="336"/>
      <c r="E34" s="300"/>
      <c r="F34" s="376"/>
      <c r="G34" s="302"/>
      <c r="H34" s="301"/>
      <c r="I34" s="303"/>
      <c r="J34" s="290"/>
      <c r="K34" s="374"/>
      <c r="L34" s="311"/>
      <c r="M34" s="304"/>
      <c r="N34" s="292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84"/>
      <c r="AB34" s="284"/>
      <c r="AC34" s="284"/>
      <c r="AD34" s="263"/>
      <c r="AE34" s="261"/>
      <c r="AF34" s="365"/>
      <c r="AG34" s="366"/>
      <c r="AH34" s="366"/>
      <c r="AI34" s="366"/>
      <c r="AJ34" s="367"/>
      <c r="AK34" s="366"/>
      <c r="AL34" s="368"/>
      <c r="AM34" s="366"/>
      <c r="AN34" s="366"/>
      <c r="AO34" s="369"/>
      <c r="AP34" s="366"/>
      <c r="AQ34" s="366"/>
      <c r="AR34" s="369"/>
      <c r="AS34" s="369"/>
      <c r="AT34" s="366"/>
      <c r="AU34" s="366"/>
      <c r="AV34" s="369"/>
      <c r="AW34" s="366"/>
      <c r="AX34" s="366"/>
      <c r="AY34" s="366"/>
      <c r="AZ34" s="366"/>
      <c r="BA34" s="366"/>
    </row>
    <row r="35" spans="1:53" s="371" customFormat="1" ht="13.5" customHeight="1" x14ac:dyDescent="0.25">
      <c r="A35" s="1014"/>
      <c r="B35" s="318"/>
      <c r="C35" s="314"/>
      <c r="D35" s="337"/>
      <c r="E35" s="300"/>
      <c r="F35" s="376"/>
      <c r="G35" s="302"/>
      <c r="H35" s="301"/>
      <c r="I35" s="303"/>
      <c r="J35" s="290"/>
      <c r="K35" s="374"/>
      <c r="L35" s="292"/>
      <c r="M35" s="292"/>
      <c r="N35" s="292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84"/>
      <c r="AB35" s="284"/>
      <c r="AC35" s="284"/>
      <c r="AD35" s="263"/>
      <c r="AE35" s="261"/>
      <c r="AF35" s="365"/>
      <c r="AG35" s="366"/>
      <c r="AH35" s="366"/>
      <c r="AI35" s="366"/>
      <c r="AJ35" s="375"/>
      <c r="AK35" s="366"/>
      <c r="AL35" s="368"/>
      <c r="AM35" s="366"/>
      <c r="AN35" s="366"/>
      <c r="AO35" s="369"/>
      <c r="AP35" s="366"/>
      <c r="AQ35" s="366"/>
      <c r="AR35" s="369"/>
      <c r="AS35" s="369"/>
      <c r="AT35" s="366"/>
      <c r="AU35" s="366"/>
      <c r="AV35" s="369"/>
      <c r="AW35" s="366"/>
      <c r="AX35" s="366"/>
      <c r="AY35" s="366"/>
      <c r="AZ35" s="366"/>
      <c r="BA35" s="366"/>
    </row>
    <row r="36" spans="1:53" s="261" customFormat="1" ht="56.25" customHeight="1" x14ac:dyDescent="0.25">
      <c r="A36" s="1012" t="s">
        <v>1255</v>
      </c>
      <c r="B36" s="438" t="s">
        <v>1725</v>
      </c>
      <c r="C36" s="277"/>
      <c r="D36" s="335"/>
      <c r="E36" s="278" t="s">
        <v>488</v>
      </c>
      <c r="F36" s="279" t="s">
        <v>837</v>
      </c>
      <c r="G36" s="277" t="s">
        <v>489</v>
      </c>
      <c r="H36" s="278" t="s">
        <v>1170</v>
      </c>
      <c r="I36" s="279" t="s">
        <v>838</v>
      </c>
      <c r="J36" s="280" t="s">
        <v>1171</v>
      </c>
      <c r="K36" s="280" t="s">
        <v>490</v>
      </c>
      <c r="L36" s="281" t="s">
        <v>489</v>
      </c>
      <c r="M36" s="280" t="s">
        <v>1172</v>
      </c>
      <c r="N36" s="354" t="s">
        <v>838</v>
      </c>
      <c r="O36" s="280" t="s">
        <v>1171</v>
      </c>
      <c r="P36" s="280" t="s">
        <v>826</v>
      </c>
      <c r="Q36" s="280" t="s">
        <v>1173</v>
      </c>
      <c r="R36" s="280" t="s">
        <v>1174</v>
      </c>
      <c r="S36" s="280" t="s">
        <v>839</v>
      </c>
      <c r="T36" s="280" t="s">
        <v>1171</v>
      </c>
      <c r="U36" s="280" t="s">
        <v>1392</v>
      </c>
      <c r="V36" s="280" t="s">
        <v>841</v>
      </c>
      <c r="W36" s="282" t="s">
        <v>1173</v>
      </c>
      <c r="X36" s="280" t="s">
        <v>1394</v>
      </c>
      <c r="Y36" s="280" t="s">
        <v>839</v>
      </c>
      <c r="Z36" s="283"/>
      <c r="AA36" s="284"/>
      <c r="AB36" s="284"/>
      <c r="AC36" s="284"/>
      <c r="AD36" s="263"/>
      <c r="AF36" s="262"/>
      <c r="AG36" s="263"/>
      <c r="AH36" s="263"/>
      <c r="AI36" s="263"/>
      <c r="AJ36" s="263"/>
      <c r="AK36" s="263"/>
      <c r="AL36" s="264"/>
      <c r="AM36" s="263"/>
      <c r="AN36" s="263"/>
      <c r="AO36" s="265"/>
      <c r="AP36" s="263"/>
      <c r="AQ36" s="355"/>
      <c r="AR36" s="355"/>
      <c r="AS36" s="355"/>
      <c r="AT36" s="263"/>
      <c r="AU36" s="263"/>
      <c r="AV36" s="265"/>
      <c r="AW36" s="263"/>
      <c r="AX36" s="263"/>
      <c r="AY36" s="263"/>
      <c r="AZ36" s="263"/>
      <c r="BA36" s="263"/>
    </row>
    <row r="37" spans="1:53" s="270" customFormat="1" ht="12" customHeight="1" x14ac:dyDescent="0.25">
      <c r="A37" s="1013"/>
      <c r="B37" s="285" t="s">
        <v>1175</v>
      </c>
      <c r="C37" s="277">
        <f>C44</f>
        <v>32.928947859666224</v>
      </c>
      <c r="D37" s="335">
        <f>C37*$D$5</f>
        <v>6.6516474676525776</v>
      </c>
      <c r="E37" s="286" t="s">
        <v>1176</v>
      </c>
      <c r="F37" s="356"/>
      <c r="G37" s="288"/>
      <c r="H37" s="288"/>
      <c r="I37" s="289">
        <f>SUM(I38:I45)</f>
        <v>13.11</v>
      </c>
      <c r="J37" s="290" t="s">
        <v>1176</v>
      </c>
      <c r="K37" s="357"/>
      <c r="L37" s="291"/>
      <c r="M37" s="291"/>
      <c r="N37" s="433">
        <f>SUM(N38:N45)</f>
        <v>4.1000215236991988E-2</v>
      </c>
      <c r="O37" s="291"/>
      <c r="P37" s="291"/>
      <c r="Q37" s="291"/>
      <c r="R37" s="291"/>
      <c r="S37" s="295">
        <f>S38+S39</f>
        <v>0.10428569688923545</v>
      </c>
      <c r="T37" s="292"/>
      <c r="U37" s="292"/>
      <c r="V37" s="292"/>
      <c r="W37" s="292"/>
      <c r="X37" s="292"/>
      <c r="Y37" s="433">
        <f>SUM(Y38:Y45)</f>
        <v>4.3489191438431192</v>
      </c>
      <c r="Z37" s="296">
        <f>(C37+D37+I37+N37+S37)*$Z$5</f>
        <v>68.69656252549305</v>
      </c>
      <c r="AA37" s="297">
        <f>C37+D37+I37+N37+S37+Y37+Z37</f>
        <v>125.8813629087812</v>
      </c>
      <c r="AB37" s="298">
        <v>0.25</v>
      </c>
      <c r="AC37" s="358">
        <f>AA37*(1+AB37)</f>
        <v>157.35170363597649</v>
      </c>
      <c r="AD37" s="265"/>
      <c r="AE37" s="261"/>
      <c r="AF37" s="262"/>
      <c r="AG37" s="263"/>
      <c r="AH37" s="263"/>
      <c r="AI37" s="355"/>
      <c r="AJ37" s="359"/>
      <c r="AK37" s="360"/>
      <c r="AL37" s="264"/>
      <c r="AM37" s="361"/>
      <c r="AN37" s="143"/>
      <c r="AO37" s="362"/>
      <c r="AP37" s="363"/>
      <c r="AQ37" s="363"/>
      <c r="AR37" s="363"/>
      <c r="AS37" s="363"/>
      <c r="AT37" s="363"/>
      <c r="AU37" s="362"/>
      <c r="AV37" s="362"/>
      <c r="AW37" s="364"/>
      <c r="AX37" s="272"/>
      <c r="AY37" s="272"/>
      <c r="AZ37" s="272"/>
      <c r="BA37" s="272"/>
    </row>
    <row r="38" spans="1:53" s="371" customFormat="1" ht="12.75" customHeight="1" x14ac:dyDescent="0.25">
      <c r="A38" s="1013"/>
      <c r="B38" s="299" t="s">
        <v>830</v>
      </c>
      <c r="C38" s="277"/>
      <c r="D38" s="336"/>
      <c r="E38" s="300" t="s">
        <v>1437</v>
      </c>
      <c r="F38" s="301" t="s">
        <v>1438</v>
      </c>
      <c r="G38" s="302">
        <v>0.3</v>
      </c>
      <c r="H38" s="301">
        <v>10</v>
      </c>
      <c r="I38" s="303">
        <f>G38*H38</f>
        <v>3</v>
      </c>
      <c r="J38" s="290" t="s">
        <v>1291</v>
      </c>
      <c r="K38" s="304">
        <v>2</v>
      </c>
      <c r="L38" s="305">
        <v>750</v>
      </c>
      <c r="M38" s="304">
        <v>2</v>
      </c>
      <c r="N38" s="433">
        <f>L38/'Исп. коэффициенты'!E52*C42</f>
        <v>3.5345013135337923E-2</v>
      </c>
      <c r="O38" s="291" t="s">
        <v>1667</v>
      </c>
      <c r="P38" s="291">
        <v>4500</v>
      </c>
      <c r="Q38" s="291">
        <v>19.670000000000002</v>
      </c>
      <c r="R38" s="291">
        <v>885.15</v>
      </c>
      <c r="S38" s="295">
        <f>R38/'Исп. коэффициенты'!E52*C42</f>
        <v>4.1714184502325814E-2</v>
      </c>
      <c r="T38" s="306" t="s">
        <v>1435</v>
      </c>
      <c r="U38" s="307">
        <v>6785401.3499999996</v>
      </c>
      <c r="V38" s="308">
        <v>1.3599999999999999E-2</v>
      </c>
      <c r="W38" s="306">
        <f>'Исп. коэффициенты'!E124</f>
        <v>2978.5</v>
      </c>
      <c r="X38" s="292">
        <f>U38*V38</f>
        <v>92281.45835999999</v>
      </c>
      <c r="Y38" s="295">
        <f>X38/'Исп. коэффициенты'!E52*C42</f>
        <v>4.3489191438431192</v>
      </c>
      <c r="Z38" s="291"/>
      <c r="AA38" s="284"/>
      <c r="AB38" s="284"/>
      <c r="AC38" s="284"/>
      <c r="AD38" s="263"/>
      <c r="AE38" s="261"/>
      <c r="AF38" s="365"/>
      <c r="AG38" s="366"/>
      <c r="AH38" s="366"/>
      <c r="AI38" s="366"/>
      <c r="AJ38" s="367"/>
      <c r="AK38" s="366"/>
      <c r="AL38" s="368"/>
      <c r="AM38" s="366"/>
      <c r="AN38" s="366"/>
      <c r="AO38" s="369"/>
      <c r="AP38" s="366"/>
      <c r="AQ38" s="366"/>
      <c r="AR38" s="369"/>
      <c r="AS38" s="369"/>
      <c r="AT38" s="366"/>
      <c r="AU38" s="366"/>
      <c r="AV38" s="369"/>
      <c r="AW38" s="366"/>
      <c r="AX38" s="366"/>
      <c r="AY38" s="366"/>
      <c r="AZ38" s="366"/>
      <c r="BA38" s="366"/>
    </row>
    <row r="39" spans="1:53" s="371" customFormat="1" x14ac:dyDescent="0.25">
      <c r="A39" s="1013"/>
      <c r="B39" s="309" t="s">
        <v>1178</v>
      </c>
      <c r="C39" s="310">
        <f>C29</f>
        <v>40.401251342681022</v>
      </c>
      <c r="D39" s="336"/>
      <c r="E39" s="300" t="s">
        <v>1439</v>
      </c>
      <c r="F39" s="301" t="s">
        <v>1</v>
      </c>
      <c r="G39" s="302">
        <v>5</v>
      </c>
      <c r="H39" s="301">
        <v>0.01</v>
      </c>
      <c r="I39" s="303">
        <f>G39*H39</f>
        <v>0.05</v>
      </c>
      <c r="J39" s="290" t="s">
        <v>1445</v>
      </c>
      <c r="K39" s="292">
        <v>2</v>
      </c>
      <c r="L39" s="311">
        <v>95</v>
      </c>
      <c r="M39" s="304">
        <v>2</v>
      </c>
      <c r="N39" s="433">
        <f>L39/'Исп. коэффициенты'!E52*C42</f>
        <v>4.4770349971428036E-3</v>
      </c>
      <c r="O39" s="291" t="s">
        <v>1668</v>
      </c>
      <c r="P39" s="291">
        <v>6750</v>
      </c>
      <c r="Q39" s="291">
        <v>19.670000000000002</v>
      </c>
      <c r="R39" s="291">
        <v>1327.73</v>
      </c>
      <c r="S39" s="295">
        <f>R39/'Исп. коэффициенты'!E52*C42</f>
        <v>6.2571512386909625E-2</v>
      </c>
      <c r="T39" s="291"/>
      <c r="U39" s="291"/>
      <c r="V39" s="291"/>
      <c r="W39" s="291"/>
      <c r="X39" s="291"/>
      <c r="Y39" s="291"/>
      <c r="Z39" s="291"/>
      <c r="AA39" s="284"/>
      <c r="AB39" s="284"/>
      <c r="AC39" s="284"/>
      <c r="AD39" s="263"/>
      <c r="AE39" s="261"/>
      <c r="AF39" s="365"/>
      <c r="AG39" s="366"/>
      <c r="AH39" s="366"/>
      <c r="AI39" s="366"/>
      <c r="AJ39" s="367"/>
      <c r="AK39" s="366"/>
      <c r="AL39" s="368"/>
      <c r="AM39" s="373"/>
      <c r="AN39" s="366"/>
      <c r="AO39" s="369"/>
      <c r="AP39" s="366"/>
      <c r="AQ39" s="366"/>
      <c r="AR39" s="369"/>
      <c r="AS39" s="369"/>
      <c r="AT39" s="366"/>
      <c r="AU39" s="366"/>
      <c r="AV39" s="369"/>
      <c r="AW39" s="366"/>
      <c r="AX39" s="366"/>
      <c r="AY39" s="366"/>
      <c r="AZ39" s="366"/>
      <c r="BA39" s="366"/>
    </row>
    <row r="40" spans="1:53" s="371" customFormat="1" ht="12.75" customHeight="1" x14ac:dyDescent="0.25">
      <c r="A40" s="1013"/>
      <c r="B40" s="286" t="s">
        <v>1179</v>
      </c>
      <c r="C40" s="277">
        <f>C30</f>
        <v>25.456644376651425</v>
      </c>
      <c r="D40" s="336"/>
      <c r="E40" s="300" t="s">
        <v>1440</v>
      </c>
      <c r="F40" s="301" t="s">
        <v>1441</v>
      </c>
      <c r="G40" s="302">
        <v>5.36</v>
      </c>
      <c r="H40" s="312">
        <v>1</v>
      </c>
      <c r="I40" s="303">
        <f>G40*H40</f>
        <v>5.36</v>
      </c>
      <c r="J40" s="290" t="s">
        <v>1513</v>
      </c>
      <c r="K40" s="292">
        <v>2</v>
      </c>
      <c r="L40" s="292">
        <v>25</v>
      </c>
      <c r="M40" s="304">
        <v>0.5</v>
      </c>
      <c r="N40" s="433">
        <f>L40/'Исп. коэффициенты'!E52*C42</f>
        <v>1.1781671045112642E-3</v>
      </c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84"/>
      <c r="AB40" s="284"/>
      <c r="AC40" s="284"/>
      <c r="AD40" s="263"/>
      <c r="AE40" s="261"/>
      <c r="AF40" s="365"/>
      <c r="AG40" s="366"/>
      <c r="AH40" s="366"/>
      <c r="AI40" s="366"/>
      <c r="AJ40" s="367"/>
      <c r="AK40" s="366"/>
      <c r="AL40" s="368"/>
      <c r="AM40" s="366"/>
      <c r="AN40" s="366"/>
      <c r="AO40" s="369"/>
      <c r="AP40" s="366"/>
      <c r="AQ40" s="366"/>
      <c r="AR40" s="369"/>
      <c r="AS40" s="369"/>
      <c r="AT40" s="366"/>
      <c r="AU40" s="366"/>
      <c r="AV40" s="369"/>
      <c r="AW40" s="366"/>
      <c r="AX40" s="366"/>
      <c r="AY40" s="366"/>
      <c r="AZ40" s="366"/>
      <c r="BA40" s="366"/>
    </row>
    <row r="41" spans="1:53" s="371" customFormat="1" ht="12.75" customHeight="1" x14ac:dyDescent="0.25">
      <c r="A41" s="1013"/>
      <c r="B41" s="286" t="s">
        <v>831</v>
      </c>
      <c r="C41" s="313"/>
      <c r="D41" s="336"/>
      <c r="E41" s="300" t="s">
        <v>1442</v>
      </c>
      <c r="F41" s="301" t="s">
        <v>1</v>
      </c>
      <c r="G41" s="302">
        <v>0.47</v>
      </c>
      <c r="H41" s="301">
        <v>10</v>
      </c>
      <c r="I41" s="303">
        <f>G41*H41</f>
        <v>4.6999999999999993</v>
      </c>
      <c r="J41" s="290"/>
      <c r="K41" s="292"/>
      <c r="L41" s="292"/>
      <c r="M41" s="292"/>
      <c r="N41" s="292"/>
      <c r="O41" s="290"/>
      <c r="P41" s="292"/>
      <c r="Q41" s="292"/>
      <c r="R41" s="292"/>
      <c r="S41" s="292"/>
      <c r="T41" s="291"/>
      <c r="U41" s="291"/>
      <c r="V41" s="291"/>
      <c r="W41" s="291"/>
      <c r="X41" s="291"/>
      <c r="Y41" s="291"/>
      <c r="Z41" s="291"/>
      <c r="AA41" s="284"/>
      <c r="AB41" s="284"/>
      <c r="AC41" s="284"/>
      <c r="AD41" s="263"/>
      <c r="AE41" s="261"/>
      <c r="AF41" s="365"/>
      <c r="AG41" s="366"/>
      <c r="AH41" s="366"/>
      <c r="AI41" s="366"/>
      <c r="AJ41" s="367"/>
      <c r="AK41" s="366"/>
      <c r="AL41" s="368"/>
      <c r="AM41" s="366"/>
      <c r="AN41" s="366"/>
      <c r="AO41" s="369"/>
      <c r="AP41" s="366"/>
      <c r="AQ41" s="366"/>
      <c r="AR41" s="369"/>
      <c r="AS41" s="369"/>
      <c r="AT41" s="366"/>
      <c r="AU41" s="366"/>
      <c r="AV41" s="369"/>
      <c r="AW41" s="366"/>
      <c r="AX41" s="366"/>
      <c r="AY41" s="366"/>
      <c r="AZ41" s="366"/>
      <c r="BA41" s="366"/>
    </row>
    <row r="42" spans="1:53" s="371" customFormat="1" ht="12.75" customHeight="1" x14ac:dyDescent="0.25">
      <c r="A42" s="1013"/>
      <c r="B42" s="309" t="s">
        <v>1178</v>
      </c>
      <c r="C42" s="314">
        <v>0.5</v>
      </c>
      <c r="D42" s="336"/>
      <c r="E42" s="300"/>
      <c r="F42" s="301"/>
      <c r="G42" s="302"/>
      <c r="H42" s="301"/>
      <c r="I42" s="303"/>
      <c r="J42" s="290"/>
      <c r="K42" s="292"/>
      <c r="L42" s="292"/>
      <c r="M42" s="292"/>
      <c r="N42" s="292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84"/>
      <c r="AB42" s="284"/>
      <c r="AC42" s="284"/>
      <c r="AD42" s="263"/>
      <c r="AE42" s="261"/>
      <c r="AF42" s="365"/>
      <c r="AG42" s="366"/>
      <c r="AH42" s="366"/>
      <c r="AI42" s="366"/>
      <c r="AJ42" s="375"/>
      <c r="AK42" s="366"/>
      <c r="AL42" s="368"/>
      <c r="AM42" s="366"/>
      <c r="AN42" s="366"/>
      <c r="AO42" s="369"/>
      <c r="AP42" s="366"/>
      <c r="AQ42" s="366"/>
      <c r="AR42" s="369"/>
      <c r="AS42" s="369"/>
      <c r="AT42" s="366"/>
      <c r="AU42" s="366"/>
      <c r="AV42" s="369"/>
      <c r="AW42" s="366"/>
      <c r="AX42" s="366"/>
      <c r="AY42" s="366"/>
      <c r="AZ42" s="366"/>
      <c r="BA42" s="366"/>
    </row>
    <row r="43" spans="1:53" s="371" customFormat="1" ht="15.75" customHeight="1" x14ac:dyDescent="0.25">
      <c r="A43" s="1013"/>
      <c r="B43" s="286" t="s">
        <v>1179</v>
      </c>
      <c r="C43" s="314">
        <v>0.5</v>
      </c>
      <c r="D43" s="336"/>
      <c r="E43" s="300"/>
      <c r="F43" s="376"/>
      <c r="G43" s="302"/>
      <c r="H43" s="301"/>
      <c r="I43" s="303"/>
      <c r="J43" s="290"/>
      <c r="K43" s="292"/>
      <c r="L43" s="292"/>
      <c r="M43" s="292"/>
      <c r="N43" s="292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84"/>
      <c r="AB43" s="284"/>
      <c r="AC43" s="284"/>
      <c r="AD43" s="263"/>
      <c r="AE43" s="261"/>
      <c r="AF43" s="365"/>
      <c r="AG43" s="366"/>
      <c r="AH43" s="366"/>
      <c r="AI43" s="366"/>
      <c r="AJ43" s="375"/>
      <c r="AK43" s="366"/>
      <c r="AL43" s="368"/>
      <c r="AM43" s="366"/>
      <c r="AN43" s="366"/>
      <c r="AO43" s="369"/>
      <c r="AP43" s="366"/>
      <c r="AQ43" s="366"/>
      <c r="AR43" s="369"/>
      <c r="AS43" s="369"/>
      <c r="AT43" s="366"/>
      <c r="AU43" s="366"/>
      <c r="AV43" s="369"/>
      <c r="AW43" s="366"/>
      <c r="AX43" s="366"/>
      <c r="AY43" s="366"/>
      <c r="AZ43" s="366"/>
      <c r="BA43" s="366"/>
    </row>
    <row r="44" spans="1:53" s="371" customFormat="1" ht="20.25" customHeight="1" x14ac:dyDescent="0.25">
      <c r="A44" s="1013"/>
      <c r="B44" s="315" t="s">
        <v>1181</v>
      </c>
      <c r="C44" s="277">
        <f>C39*C42+C40*C43</f>
        <v>32.928947859666224</v>
      </c>
      <c r="D44" s="336"/>
      <c r="E44" s="300"/>
      <c r="F44" s="376"/>
      <c r="G44" s="302"/>
      <c r="H44" s="301"/>
      <c r="I44" s="303"/>
      <c r="J44" s="290"/>
      <c r="K44" s="374"/>
      <c r="L44" s="311"/>
      <c r="M44" s="304"/>
      <c r="N44" s="292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84"/>
      <c r="AB44" s="284"/>
      <c r="AC44" s="284"/>
      <c r="AD44" s="263"/>
      <c r="AE44" s="261"/>
      <c r="AF44" s="365"/>
      <c r="AG44" s="366"/>
      <c r="AH44" s="366"/>
      <c r="AI44" s="366"/>
      <c r="AJ44" s="367"/>
      <c r="AK44" s="366"/>
      <c r="AL44" s="368"/>
      <c r="AM44" s="366"/>
      <c r="AN44" s="366"/>
      <c r="AO44" s="369"/>
      <c r="AP44" s="366"/>
      <c r="AQ44" s="366"/>
      <c r="AR44" s="369"/>
      <c r="AS44" s="369"/>
      <c r="AT44" s="366"/>
      <c r="AU44" s="366"/>
      <c r="AV44" s="369"/>
      <c r="AW44" s="366"/>
      <c r="AX44" s="366"/>
      <c r="AY44" s="366"/>
      <c r="AZ44" s="366"/>
      <c r="BA44" s="366"/>
    </row>
    <row r="45" spans="1:53" s="371" customFormat="1" ht="13.5" customHeight="1" x14ac:dyDescent="0.25">
      <c r="A45" s="1014"/>
      <c r="B45" s="318"/>
      <c r="C45" s="314"/>
      <c r="D45" s="337"/>
      <c r="E45" s="300"/>
      <c r="F45" s="376"/>
      <c r="G45" s="302"/>
      <c r="H45" s="301"/>
      <c r="I45" s="303"/>
      <c r="J45" s="290"/>
      <c r="K45" s="374"/>
      <c r="L45" s="292"/>
      <c r="M45" s="292"/>
      <c r="N45" s="292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84"/>
      <c r="AB45" s="284"/>
      <c r="AC45" s="284"/>
      <c r="AD45" s="263"/>
      <c r="AE45" s="261"/>
      <c r="AF45" s="365"/>
      <c r="AG45" s="366"/>
      <c r="AH45" s="366"/>
      <c r="AI45" s="366"/>
      <c r="AJ45" s="375"/>
      <c r="AK45" s="366"/>
      <c r="AL45" s="368"/>
      <c r="AM45" s="366"/>
      <c r="AN45" s="366"/>
      <c r="AO45" s="369"/>
      <c r="AP45" s="366"/>
      <c r="AQ45" s="366"/>
      <c r="AR45" s="369"/>
      <c r="AS45" s="369"/>
      <c r="AT45" s="366"/>
      <c r="AU45" s="366"/>
      <c r="AV45" s="369"/>
      <c r="AW45" s="366"/>
      <c r="AX45" s="366"/>
      <c r="AY45" s="366"/>
      <c r="AZ45" s="366"/>
      <c r="BA45" s="366"/>
    </row>
    <row r="46" spans="1:53" s="261" customFormat="1" ht="56.25" customHeight="1" x14ac:dyDescent="0.25">
      <c r="A46" s="1012" t="s">
        <v>701</v>
      </c>
      <c r="B46" s="438" t="s">
        <v>1723</v>
      </c>
      <c r="C46" s="277"/>
      <c r="D46" s="335"/>
      <c r="E46" s="278" t="s">
        <v>488</v>
      </c>
      <c r="F46" s="279" t="s">
        <v>837</v>
      </c>
      <c r="G46" s="277" t="s">
        <v>489</v>
      </c>
      <c r="H46" s="278" t="s">
        <v>1170</v>
      </c>
      <c r="I46" s="279" t="s">
        <v>838</v>
      </c>
      <c r="J46" s="280" t="s">
        <v>1171</v>
      </c>
      <c r="K46" s="280" t="s">
        <v>490</v>
      </c>
      <c r="L46" s="281" t="s">
        <v>489</v>
      </c>
      <c r="M46" s="280" t="s">
        <v>1172</v>
      </c>
      <c r="N46" s="354" t="s">
        <v>838</v>
      </c>
      <c r="O46" s="280" t="s">
        <v>1171</v>
      </c>
      <c r="P46" s="280" t="s">
        <v>826</v>
      </c>
      <c r="Q46" s="280" t="s">
        <v>1173</v>
      </c>
      <c r="R46" s="280" t="s">
        <v>1174</v>
      </c>
      <c r="S46" s="280" t="s">
        <v>839</v>
      </c>
      <c r="T46" s="280" t="s">
        <v>1171</v>
      </c>
      <c r="U46" s="280" t="s">
        <v>1392</v>
      </c>
      <c r="V46" s="280" t="s">
        <v>841</v>
      </c>
      <c r="W46" s="282" t="s">
        <v>1173</v>
      </c>
      <c r="X46" s="280" t="s">
        <v>1394</v>
      </c>
      <c r="Y46" s="280" t="s">
        <v>839</v>
      </c>
      <c r="Z46" s="283"/>
      <c r="AA46" s="284"/>
      <c r="AB46" s="284"/>
      <c r="AC46" s="284"/>
      <c r="AD46" s="263"/>
      <c r="AF46" s="262"/>
      <c r="AG46" s="263"/>
      <c r="AH46" s="263"/>
      <c r="AI46" s="263"/>
      <c r="AJ46" s="263"/>
      <c r="AK46" s="263"/>
      <c r="AL46" s="264"/>
      <c r="AM46" s="263"/>
      <c r="AN46" s="263"/>
      <c r="AO46" s="265"/>
      <c r="AP46" s="263"/>
      <c r="AQ46" s="355"/>
      <c r="AR46" s="355"/>
      <c r="AS46" s="355"/>
      <c r="AT46" s="263"/>
      <c r="AU46" s="263"/>
      <c r="AV46" s="265"/>
      <c r="AW46" s="263"/>
      <c r="AX46" s="263"/>
      <c r="AY46" s="263"/>
      <c r="AZ46" s="263"/>
      <c r="BA46" s="263"/>
    </row>
    <row r="47" spans="1:53" s="270" customFormat="1" ht="12" customHeight="1" x14ac:dyDescent="0.25">
      <c r="A47" s="1013"/>
      <c r="B47" s="285" t="s">
        <v>1175</v>
      </c>
      <c r="C47" s="277">
        <f>C54</f>
        <v>52.686316575465959</v>
      </c>
      <c r="D47" s="335">
        <f>C47*$D$5</f>
        <v>10.642635948244125</v>
      </c>
      <c r="E47" s="286" t="s">
        <v>1176</v>
      </c>
      <c r="F47" s="356"/>
      <c r="G47" s="288"/>
      <c r="H47" s="288"/>
      <c r="I47" s="289">
        <f>SUM(I48:I55)</f>
        <v>13.11</v>
      </c>
      <c r="J47" s="290" t="s">
        <v>1176</v>
      </c>
      <c r="K47" s="357"/>
      <c r="L47" s="291"/>
      <c r="M47" s="291"/>
      <c r="N47" s="433">
        <f>SUM(N48:N55)</f>
        <v>6.5600344379187187E-2</v>
      </c>
      <c r="O47" s="291"/>
      <c r="P47" s="291"/>
      <c r="Q47" s="291"/>
      <c r="R47" s="291"/>
      <c r="S47" s="295">
        <f>S48+S49</f>
        <v>0.16685711502277673</v>
      </c>
      <c r="T47" s="292"/>
      <c r="U47" s="292"/>
      <c r="V47" s="292"/>
      <c r="W47" s="292"/>
      <c r="X47" s="292"/>
      <c r="Y47" s="433">
        <f>SUM(Y48:Y55)</f>
        <v>6.9582706301489914</v>
      </c>
      <c r="Z47" s="296">
        <f>(C47+D47+I47+N47+S47+Y47)*$Z$5</f>
        <v>108.73428148572026</v>
      </c>
      <c r="AA47" s="297">
        <f>C47+D47+I47+N47+S47+Y47+Z47</f>
        <v>192.36396209898129</v>
      </c>
      <c r="AB47" s="298">
        <v>0.25</v>
      </c>
      <c r="AC47" s="358">
        <f>AA47*(1+AB47)</f>
        <v>240.45495262372663</v>
      </c>
      <c r="AD47" s="265"/>
      <c r="AE47" s="261"/>
      <c r="AF47" s="262"/>
      <c r="AG47" s="263"/>
      <c r="AH47" s="263"/>
      <c r="AI47" s="355"/>
      <c r="AJ47" s="359"/>
      <c r="AK47" s="360"/>
      <c r="AL47" s="264"/>
      <c r="AM47" s="361"/>
      <c r="AN47" s="143"/>
      <c r="AO47" s="362"/>
      <c r="AP47" s="363"/>
      <c r="AQ47" s="363"/>
      <c r="AR47" s="363"/>
      <c r="AS47" s="363"/>
      <c r="AT47" s="363"/>
      <c r="AU47" s="362"/>
      <c r="AV47" s="362"/>
      <c r="AW47" s="364"/>
      <c r="AX47" s="272"/>
      <c r="AY47" s="272"/>
      <c r="AZ47" s="272"/>
      <c r="BA47" s="272"/>
    </row>
    <row r="48" spans="1:53" s="371" customFormat="1" ht="12.75" customHeight="1" x14ac:dyDescent="0.25">
      <c r="A48" s="1013"/>
      <c r="B48" s="299" t="s">
        <v>830</v>
      </c>
      <c r="C48" s="277"/>
      <c r="D48" s="336"/>
      <c r="E48" s="300" t="s">
        <v>1437</v>
      </c>
      <c r="F48" s="301" t="s">
        <v>1438</v>
      </c>
      <c r="G48" s="302">
        <v>0.3</v>
      </c>
      <c r="H48" s="301">
        <v>10</v>
      </c>
      <c r="I48" s="303">
        <f>G48*H48</f>
        <v>3</v>
      </c>
      <c r="J48" s="290" t="s">
        <v>1291</v>
      </c>
      <c r="K48" s="304">
        <v>2</v>
      </c>
      <c r="L48" s="305">
        <v>750</v>
      </c>
      <c r="M48" s="304">
        <v>2</v>
      </c>
      <c r="N48" s="433">
        <f>L48/'Исп. коэффициенты'!E52*C52</f>
        <v>5.6552021016540679E-2</v>
      </c>
      <c r="O48" s="291" t="s">
        <v>1667</v>
      </c>
      <c r="P48" s="291">
        <v>4500</v>
      </c>
      <c r="Q48" s="291">
        <v>19.670000000000002</v>
      </c>
      <c r="R48" s="291">
        <v>885.15</v>
      </c>
      <c r="S48" s="295">
        <f>R48/'Исп. коэффициенты'!E52*C52</f>
        <v>6.6742695203721308E-2</v>
      </c>
      <c r="T48" s="306" t="s">
        <v>1435</v>
      </c>
      <c r="U48" s="307">
        <v>6785401.3499999996</v>
      </c>
      <c r="V48" s="308">
        <v>1.3599999999999999E-2</v>
      </c>
      <c r="W48" s="306">
        <f>'Исп. коэффициенты'!E124</f>
        <v>2978.5</v>
      </c>
      <c r="X48" s="292">
        <f>U48*V48</f>
        <v>92281.45835999999</v>
      </c>
      <c r="Y48" s="295">
        <f>X48/'Исп. коэффициенты'!E52*C52</f>
        <v>6.9582706301489914</v>
      </c>
      <c r="Z48" s="291"/>
      <c r="AA48" s="284"/>
      <c r="AB48" s="284"/>
      <c r="AC48" s="284"/>
      <c r="AD48" s="263"/>
      <c r="AE48" s="261"/>
      <c r="AF48" s="365"/>
      <c r="AG48" s="366"/>
      <c r="AH48" s="366"/>
      <c r="AI48" s="366"/>
      <c r="AJ48" s="367"/>
      <c r="AK48" s="366"/>
      <c r="AL48" s="368"/>
      <c r="AM48" s="366"/>
      <c r="AN48" s="366"/>
      <c r="AO48" s="369"/>
      <c r="AP48" s="366"/>
      <c r="AQ48" s="366"/>
      <c r="AR48" s="369"/>
      <c r="AS48" s="369"/>
      <c r="AT48" s="366"/>
      <c r="AU48" s="366"/>
      <c r="AV48" s="369"/>
      <c r="AW48" s="366"/>
      <c r="AX48" s="366"/>
      <c r="AY48" s="366"/>
      <c r="AZ48" s="366"/>
      <c r="BA48" s="366"/>
    </row>
    <row r="49" spans="1:53" s="371" customFormat="1" x14ac:dyDescent="0.25">
      <c r="A49" s="1013"/>
      <c r="B49" s="309" t="s">
        <v>1178</v>
      </c>
      <c r="C49" s="310">
        <f>C39</f>
        <v>40.401251342681022</v>
      </c>
      <c r="D49" s="336"/>
      <c r="E49" s="300" t="s">
        <v>1439</v>
      </c>
      <c r="F49" s="301" t="s">
        <v>1</v>
      </c>
      <c r="G49" s="302">
        <v>5</v>
      </c>
      <c r="H49" s="301">
        <v>0.01</v>
      </c>
      <c r="I49" s="303">
        <f>G49*H49</f>
        <v>0.05</v>
      </c>
      <c r="J49" s="290" t="s">
        <v>1445</v>
      </c>
      <c r="K49" s="292">
        <v>2</v>
      </c>
      <c r="L49" s="311">
        <v>95</v>
      </c>
      <c r="M49" s="304">
        <v>2</v>
      </c>
      <c r="N49" s="433">
        <f>L49/'Исп. коэффициенты'!E52*C52</f>
        <v>7.1632559954284865E-3</v>
      </c>
      <c r="O49" s="291" t="s">
        <v>1668</v>
      </c>
      <c r="P49" s="291">
        <v>6750</v>
      </c>
      <c r="Q49" s="291">
        <v>19.670000000000002</v>
      </c>
      <c r="R49" s="291">
        <v>1327.73</v>
      </c>
      <c r="S49" s="295">
        <f>R49/'Исп. коэффициенты'!E52*C52</f>
        <v>0.1001144198190554</v>
      </c>
      <c r="T49" s="291"/>
      <c r="U49" s="291"/>
      <c r="V49" s="291"/>
      <c r="W49" s="291"/>
      <c r="X49" s="291"/>
      <c r="Y49" s="291"/>
      <c r="Z49" s="291"/>
      <c r="AA49" s="284"/>
      <c r="AB49" s="284"/>
      <c r="AC49" s="284"/>
      <c r="AD49" s="263"/>
      <c r="AE49" s="261"/>
      <c r="AF49" s="365"/>
      <c r="AG49" s="366"/>
      <c r="AH49" s="366"/>
      <c r="AI49" s="366"/>
      <c r="AJ49" s="367"/>
      <c r="AK49" s="366"/>
      <c r="AL49" s="368"/>
      <c r="AM49" s="373"/>
      <c r="AN49" s="366"/>
      <c r="AO49" s="369"/>
      <c r="AP49" s="366"/>
      <c r="AQ49" s="366"/>
      <c r="AR49" s="369"/>
      <c r="AS49" s="369"/>
      <c r="AT49" s="366"/>
      <c r="AU49" s="366"/>
      <c r="AV49" s="369"/>
      <c r="AW49" s="366"/>
      <c r="AX49" s="366"/>
      <c r="AY49" s="366"/>
      <c r="AZ49" s="366"/>
      <c r="BA49" s="366"/>
    </row>
    <row r="50" spans="1:53" s="371" customFormat="1" ht="12.75" customHeight="1" x14ac:dyDescent="0.25">
      <c r="A50" s="1013"/>
      <c r="B50" s="286" t="s">
        <v>1179</v>
      </c>
      <c r="C50" s="277">
        <f>C40</f>
        <v>25.456644376651425</v>
      </c>
      <c r="D50" s="336"/>
      <c r="E50" s="300" t="s">
        <v>1440</v>
      </c>
      <c r="F50" s="301" t="s">
        <v>1441</v>
      </c>
      <c r="G50" s="302">
        <v>5.36</v>
      </c>
      <c r="H50" s="312">
        <v>1</v>
      </c>
      <c r="I50" s="303">
        <f>G50*H50</f>
        <v>5.36</v>
      </c>
      <c r="J50" s="290" t="s">
        <v>1513</v>
      </c>
      <c r="K50" s="292">
        <v>2</v>
      </c>
      <c r="L50" s="292">
        <v>25</v>
      </c>
      <c r="M50" s="304">
        <v>0.5</v>
      </c>
      <c r="N50" s="433">
        <f>L50/'Исп. коэффициенты'!E52*C52</f>
        <v>1.8850673672180227E-3</v>
      </c>
      <c r="O50" s="291"/>
      <c r="P50" s="291"/>
      <c r="Q50" s="291"/>
      <c r="R50" s="291"/>
      <c r="S50" s="295"/>
      <c r="T50" s="291"/>
      <c r="U50" s="291"/>
      <c r="V50" s="291"/>
      <c r="W50" s="291"/>
      <c r="X50" s="291"/>
      <c r="Y50" s="291"/>
      <c r="Z50" s="291"/>
      <c r="AA50" s="284"/>
      <c r="AB50" s="284"/>
      <c r="AC50" s="284"/>
      <c r="AD50" s="263"/>
      <c r="AE50" s="261"/>
      <c r="AF50" s="365"/>
      <c r="AG50" s="366"/>
      <c r="AH50" s="366"/>
      <c r="AI50" s="366"/>
      <c r="AJ50" s="367"/>
      <c r="AK50" s="366"/>
      <c r="AL50" s="368"/>
      <c r="AM50" s="366"/>
      <c r="AN50" s="366"/>
      <c r="AO50" s="369"/>
      <c r="AP50" s="366"/>
      <c r="AQ50" s="366"/>
      <c r="AR50" s="369"/>
      <c r="AS50" s="369"/>
      <c r="AT50" s="366"/>
      <c r="AU50" s="366"/>
      <c r="AV50" s="369"/>
      <c r="AW50" s="366"/>
      <c r="AX50" s="366"/>
      <c r="AY50" s="366"/>
      <c r="AZ50" s="366"/>
      <c r="BA50" s="366"/>
    </row>
    <row r="51" spans="1:53" s="371" customFormat="1" ht="12.75" customHeight="1" x14ac:dyDescent="0.25">
      <c r="A51" s="1013"/>
      <c r="B51" s="286" t="s">
        <v>831</v>
      </c>
      <c r="C51" s="313"/>
      <c r="D51" s="336"/>
      <c r="E51" s="300" t="s">
        <v>1442</v>
      </c>
      <c r="F51" s="301" t="s">
        <v>1</v>
      </c>
      <c r="G51" s="302">
        <v>0.47</v>
      </c>
      <c r="H51" s="301">
        <v>10</v>
      </c>
      <c r="I51" s="303">
        <f>G51*H51</f>
        <v>4.6999999999999993</v>
      </c>
      <c r="J51" s="290"/>
      <c r="K51" s="292"/>
      <c r="L51" s="292"/>
      <c r="M51" s="292"/>
      <c r="N51" s="292"/>
      <c r="O51" s="290"/>
      <c r="P51" s="292"/>
      <c r="Q51" s="292"/>
      <c r="R51" s="292"/>
      <c r="S51" s="292"/>
      <c r="T51" s="291"/>
      <c r="U51" s="291"/>
      <c r="V51" s="291"/>
      <c r="W51" s="291"/>
      <c r="X51" s="291"/>
      <c r="Y51" s="291"/>
      <c r="Z51" s="291"/>
      <c r="AA51" s="284"/>
      <c r="AB51" s="284"/>
      <c r="AC51" s="284"/>
      <c r="AD51" s="263"/>
      <c r="AE51" s="261"/>
      <c r="AF51" s="365"/>
      <c r="AG51" s="366"/>
      <c r="AH51" s="366"/>
      <c r="AI51" s="366"/>
      <c r="AJ51" s="367"/>
      <c r="AK51" s="366"/>
      <c r="AL51" s="368"/>
      <c r="AM51" s="366"/>
      <c r="AN51" s="366"/>
      <c r="AO51" s="369"/>
      <c r="AP51" s="366"/>
      <c r="AQ51" s="366"/>
      <c r="AR51" s="369"/>
      <c r="AS51" s="369"/>
      <c r="AT51" s="366"/>
      <c r="AU51" s="366"/>
      <c r="AV51" s="369"/>
      <c r="AW51" s="366"/>
      <c r="AX51" s="366"/>
      <c r="AY51" s="366"/>
      <c r="AZ51" s="366"/>
      <c r="BA51" s="366"/>
    </row>
    <row r="52" spans="1:53" s="371" customFormat="1" ht="12.75" customHeight="1" x14ac:dyDescent="0.25">
      <c r="A52" s="1013"/>
      <c r="B52" s="309" t="s">
        <v>1178</v>
      </c>
      <c r="C52" s="314">
        <v>0.8</v>
      </c>
      <c r="D52" s="336"/>
      <c r="E52" s="300"/>
      <c r="F52" s="301"/>
      <c r="G52" s="302"/>
      <c r="H52" s="301"/>
      <c r="I52" s="303"/>
      <c r="J52" s="290"/>
      <c r="K52" s="292"/>
      <c r="L52" s="292"/>
      <c r="M52" s="292"/>
      <c r="N52" s="292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84"/>
      <c r="AB52" s="284"/>
      <c r="AC52" s="284"/>
      <c r="AD52" s="263"/>
      <c r="AE52" s="261"/>
      <c r="AF52" s="365"/>
      <c r="AG52" s="366"/>
      <c r="AH52" s="366"/>
      <c r="AI52" s="366"/>
      <c r="AJ52" s="375"/>
      <c r="AK52" s="366"/>
      <c r="AL52" s="368"/>
      <c r="AM52" s="366"/>
      <c r="AN52" s="366"/>
      <c r="AO52" s="369"/>
      <c r="AP52" s="366"/>
      <c r="AQ52" s="366"/>
      <c r="AR52" s="369"/>
      <c r="AS52" s="369"/>
      <c r="AT52" s="366"/>
      <c r="AU52" s="366"/>
      <c r="AV52" s="369"/>
      <c r="AW52" s="366"/>
      <c r="AX52" s="366"/>
      <c r="AY52" s="366"/>
      <c r="AZ52" s="366"/>
      <c r="BA52" s="366"/>
    </row>
    <row r="53" spans="1:53" s="371" customFormat="1" ht="15.75" customHeight="1" x14ac:dyDescent="0.25">
      <c r="A53" s="1013"/>
      <c r="B53" s="286" t="s">
        <v>1179</v>
      </c>
      <c r="C53" s="314">
        <v>0.8</v>
      </c>
      <c r="D53" s="336"/>
      <c r="E53" s="300"/>
      <c r="F53" s="376"/>
      <c r="G53" s="302"/>
      <c r="H53" s="301"/>
      <c r="I53" s="303"/>
      <c r="J53" s="290"/>
      <c r="K53" s="292"/>
      <c r="L53" s="292"/>
      <c r="M53" s="292"/>
      <c r="N53" s="292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84"/>
      <c r="AB53" s="284"/>
      <c r="AC53" s="284"/>
      <c r="AD53" s="263"/>
      <c r="AE53" s="261"/>
      <c r="AF53" s="365"/>
      <c r="AG53" s="366"/>
      <c r="AH53" s="366"/>
      <c r="AI53" s="366"/>
      <c r="AJ53" s="375"/>
      <c r="AK53" s="366"/>
      <c r="AL53" s="368"/>
      <c r="AM53" s="366"/>
      <c r="AN53" s="366"/>
      <c r="AO53" s="369"/>
      <c r="AP53" s="366"/>
      <c r="AQ53" s="366"/>
      <c r="AR53" s="369"/>
      <c r="AS53" s="369"/>
      <c r="AT53" s="366"/>
      <c r="AU53" s="366"/>
      <c r="AV53" s="369"/>
      <c r="AW53" s="366"/>
      <c r="AX53" s="366"/>
      <c r="AY53" s="366"/>
      <c r="AZ53" s="366"/>
      <c r="BA53" s="366"/>
    </row>
    <row r="54" spans="1:53" s="371" customFormat="1" ht="20.25" customHeight="1" x14ac:dyDescent="0.25">
      <c r="A54" s="1013"/>
      <c r="B54" s="315" t="s">
        <v>1181</v>
      </c>
      <c r="C54" s="277">
        <f>C49*C52+C50*C53</f>
        <v>52.686316575465959</v>
      </c>
      <c r="D54" s="336"/>
      <c r="E54" s="300"/>
      <c r="F54" s="376"/>
      <c r="G54" s="302"/>
      <c r="H54" s="301"/>
      <c r="I54" s="303"/>
      <c r="J54" s="290"/>
      <c r="K54" s="374"/>
      <c r="L54" s="311"/>
      <c r="M54" s="304"/>
      <c r="N54" s="292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84"/>
      <c r="AB54" s="284"/>
      <c r="AC54" s="284"/>
      <c r="AD54" s="263"/>
      <c r="AE54" s="261"/>
      <c r="AF54" s="365"/>
      <c r="AG54" s="366"/>
      <c r="AH54" s="366"/>
      <c r="AI54" s="366"/>
      <c r="AJ54" s="367"/>
      <c r="AK54" s="366"/>
      <c r="AL54" s="368"/>
      <c r="AM54" s="366"/>
      <c r="AN54" s="366"/>
      <c r="AO54" s="369"/>
      <c r="AP54" s="366"/>
      <c r="AQ54" s="366"/>
      <c r="AR54" s="369"/>
      <c r="AS54" s="369"/>
      <c r="AT54" s="366"/>
      <c r="AU54" s="366"/>
      <c r="AV54" s="369"/>
      <c r="AW54" s="366"/>
      <c r="AX54" s="366"/>
      <c r="AY54" s="366"/>
      <c r="AZ54" s="366"/>
      <c r="BA54" s="366"/>
    </row>
    <row r="55" spans="1:53" s="371" customFormat="1" ht="13.5" customHeight="1" x14ac:dyDescent="0.25">
      <c r="A55" s="1014"/>
      <c r="B55" s="318"/>
      <c r="C55" s="314"/>
      <c r="D55" s="337"/>
      <c r="E55" s="300"/>
      <c r="F55" s="376"/>
      <c r="G55" s="302"/>
      <c r="H55" s="301"/>
      <c r="I55" s="303"/>
      <c r="J55" s="290"/>
      <c r="K55" s="374"/>
      <c r="L55" s="292"/>
      <c r="M55" s="292"/>
      <c r="N55" s="292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84"/>
      <c r="AB55" s="284"/>
      <c r="AC55" s="284"/>
      <c r="AD55" s="263"/>
      <c r="AE55" s="261"/>
      <c r="AF55" s="365"/>
      <c r="AG55" s="366"/>
      <c r="AH55" s="366"/>
      <c r="AI55" s="366"/>
      <c r="AJ55" s="375"/>
      <c r="AK55" s="366"/>
      <c r="AL55" s="368"/>
      <c r="AM55" s="366"/>
      <c r="AN55" s="366"/>
      <c r="AO55" s="369"/>
      <c r="AP55" s="366"/>
      <c r="AQ55" s="366"/>
      <c r="AR55" s="369"/>
      <c r="AS55" s="369"/>
      <c r="AT55" s="366"/>
      <c r="AU55" s="366"/>
      <c r="AV55" s="369"/>
      <c r="AW55" s="366"/>
      <c r="AX55" s="366"/>
      <c r="AY55" s="366"/>
      <c r="AZ55" s="366"/>
      <c r="BA55" s="366"/>
    </row>
    <row r="56" spans="1:53" s="261" customFormat="1" ht="56.25" customHeight="1" x14ac:dyDescent="0.25">
      <c r="A56" s="1012" t="s">
        <v>1241</v>
      </c>
      <c r="B56" s="438" t="s">
        <v>942</v>
      </c>
      <c r="C56" s="277"/>
      <c r="D56" s="335"/>
      <c r="E56" s="278" t="s">
        <v>488</v>
      </c>
      <c r="F56" s="279" t="s">
        <v>837</v>
      </c>
      <c r="G56" s="277" t="s">
        <v>489</v>
      </c>
      <c r="H56" s="278" t="s">
        <v>1170</v>
      </c>
      <c r="I56" s="279" t="s">
        <v>838</v>
      </c>
      <c r="J56" s="280" t="s">
        <v>1171</v>
      </c>
      <c r="K56" s="280" t="s">
        <v>490</v>
      </c>
      <c r="L56" s="281" t="s">
        <v>489</v>
      </c>
      <c r="M56" s="280" t="s">
        <v>1172</v>
      </c>
      <c r="N56" s="354" t="s">
        <v>838</v>
      </c>
      <c r="O56" s="280" t="s">
        <v>1171</v>
      </c>
      <c r="P56" s="280" t="s">
        <v>826</v>
      </c>
      <c r="Q56" s="280" t="s">
        <v>1173</v>
      </c>
      <c r="R56" s="280" t="s">
        <v>1174</v>
      </c>
      <c r="S56" s="280" t="s">
        <v>839</v>
      </c>
      <c r="T56" s="280" t="s">
        <v>1171</v>
      </c>
      <c r="U56" s="280" t="s">
        <v>1392</v>
      </c>
      <c r="V56" s="280" t="s">
        <v>841</v>
      </c>
      <c r="W56" s="282" t="s">
        <v>1173</v>
      </c>
      <c r="X56" s="280" t="s">
        <v>1394</v>
      </c>
      <c r="Y56" s="280" t="s">
        <v>839</v>
      </c>
      <c r="Z56" s="283"/>
      <c r="AA56" s="284"/>
      <c r="AB56" s="284"/>
      <c r="AC56" s="284"/>
      <c r="AD56" s="263"/>
      <c r="AF56" s="262"/>
      <c r="AG56" s="263"/>
      <c r="AH56" s="263"/>
      <c r="AI56" s="263"/>
      <c r="AJ56" s="263"/>
      <c r="AK56" s="263"/>
      <c r="AL56" s="264"/>
      <c r="AM56" s="263"/>
      <c r="AN56" s="263"/>
      <c r="AO56" s="265"/>
      <c r="AP56" s="263"/>
      <c r="AQ56" s="355"/>
      <c r="AR56" s="355"/>
      <c r="AS56" s="355"/>
      <c r="AT56" s="263"/>
      <c r="AU56" s="263"/>
      <c r="AV56" s="265"/>
      <c r="AW56" s="263"/>
      <c r="AX56" s="263"/>
      <c r="AY56" s="263"/>
      <c r="AZ56" s="263"/>
      <c r="BA56" s="263"/>
    </row>
    <row r="57" spans="1:53" s="270" customFormat="1" ht="12" customHeight="1" x14ac:dyDescent="0.25">
      <c r="A57" s="1013"/>
      <c r="B57" s="285" t="s">
        <v>1175</v>
      </c>
      <c r="C57" s="277">
        <f>C64</f>
        <v>20.200625671340511</v>
      </c>
      <c r="D57" s="335">
        <f>C57*$D$5</f>
        <v>4.0805263856107832</v>
      </c>
      <c r="E57" s="286" t="s">
        <v>1176</v>
      </c>
      <c r="F57" s="356"/>
      <c r="G57" s="288"/>
      <c r="H57" s="288"/>
      <c r="I57" s="289">
        <f>SUM(I58:I65)</f>
        <v>13.11</v>
      </c>
      <c r="J57" s="290" t="s">
        <v>1176</v>
      </c>
      <c r="K57" s="357"/>
      <c r="L57" s="291"/>
      <c r="M57" s="291"/>
      <c r="N57" s="433">
        <f>SUM(N58:N65)</f>
        <v>4.1000215236991988E-2</v>
      </c>
      <c r="O57" s="291"/>
      <c r="P57" s="291"/>
      <c r="Q57" s="291"/>
      <c r="R57" s="291"/>
      <c r="S57" s="295">
        <f>S58+S59</f>
        <v>0.10428569688923545</v>
      </c>
      <c r="T57" s="292"/>
      <c r="U57" s="292"/>
      <c r="V57" s="292"/>
      <c r="W57" s="292"/>
      <c r="X57" s="292"/>
      <c r="Y57" s="433">
        <f>SUM(Y58:Y65)</f>
        <v>4.3489191438431192</v>
      </c>
      <c r="Z57" s="296">
        <f>(C57+D57+I57+N57+Y57+S57)*$Z$5</f>
        <v>54.458825826533726</v>
      </c>
      <c r="AA57" s="297">
        <f>C57+D57+I57+N57+S57+Y57+Z57</f>
        <v>96.344182939454356</v>
      </c>
      <c r="AB57" s="298">
        <v>0.25</v>
      </c>
      <c r="AC57" s="358">
        <f>AA57*(1+AB57)</f>
        <v>120.43022867431795</v>
      </c>
      <c r="AD57" s="265"/>
      <c r="AE57" s="261"/>
      <c r="AF57" s="262"/>
      <c r="AG57" s="263"/>
      <c r="AH57" s="263"/>
      <c r="AI57" s="355"/>
      <c r="AJ57" s="359"/>
      <c r="AK57" s="360"/>
      <c r="AL57" s="264"/>
      <c r="AM57" s="361"/>
      <c r="AN57" s="143"/>
      <c r="AO57" s="362"/>
      <c r="AP57" s="363"/>
      <c r="AQ57" s="363"/>
      <c r="AR57" s="363"/>
      <c r="AS57" s="363"/>
      <c r="AT57" s="363"/>
      <c r="AU57" s="362"/>
      <c r="AV57" s="362"/>
      <c r="AW57" s="364"/>
      <c r="AX57" s="272"/>
      <c r="AY57" s="272"/>
      <c r="AZ57" s="272"/>
      <c r="BA57" s="272"/>
    </row>
    <row r="58" spans="1:53" s="371" customFormat="1" ht="12.75" customHeight="1" x14ac:dyDescent="0.25">
      <c r="A58" s="1013"/>
      <c r="B58" s="299" t="s">
        <v>830</v>
      </c>
      <c r="C58" s="277"/>
      <c r="D58" s="336"/>
      <c r="E58" s="300" t="s">
        <v>1437</v>
      </c>
      <c r="F58" s="301" t="s">
        <v>1438</v>
      </c>
      <c r="G58" s="302">
        <v>0.3</v>
      </c>
      <c r="H58" s="301">
        <v>10</v>
      </c>
      <c r="I58" s="303">
        <f>G58*H58</f>
        <v>3</v>
      </c>
      <c r="J58" s="290" t="s">
        <v>1291</v>
      </c>
      <c r="K58" s="304">
        <v>2</v>
      </c>
      <c r="L58" s="305">
        <v>750</v>
      </c>
      <c r="M58" s="304">
        <v>2</v>
      </c>
      <c r="N58" s="433">
        <f>L58/'Исп. коэффициенты'!E52*C62</f>
        <v>3.5345013135337923E-2</v>
      </c>
      <c r="O58" s="291" t="s">
        <v>1667</v>
      </c>
      <c r="P58" s="291">
        <v>4500</v>
      </c>
      <c r="Q58" s="291">
        <v>19.670000000000002</v>
      </c>
      <c r="R58" s="291">
        <v>885.15</v>
      </c>
      <c r="S58" s="295">
        <f>R58/'Исп. коэффициенты'!E52*C62</f>
        <v>4.1714184502325814E-2</v>
      </c>
      <c r="T58" s="306" t="s">
        <v>1435</v>
      </c>
      <c r="U58" s="307">
        <v>6785401.3499999996</v>
      </c>
      <c r="V58" s="308">
        <v>1.3599999999999999E-2</v>
      </c>
      <c r="W58" s="306">
        <f>'Исп. коэффициенты'!E124</f>
        <v>2978.5</v>
      </c>
      <c r="X58" s="292">
        <f>U58*V58</f>
        <v>92281.45835999999</v>
      </c>
      <c r="Y58" s="295">
        <f>X58/'Исп. коэффициенты'!E52*C62</f>
        <v>4.3489191438431192</v>
      </c>
      <c r="Z58" s="291"/>
      <c r="AA58" s="284"/>
      <c r="AB58" s="284"/>
      <c r="AC58" s="284"/>
      <c r="AD58" s="263"/>
      <c r="AE58" s="261"/>
      <c r="AF58" s="365"/>
      <c r="AG58" s="366"/>
      <c r="AH58" s="366"/>
      <c r="AI58" s="366"/>
      <c r="AJ58" s="367"/>
      <c r="AK58" s="366"/>
      <c r="AL58" s="368"/>
      <c r="AM58" s="366"/>
      <c r="AN58" s="366"/>
      <c r="AO58" s="369"/>
      <c r="AP58" s="366"/>
      <c r="AQ58" s="366"/>
      <c r="AR58" s="369"/>
      <c r="AS58" s="369"/>
      <c r="AT58" s="366"/>
      <c r="AU58" s="366"/>
      <c r="AV58" s="369"/>
      <c r="AW58" s="366"/>
      <c r="AX58" s="366"/>
      <c r="AY58" s="366"/>
      <c r="AZ58" s="366"/>
      <c r="BA58" s="366"/>
    </row>
    <row r="59" spans="1:53" s="371" customFormat="1" x14ac:dyDescent="0.25">
      <c r="A59" s="1013"/>
      <c r="B59" s="309" t="s">
        <v>1178</v>
      </c>
      <c r="C59" s="310">
        <f>C49</f>
        <v>40.401251342681022</v>
      </c>
      <c r="D59" s="336"/>
      <c r="E59" s="300" t="s">
        <v>1439</v>
      </c>
      <c r="F59" s="301" t="s">
        <v>1</v>
      </c>
      <c r="G59" s="302">
        <v>5</v>
      </c>
      <c r="H59" s="301">
        <v>0.01</v>
      </c>
      <c r="I59" s="303">
        <f>G59*H59</f>
        <v>0.05</v>
      </c>
      <c r="J59" s="290" t="s">
        <v>1445</v>
      </c>
      <c r="K59" s="292">
        <v>2</v>
      </c>
      <c r="L59" s="311">
        <v>95</v>
      </c>
      <c r="M59" s="304">
        <v>2</v>
      </c>
      <c r="N59" s="433">
        <f>L59/'Исп. коэффициенты'!E52*C62</f>
        <v>4.4770349971428036E-3</v>
      </c>
      <c r="O59" s="291" t="s">
        <v>1668</v>
      </c>
      <c r="P59" s="291">
        <v>6750</v>
      </c>
      <c r="Q59" s="291">
        <v>19.670000000000002</v>
      </c>
      <c r="R59" s="291">
        <v>1327.73</v>
      </c>
      <c r="S59" s="295">
        <f>R59/'Исп. коэффициенты'!E52*C62</f>
        <v>6.2571512386909625E-2</v>
      </c>
      <c r="T59" s="291"/>
      <c r="U59" s="291"/>
      <c r="V59" s="291"/>
      <c r="W59" s="291"/>
      <c r="X59" s="291"/>
      <c r="Y59" s="291"/>
      <c r="Z59" s="291"/>
      <c r="AA59" s="284"/>
      <c r="AB59" s="284"/>
      <c r="AC59" s="284"/>
      <c r="AD59" s="263"/>
      <c r="AE59" s="261"/>
      <c r="AF59" s="365"/>
      <c r="AG59" s="366"/>
      <c r="AH59" s="366"/>
      <c r="AI59" s="366"/>
      <c r="AJ59" s="367"/>
      <c r="AK59" s="366"/>
      <c r="AL59" s="368"/>
      <c r="AM59" s="373"/>
      <c r="AN59" s="366"/>
      <c r="AO59" s="369"/>
      <c r="AP59" s="366"/>
      <c r="AQ59" s="366"/>
      <c r="AR59" s="369"/>
      <c r="AS59" s="369"/>
      <c r="AT59" s="366"/>
      <c r="AU59" s="366"/>
      <c r="AV59" s="369"/>
      <c r="AW59" s="366"/>
      <c r="AX59" s="366"/>
      <c r="AY59" s="366"/>
      <c r="AZ59" s="366"/>
      <c r="BA59" s="366"/>
    </row>
    <row r="60" spans="1:53" s="371" customFormat="1" ht="12.75" customHeight="1" x14ac:dyDescent="0.25">
      <c r="A60" s="1013"/>
      <c r="B60" s="286" t="s">
        <v>1179</v>
      </c>
      <c r="C60" s="277">
        <f>C50</f>
        <v>25.456644376651425</v>
      </c>
      <c r="D60" s="336"/>
      <c r="E60" s="300" t="s">
        <v>1440</v>
      </c>
      <c r="F60" s="301" t="s">
        <v>1441</v>
      </c>
      <c r="G60" s="302">
        <v>5.36</v>
      </c>
      <c r="H60" s="312">
        <v>1</v>
      </c>
      <c r="I60" s="303">
        <f>G60*H60</f>
        <v>5.36</v>
      </c>
      <c r="J60" s="290" t="s">
        <v>1513</v>
      </c>
      <c r="K60" s="292">
        <v>2</v>
      </c>
      <c r="L60" s="292">
        <v>25</v>
      </c>
      <c r="M60" s="304">
        <v>0.5</v>
      </c>
      <c r="N60" s="433">
        <f>L60/'Исп. коэффициенты'!E52*C62</f>
        <v>1.1781671045112642E-3</v>
      </c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84"/>
      <c r="AB60" s="284"/>
      <c r="AC60" s="284"/>
      <c r="AD60" s="263"/>
      <c r="AE60" s="261"/>
      <c r="AF60" s="365"/>
      <c r="AG60" s="366"/>
      <c r="AH60" s="366"/>
      <c r="AI60" s="366"/>
      <c r="AJ60" s="367"/>
      <c r="AK60" s="366"/>
      <c r="AL60" s="368"/>
      <c r="AM60" s="366"/>
      <c r="AN60" s="366"/>
      <c r="AO60" s="369"/>
      <c r="AP60" s="366"/>
      <c r="AQ60" s="366"/>
      <c r="AR60" s="369"/>
      <c r="AS60" s="369"/>
      <c r="AT60" s="366"/>
      <c r="AU60" s="366"/>
      <c r="AV60" s="369"/>
      <c r="AW60" s="366"/>
      <c r="AX60" s="366"/>
      <c r="AY60" s="366"/>
      <c r="AZ60" s="366"/>
      <c r="BA60" s="366"/>
    </row>
    <row r="61" spans="1:53" s="371" customFormat="1" ht="12.75" customHeight="1" x14ac:dyDescent="0.25">
      <c r="A61" s="1013"/>
      <c r="B61" s="286" t="s">
        <v>831</v>
      </c>
      <c r="C61" s="313"/>
      <c r="D61" s="336"/>
      <c r="E61" s="300" t="s">
        <v>1442</v>
      </c>
      <c r="F61" s="301" t="s">
        <v>1</v>
      </c>
      <c r="G61" s="302">
        <v>0.47</v>
      </c>
      <c r="H61" s="301">
        <v>10</v>
      </c>
      <c r="I61" s="303">
        <f>G61*H61</f>
        <v>4.6999999999999993</v>
      </c>
      <c r="J61" s="290"/>
      <c r="K61" s="292"/>
      <c r="L61" s="292"/>
      <c r="M61" s="292"/>
      <c r="N61" s="292"/>
      <c r="O61" s="290"/>
      <c r="P61" s="292"/>
      <c r="Q61" s="292"/>
      <c r="R61" s="292"/>
      <c r="S61" s="292"/>
      <c r="T61" s="291"/>
      <c r="U61" s="291"/>
      <c r="V61" s="291"/>
      <c r="W61" s="291"/>
      <c r="X61" s="291"/>
      <c r="Y61" s="291"/>
      <c r="Z61" s="291"/>
      <c r="AA61" s="284"/>
      <c r="AB61" s="284"/>
      <c r="AC61" s="284"/>
      <c r="AD61" s="263"/>
      <c r="AE61" s="261"/>
      <c r="AF61" s="365"/>
      <c r="AG61" s="366"/>
      <c r="AH61" s="366"/>
      <c r="AI61" s="366"/>
      <c r="AJ61" s="367"/>
      <c r="AK61" s="366"/>
      <c r="AL61" s="368"/>
      <c r="AM61" s="366"/>
      <c r="AN61" s="366"/>
      <c r="AO61" s="369"/>
      <c r="AP61" s="366"/>
      <c r="AQ61" s="366"/>
      <c r="AR61" s="369"/>
      <c r="AS61" s="369"/>
      <c r="AT61" s="366"/>
      <c r="AU61" s="366"/>
      <c r="AV61" s="369"/>
      <c r="AW61" s="366"/>
      <c r="AX61" s="366"/>
      <c r="AY61" s="366"/>
      <c r="AZ61" s="366"/>
      <c r="BA61" s="366"/>
    </row>
    <row r="62" spans="1:53" s="371" customFormat="1" ht="12.75" customHeight="1" x14ac:dyDescent="0.25">
      <c r="A62" s="1013"/>
      <c r="B62" s="309" t="s">
        <v>1178</v>
      </c>
      <c r="C62" s="314">
        <v>0.5</v>
      </c>
      <c r="D62" s="336"/>
      <c r="E62" s="300"/>
      <c r="F62" s="301"/>
      <c r="G62" s="302"/>
      <c r="H62" s="301"/>
      <c r="I62" s="303"/>
      <c r="J62" s="290"/>
      <c r="K62" s="292"/>
      <c r="L62" s="292"/>
      <c r="M62" s="292"/>
      <c r="N62" s="292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84"/>
      <c r="AB62" s="284"/>
      <c r="AC62" s="284"/>
      <c r="AD62" s="263"/>
      <c r="AE62" s="261"/>
      <c r="AF62" s="365"/>
      <c r="AG62" s="366"/>
      <c r="AH62" s="366"/>
      <c r="AI62" s="366"/>
      <c r="AJ62" s="375"/>
      <c r="AK62" s="366"/>
      <c r="AL62" s="368"/>
      <c r="AM62" s="366"/>
      <c r="AN62" s="366"/>
      <c r="AO62" s="369"/>
      <c r="AP62" s="366"/>
      <c r="AQ62" s="366"/>
      <c r="AR62" s="369"/>
      <c r="AS62" s="369"/>
      <c r="AT62" s="366"/>
      <c r="AU62" s="366"/>
      <c r="AV62" s="369"/>
      <c r="AW62" s="366"/>
      <c r="AX62" s="366"/>
      <c r="AY62" s="366"/>
      <c r="AZ62" s="366"/>
      <c r="BA62" s="366"/>
    </row>
    <row r="63" spans="1:53" s="371" customFormat="1" ht="15.75" customHeight="1" x14ac:dyDescent="0.25">
      <c r="A63" s="1013"/>
      <c r="B63" s="286" t="s">
        <v>1179</v>
      </c>
      <c r="C63" s="314">
        <v>0</v>
      </c>
      <c r="D63" s="336"/>
      <c r="E63" s="300"/>
      <c r="F63" s="376"/>
      <c r="G63" s="302"/>
      <c r="H63" s="301"/>
      <c r="I63" s="303"/>
      <c r="J63" s="290"/>
      <c r="K63" s="292"/>
      <c r="L63" s="292"/>
      <c r="M63" s="292"/>
      <c r="N63" s="292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84"/>
      <c r="AB63" s="284"/>
      <c r="AC63" s="284"/>
      <c r="AD63" s="263"/>
      <c r="AE63" s="261"/>
      <c r="AF63" s="365"/>
      <c r="AG63" s="366"/>
      <c r="AH63" s="366"/>
      <c r="AI63" s="366"/>
      <c r="AJ63" s="375"/>
      <c r="AK63" s="366"/>
      <c r="AL63" s="368"/>
      <c r="AM63" s="366"/>
      <c r="AN63" s="366"/>
      <c r="AO63" s="369"/>
      <c r="AP63" s="366"/>
      <c r="AQ63" s="366"/>
      <c r="AR63" s="369"/>
      <c r="AS63" s="369"/>
      <c r="AT63" s="366"/>
      <c r="AU63" s="366"/>
      <c r="AV63" s="369"/>
      <c r="AW63" s="366"/>
      <c r="AX63" s="366"/>
      <c r="AY63" s="366"/>
      <c r="AZ63" s="366"/>
      <c r="BA63" s="366"/>
    </row>
    <row r="64" spans="1:53" s="371" customFormat="1" ht="20.25" customHeight="1" x14ac:dyDescent="0.25">
      <c r="A64" s="1013"/>
      <c r="B64" s="315" t="s">
        <v>1181</v>
      </c>
      <c r="C64" s="277">
        <f>C59*C62+C60*C63</f>
        <v>20.200625671340511</v>
      </c>
      <c r="D64" s="336"/>
      <c r="E64" s="300"/>
      <c r="F64" s="376"/>
      <c r="G64" s="302"/>
      <c r="H64" s="301"/>
      <c r="I64" s="303"/>
      <c r="J64" s="290"/>
      <c r="K64" s="374"/>
      <c r="L64" s="311"/>
      <c r="M64" s="304"/>
      <c r="N64" s="292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84"/>
      <c r="AB64" s="284"/>
      <c r="AC64" s="284"/>
      <c r="AD64" s="263"/>
      <c r="AE64" s="261"/>
      <c r="AF64" s="365"/>
      <c r="AG64" s="366"/>
      <c r="AH64" s="366"/>
      <c r="AI64" s="366"/>
      <c r="AJ64" s="367"/>
      <c r="AK64" s="366"/>
      <c r="AL64" s="368"/>
      <c r="AM64" s="366"/>
      <c r="AN64" s="366"/>
      <c r="AO64" s="369"/>
      <c r="AP64" s="366"/>
      <c r="AQ64" s="366"/>
      <c r="AR64" s="369"/>
      <c r="AS64" s="369"/>
      <c r="AT64" s="366"/>
      <c r="AU64" s="366"/>
      <c r="AV64" s="369"/>
      <c r="AW64" s="366"/>
      <c r="AX64" s="366"/>
      <c r="AY64" s="366"/>
      <c r="AZ64" s="366"/>
      <c r="BA64" s="366"/>
    </row>
    <row r="65" spans="1:53" s="371" customFormat="1" ht="13.5" customHeight="1" x14ac:dyDescent="0.25">
      <c r="A65" s="1014"/>
      <c r="B65" s="318"/>
      <c r="C65" s="314"/>
      <c r="D65" s="337"/>
      <c r="E65" s="300"/>
      <c r="F65" s="376"/>
      <c r="G65" s="302"/>
      <c r="H65" s="301"/>
      <c r="I65" s="303"/>
      <c r="J65" s="290"/>
      <c r="K65" s="374"/>
      <c r="L65" s="292"/>
      <c r="M65" s="292"/>
      <c r="N65" s="292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84"/>
      <c r="AB65" s="284"/>
      <c r="AC65" s="284"/>
      <c r="AD65" s="263"/>
      <c r="AE65" s="261"/>
      <c r="AF65" s="365"/>
      <c r="AG65" s="366"/>
      <c r="AH65" s="366"/>
      <c r="AI65" s="366"/>
      <c r="AJ65" s="375"/>
      <c r="AK65" s="366"/>
      <c r="AL65" s="368"/>
      <c r="AM65" s="366"/>
      <c r="AN65" s="366"/>
      <c r="AO65" s="369"/>
      <c r="AP65" s="366"/>
      <c r="AQ65" s="366"/>
      <c r="AR65" s="369"/>
      <c r="AS65" s="369"/>
      <c r="AT65" s="366"/>
      <c r="AU65" s="366"/>
      <c r="AV65" s="369"/>
      <c r="AW65" s="366"/>
      <c r="AX65" s="366"/>
      <c r="AY65" s="366"/>
      <c r="AZ65" s="366"/>
      <c r="BA65" s="366"/>
    </row>
    <row r="66" spans="1:53" s="261" customFormat="1" ht="56.25" customHeight="1" x14ac:dyDescent="0.25">
      <c r="A66" s="1012" t="s">
        <v>1720</v>
      </c>
      <c r="B66" s="438" t="s">
        <v>1726</v>
      </c>
      <c r="C66" s="277"/>
      <c r="D66" s="335"/>
      <c r="E66" s="278" t="s">
        <v>488</v>
      </c>
      <c r="F66" s="279" t="s">
        <v>837</v>
      </c>
      <c r="G66" s="277" t="s">
        <v>489</v>
      </c>
      <c r="H66" s="278" t="s">
        <v>1170</v>
      </c>
      <c r="I66" s="279" t="s">
        <v>838</v>
      </c>
      <c r="J66" s="280" t="s">
        <v>1171</v>
      </c>
      <c r="K66" s="280" t="s">
        <v>490</v>
      </c>
      <c r="L66" s="281" t="s">
        <v>489</v>
      </c>
      <c r="M66" s="280" t="s">
        <v>1172</v>
      </c>
      <c r="N66" s="354" t="s">
        <v>838</v>
      </c>
      <c r="O66" s="280" t="s">
        <v>1171</v>
      </c>
      <c r="P66" s="280" t="s">
        <v>826</v>
      </c>
      <c r="Q66" s="280" t="s">
        <v>1173</v>
      </c>
      <c r="R66" s="280" t="s">
        <v>1174</v>
      </c>
      <c r="S66" s="280" t="s">
        <v>839</v>
      </c>
      <c r="T66" s="280" t="s">
        <v>1171</v>
      </c>
      <c r="U66" s="280" t="s">
        <v>1392</v>
      </c>
      <c r="V66" s="280" t="s">
        <v>841</v>
      </c>
      <c r="W66" s="282" t="s">
        <v>1173</v>
      </c>
      <c r="X66" s="280" t="s">
        <v>1394</v>
      </c>
      <c r="Y66" s="280" t="s">
        <v>839</v>
      </c>
      <c r="Z66" s="283"/>
      <c r="AA66" s="284"/>
      <c r="AB66" s="284"/>
      <c r="AC66" s="377"/>
      <c r="AD66" s="263"/>
      <c r="AF66" s="262"/>
      <c r="AG66" s="263"/>
      <c r="AH66" s="263"/>
      <c r="AI66" s="263"/>
      <c r="AJ66" s="263"/>
      <c r="AK66" s="263"/>
      <c r="AL66" s="264"/>
      <c r="AM66" s="263"/>
      <c r="AN66" s="263"/>
      <c r="AO66" s="265"/>
      <c r="AP66" s="263"/>
      <c r="AQ66" s="355"/>
      <c r="AR66" s="355"/>
      <c r="AS66" s="355"/>
      <c r="AT66" s="263"/>
      <c r="AU66" s="263"/>
      <c r="AV66" s="265"/>
      <c r="AW66" s="263"/>
      <c r="AX66" s="263"/>
      <c r="AY66" s="263"/>
      <c r="AZ66" s="263"/>
      <c r="BA66" s="263"/>
    </row>
    <row r="67" spans="1:53" s="270" customFormat="1" ht="12" customHeight="1" x14ac:dyDescent="0.25">
      <c r="A67" s="1013"/>
      <c r="B67" s="285" t="s">
        <v>1175</v>
      </c>
      <c r="C67" s="277">
        <f>C74</f>
        <v>32.928947859666224</v>
      </c>
      <c r="D67" s="335">
        <f>C67*$D$5</f>
        <v>6.6516474676525776</v>
      </c>
      <c r="E67" s="286" t="s">
        <v>1176</v>
      </c>
      <c r="F67" s="356"/>
      <c r="G67" s="288"/>
      <c r="H67" s="288"/>
      <c r="I67" s="289">
        <f>SUM(I68:I75)</f>
        <v>13.11</v>
      </c>
      <c r="J67" s="290" t="s">
        <v>1176</v>
      </c>
      <c r="K67" s="357"/>
      <c r="L67" s="291"/>
      <c r="M67" s="291"/>
      <c r="N67" s="433">
        <f>SUM(N68:N75)</f>
        <v>4.1000215236991988E-2</v>
      </c>
      <c r="O67" s="291"/>
      <c r="P67" s="291"/>
      <c r="Q67" s="291"/>
      <c r="R67" s="291"/>
      <c r="S67" s="295">
        <f>S68+S69</f>
        <v>0.10428569688923545</v>
      </c>
      <c r="T67" s="292"/>
      <c r="U67" s="292"/>
      <c r="V67" s="292"/>
      <c r="W67" s="292"/>
      <c r="X67" s="292"/>
      <c r="Y67" s="433">
        <f>SUM(Y68:Y75)</f>
        <v>4.3489191438431192</v>
      </c>
      <c r="Z67" s="296">
        <f>(C67+D67+I67+N67+S67+Y67)*$Z$5</f>
        <v>74.350973673277494</v>
      </c>
      <c r="AA67" s="297">
        <f>C67+D67+I67+N67+S67+Y67+Z67</f>
        <v>131.53577405656563</v>
      </c>
      <c r="AB67" s="298">
        <v>0.25</v>
      </c>
      <c r="AC67" s="358">
        <f>AA67*(1+AB67)</f>
        <v>164.41971757070704</v>
      </c>
      <c r="AD67" s="265"/>
      <c r="AE67" s="261"/>
      <c r="AF67" s="262"/>
      <c r="AG67" s="263"/>
      <c r="AH67" s="263"/>
      <c r="AI67" s="355"/>
      <c r="AJ67" s="359"/>
      <c r="AK67" s="360"/>
      <c r="AL67" s="264"/>
      <c r="AM67" s="361"/>
      <c r="AN67" s="143"/>
      <c r="AO67" s="362"/>
      <c r="AP67" s="363"/>
      <c r="AQ67" s="363"/>
      <c r="AR67" s="363"/>
      <c r="AS67" s="363"/>
      <c r="AT67" s="363"/>
      <c r="AU67" s="362"/>
      <c r="AV67" s="362"/>
      <c r="AW67" s="364"/>
      <c r="AX67" s="272"/>
      <c r="AY67" s="272"/>
      <c r="AZ67" s="272"/>
      <c r="BA67" s="272"/>
    </row>
    <row r="68" spans="1:53" s="371" customFormat="1" ht="12.75" customHeight="1" x14ac:dyDescent="0.25">
      <c r="A68" s="1013"/>
      <c r="B68" s="299" t="s">
        <v>830</v>
      </c>
      <c r="C68" s="277"/>
      <c r="D68" s="336"/>
      <c r="E68" s="300" t="s">
        <v>1437</v>
      </c>
      <c r="F68" s="301" t="s">
        <v>1438</v>
      </c>
      <c r="G68" s="302">
        <v>0.3</v>
      </c>
      <c r="H68" s="301">
        <v>10</v>
      </c>
      <c r="I68" s="303">
        <f>G68*H68</f>
        <v>3</v>
      </c>
      <c r="J68" s="290" t="s">
        <v>1291</v>
      </c>
      <c r="K68" s="304">
        <v>2</v>
      </c>
      <c r="L68" s="305">
        <v>750</v>
      </c>
      <c r="M68" s="304">
        <v>2</v>
      </c>
      <c r="N68" s="433">
        <f>L68/'Исп. коэффициенты'!E52*C72</f>
        <v>3.5345013135337923E-2</v>
      </c>
      <c r="O68" s="291" t="s">
        <v>1667</v>
      </c>
      <c r="P68" s="291">
        <v>4500</v>
      </c>
      <c r="Q68" s="291">
        <v>19.670000000000002</v>
      </c>
      <c r="R68" s="291">
        <v>885.15</v>
      </c>
      <c r="S68" s="295">
        <f>R68/'Исп. коэффициенты'!E52*C72</f>
        <v>4.1714184502325814E-2</v>
      </c>
      <c r="T68" s="306" t="s">
        <v>1435</v>
      </c>
      <c r="U68" s="307">
        <v>6785401.3499999996</v>
      </c>
      <c r="V68" s="308">
        <v>1.3599999999999999E-2</v>
      </c>
      <c r="W68" s="306">
        <f>'Исп. коэффициенты'!E124</f>
        <v>2978.5</v>
      </c>
      <c r="X68" s="292">
        <f>U68*V68</f>
        <v>92281.45835999999</v>
      </c>
      <c r="Y68" s="295">
        <f>X68/'Исп. коэффициенты'!E52*C72</f>
        <v>4.3489191438431192</v>
      </c>
      <c r="Z68" s="291"/>
      <c r="AA68" s="284"/>
      <c r="AB68" s="284"/>
      <c r="AC68" s="284"/>
      <c r="AD68" s="263"/>
      <c r="AE68" s="261"/>
      <c r="AF68" s="365"/>
      <c r="AG68" s="366"/>
      <c r="AH68" s="366"/>
      <c r="AI68" s="366"/>
      <c r="AJ68" s="367"/>
      <c r="AK68" s="366"/>
      <c r="AL68" s="368"/>
      <c r="AM68" s="366"/>
      <c r="AN68" s="366"/>
      <c r="AO68" s="369"/>
      <c r="AP68" s="366"/>
      <c r="AQ68" s="366"/>
      <c r="AR68" s="369"/>
      <c r="AS68" s="369"/>
      <c r="AT68" s="366"/>
      <c r="AU68" s="366"/>
      <c r="AV68" s="369"/>
      <c r="AW68" s="366"/>
      <c r="AX68" s="366"/>
      <c r="AY68" s="366"/>
      <c r="AZ68" s="366"/>
      <c r="BA68" s="366"/>
    </row>
    <row r="69" spans="1:53" s="371" customFormat="1" x14ac:dyDescent="0.25">
      <c r="A69" s="1013"/>
      <c r="B69" s="309" t="s">
        <v>1178</v>
      </c>
      <c r="C69" s="310">
        <f>C59</f>
        <v>40.401251342681022</v>
      </c>
      <c r="D69" s="336"/>
      <c r="E69" s="300" t="s">
        <v>1439</v>
      </c>
      <c r="F69" s="301" t="s">
        <v>1</v>
      </c>
      <c r="G69" s="302">
        <v>5</v>
      </c>
      <c r="H69" s="301">
        <v>0.01</v>
      </c>
      <c r="I69" s="303">
        <f>G69*H69</f>
        <v>0.05</v>
      </c>
      <c r="J69" s="290" t="s">
        <v>1445</v>
      </c>
      <c r="K69" s="292">
        <v>2</v>
      </c>
      <c r="L69" s="311">
        <v>95</v>
      </c>
      <c r="M69" s="304">
        <v>2</v>
      </c>
      <c r="N69" s="433">
        <f>L69/'Исп. коэффициенты'!E52*C72</f>
        <v>4.4770349971428036E-3</v>
      </c>
      <c r="O69" s="291" t="s">
        <v>1668</v>
      </c>
      <c r="P69" s="291">
        <v>6750</v>
      </c>
      <c r="Q69" s="291">
        <v>19.670000000000002</v>
      </c>
      <c r="R69" s="291">
        <v>1327.73</v>
      </c>
      <c r="S69" s="295">
        <f>R69/'Исп. коэффициенты'!E52*C72</f>
        <v>6.2571512386909625E-2</v>
      </c>
      <c r="T69" s="291"/>
      <c r="U69" s="291"/>
      <c r="V69" s="291"/>
      <c r="W69" s="291"/>
      <c r="X69" s="291"/>
      <c r="Y69" s="291"/>
      <c r="Z69" s="291"/>
      <c r="AA69" s="284"/>
      <c r="AB69" s="284"/>
      <c r="AC69" s="284"/>
      <c r="AD69" s="263"/>
      <c r="AE69" s="261"/>
      <c r="AF69" s="365"/>
      <c r="AG69" s="366"/>
      <c r="AH69" s="366"/>
      <c r="AI69" s="366"/>
      <c r="AJ69" s="367"/>
      <c r="AK69" s="366"/>
      <c r="AL69" s="368"/>
      <c r="AM69" s="373"/>
      <c r="AN69" s="366"/>
      <c r="AO69" s="369"/>
      <c r="AP69" s="366"/>
      <c r="AQ69" s="366"/>
      <c r="AR69" s="369"/>
      <c r="AS69" s="369"/>
      <c r="AT69" s="366"/>
      <c r="AU69" s="366"/>
      <c r="AV69" s="369"/>
      <c r="AW69" s="366"/>
      <c r="AX69" s="366"/>
      <c r="AY69" s="366"/>
      <c r="AZ69" s="366"/>
      <c r="BA69" s="366"/>
    </row>
    <row r="70" spans="1:53" s="371" customFormat="1" ht="12.75" customHeight="1" x14ac:dyDescent="0.25">
      <c r="A70" s="1013"/>
      <c r="B70" s="286" t="s">
        <v>1179</v>
      </c>
      <c r="C70" s="277">
        <f>C60</f>
        <v>25.456644376651425</v>
      </c>
      <c r="D70" s="336"/>
      <c r="E70" s="300" t="s">
        <v>1440</v>
      </c>
      <c r="F70" s="301" t="s">
        <v>1441</v>
      </c>
      <c r="G70" s="302">
        <v>5.36</v>
      </c>
      <c r="H70" s="312">
        <v>1</v>
      </c>
      <c r="I70" s="303">
        <f>G70*H70</f>
        <v>5.36</v>
      </c>
      <c r="J70" s="290" t="s">
        <v>1513</v>
      </c>
      <c r="K70" s="292">
        <v>2</v>
      </c>
      <c r="L70" s="292">
        <v>25</v>
      </c>
      <c r="M70" s="304">
        <v>0.5</v>
      </c>
      <c r="N70" s="433">
        <f>L70/'Исп. коэффициенты'!E52*C72</f>
        <v>1.1781671045112642E-3</v>
      </c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84"/>
      <c r="AB70" s="284"/>
      <c r="AC70" s="284"/>
      <c r="AD70" s="263"/>
      <c r="AE70" s="261"/>
      <c r="AF70" s="365"/>
      <c r="AG70" s="366"/>
      <c r="AH70" s="366"/>
      <c r="AI70" s="366"/>
      <c r="AJ70" s="367"/>
      <c r="AK70" s="366"/>
      <c r="AL70" s="368"/>
      <c r="AM70" s="366"/>
      <c r="AN70" s="366"/>
      <c r="AO70" s="369"/>
      <c r="AP70" s="366"/>
      <c r="AQ70" s="366"/>
      <c r="AR70" s="369"/>
      <c r="AS70" s="369"/>
      <c r="AT70" s="366"/>
      <c r="AU70" s="366"/>
      <c r="AV70" s="369"/>
      <c r="AW70" s="366"/>
      <c r="AX70" s="366"/>
      <c r="AY70" s="366"/>
      <c r="AZ70" s="366"/>
      <c r="BA70" s="366"/>
    </row>
    <row r="71" spans="1:53" s="371" customFormat="1" ht="12.75" customHeight="1" x14ac:dyDescent="0.25">
      <c r="A71" s="1013"/>
      <c r="B71" s="286" t="s">
        <v>831</v>
      </c>
      <c r="C71" s="313"/>
      <c r="D71" s="336"/>
      <c r="E71" s="300" t="s">
        <v>1442</v>
      </c>
      <c r="F71" s="301" t="s">
        <v>1</v>
      </c>
      <c r="G71" s="302">
        <v>0.47</v>
      </c>
      <c r="H71" s="301">
        <v>10</v>
      </c>
      <c r="I71" s="303">
        <f>G71*H71</f>
        <v>4.6999999999999993</v>
      </c>
      <c r="J71" s="290"/>
      <c r="K71" s="292"/>
      <c r="L71" s="292"/>
      <c r="M71" s="292"/>
      <c r="N71" s="292"/>
      <c r="O71" s="290"/>
      <c r="P71" s="292"/>
      <c r="Q71" s="292"/>
      <c r="R71" s="292"/>
      <c r="S71" s="292"/>
      <c r="T71" s="291"/>
      <c r="U71" s="291"/>
      <c r="V71" s="291"/>
      <c r="W71" s="291"/>
      <c r="X71" s="291"/>
      <c r="Y71" s="291"/>
      <c r="Z71" s="291"/>
      <c r="AA71" s="284"/>
      <c r="AB71" s="284"/>
      <c r="AC71" s="284"/>
      <c r="AD71" s="263"/>
      <c r="AE71" s="261"/>
      <c r="AF71" s="365"/>
      <c r="AG71" s="366"/>
      <c r="AH71" s="366"/>
      <c r="AI71" s="366"/>
      <c r="AJ71" s="367"/>
      <c r="AK71" s="366"/>
      <c r="AL71" s="368"/>
      <c r="AM71" s="366"/>
      <c r="AN71" s="366"/>
      <c r="AO71" s="369"/>
      <c r="AP71" s="366"/>
      <c r="AQ71" s="366"/>
      <c r="AR71" s="369"/>
      <c r="AS71" s="369"/>
      <c r="AT71" s="366"/>
      <c r="AU71" s="366"/>
      <c r="AV71" s="369"/>
      <c r="AW71" s="366"/>
      <c r="AX71" s="366"/>
      <c r="AY71" s="366"/>
      <c r="AZ71" s="366"/>
      <c r="BA71" s="366"/>
    </row>
    <row r="72" spans="1:53" s="371" customFormat="1" ht="12.75" customHeight="1" x14ac:dyDescent="0.25">
      <c r="A72" s="1013"/>
      <c r="B72" s="309" t="s">
        <v>1178</v>
      </c>
      <c r="C72" s="314">
        <v>0.5</v>
      </c>
      <c r="D72" s="336"/>
      <c r="E72" s="300"/>
      <c r="F72" s="301"/>
      <c r="G72" s="302"/>
      <c r="H72" s="301"/>
      <c r="I72" s="303"/>
      <c r="J72" s="290"/>
      <c r="K72" s="292"/>
      <c r="L72" s="292"/>
      <c r="M72" s="292"/>
      <c r="N72" s="292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84"/>
      <c r="AB72" s="284"/>
      <c r="AC72" s="284"/>
      <c r="AD72" s="263"/>
      <c r="AE72" s="261"/>
      <c r="AF72" s="365"/>
      <c r="AG72" s="366"/>
      <c r="AH72" s="366"/>
      <c r="AI72" s="366"/>
      <c r="AJ72" s="375"/>
      <c r="AK72" s="366"/>
      <c r="AL72" s="368"/>
      <c r="AM72" s="366"/>
      <c r="AN72" s="366"/>
      <c r="AO72" s="369"/>
      <c r="AP72" s="366"/>
      <c r="AQ72" s="366"/>
      <c r="AR72" s="369"/>
      <c r="AS72" s="369"/>
      <c r="AT72" s="366"/>
      <c r="AU72" s="366"/>
      <c r="AV72" s="369"/>
      <c r="AW72" s="366"/>
      <c r="AX72" s="366"/>
      <c r="AY72" s="366"/>
      <c r="AZ72" s="366"/>
      <c r="BA72" s="366"/>
    </row>
    <row r="73" spans="1:53" s="371" customFormat="1" ht="15.75" customHeight="1" x14ac:dyDescent="0.25">
      <c r="A73" s="1013"/>
      <c r="B73" s="286" t="s">
        <v>1179</v>
      </c>
      <c r="C73" s="314">
        <v>0.5</v>
      </c>
      <c r="D73" s="336"/>
      <c r="E73" s="300"/>
      <c r="F73" s="376"/>
      <c r="G73" s="302"/>
      <c r="H73" s="301"/>
      <c r="I73" s="303"/>
      <c r="J73" s="290"/>
      <c r="K73" s="292"/>
      <c r="L73" s="292"/>
      <c r="M73" s="292"/>
      <c r="N73" s="292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84"/>
      <c r="AB73" s="284"/>
      <c r="AC73" s="284"/>
      <c r="AD73" s="263"/>
      <c r="AE73" s="261"/>
      <c r="AF73" s="365"/>
      <c r="AG73" s="366"/>
      <c r="AH73" s="366"/>
      <c r="AI73" s="366"/>
      <c r="AJ73" s="375"/>
      <c r="AK73" s="366"/>
      <c r="AL73" s="368"/>
      <c r="AM73" s="366"/>
      <c r="AN73" s="366"/>
      <c r="AO73" s="369"/>
      <c r="AP73" s="366"/>
      <c r="AQ73" s="366"/>
      <c r="AR73" s="369"/>
      <c r="AS73" s="369"/>
      <c r="AT73" s="366"/>
      <c r="AU73" s="366"/>
      <c r="AV73" s="369"/>
      <c r="AW73" s="366"/>
      <c r="AX73" s="366"/>
      <c r="AY73" s="366"/>
      <c r="AZ73" s="366"/>
      <c r="BA73" s="366"/>
    </row>
    <row r="74" spans="1:53" s="371" customFormat="1" ht="24.75" customHeight="1" x14ac:dyDescent="0.25">
      <c r="A74" s="1013"/>
      <c r="B74" s="315" t="s">
        <v>1181</v>
      </c>
      <c r="C74" s="277">
        <f>C69*C72+C70*C73</f>
        <v>32.928947859666224</v>
      </c>
      <c r="D74" s="336"/>
      <c r="E74" s="300"/>
      <c r="F74" s="376"/>
      <c r="G74" s="302"/>
      <c r="H74" s="301"/>
      <c r="I74" s="303"/>
      <c r="J74" s="290"/>
      <c r="K74" s="374"/>
      <c r="L74" s="311"/>
      <c r="M74" s="304"/>
      <c r="N74" s="292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84"/>
      <c r="AB74" s="284"/>
      <c r="AC74" s="284"/>
      <c r="AD74" s="263"/>
      <c r="AE74" s="261"/>
      <c r="AF74" s="365"/>
      <c r="AG74" s="366"/>
      <c r="AH74" s="366"/>
      <c r="AI74" s="366"/>
      <c r="AJ74" s="367"/>
      <c r="AK74" s="366"/>
      <c r="AL74" s="368"/>
      <c r="AM74" s="366"/>
      <c r="AN74" s="366"/>
      <c r="AO74" s="369"/>
      <c r="AP74" s="366"/>
      <c r="AQ74" s="366"/>
      <c r="AR74" s="369"/>
      <c r="AS74" s="369"/>
      <c r="AT74" s="366"/>
      <c r="AU74" s="366"/>
      <c r="AV74" s="369"/>
      <c r="AW74" s="366"/>
      <c r="AX74" s="366"/>
      <c r="AY74" s="366"/>
      <c r="AZ74" s="366"/>
      <c r="BA74" s="366"/>
    </row>
    <row r="75" spans="1:53" s="371" customFormat="1" ht="13.5" customHeight="1" x14ac:dyDescent="0.25">
      <c r="A75" s="1014"/>
      <c r="B75" s="318"/>
      <c r="C75" s="314"/>
      <c r="D75" s="337"/>
      <c r="E75" s="300"/>
      <c r="F75" s="376"/>
      <c r="G75" s="302"/>
      <c r="H75" s="301"/>
      <c r="I75" s="303"/>
      <c r="J75" s="290"/>
      <c r="K75" s="374"/>
      <c r="L75" s="292"/>
      <c r="M75" s="292"/>
      <c r="N75" s="292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84"/>
      <c r="AB75" s="284"/>
      <c r="AC75" s="284"/>
      <c r="AD75" s="263"/>
      <c r="AE75" s="261"/>
      <c r="AF75" s="365"/>
      <c r="AG75" s="366"/>
      <c r="AH75" s="366"/>
      <c r="AI75" s="366"/>
      <c r="AJ75" s="375"/>
      <c r="AK75" s="366"/>
      <c r="AL75" s="368"/>
      <c r="AM75" s="366"/>
      <c r="AN75" s="366"/>
      <c r="AO75" s="369"/>
      <c r="AP75" s="366"/>
      <c r="AQ75" s="366"/>
      <c r="AR75" s="369"/>
      <c r="AS75" s="369"/>
      <c r="AT75" s="366"/>
      <c r="AU75" s="366"/>
      <c r="AV75" s="369"/>
      <c r="AW75" s="366"/>
      <c r="AX75" s="366"/>
      <c r="AY75" s="366"/>
      <c r="AZ75" s="366"/>
      <c r="BA75" s="366"/>
    </row>
    <row r="76" spans="1:53" s="261" customFormat="1" ht="56.25" customHeight="1" x14ac:dyDescent="0.25">
      <c r="A76" s="1012" t="s">
        <v>967</v>
      </c>
      <c r="B76" s="438" t="s">
        <v>949</v>
      </c>
      <c r="C76" s="277"/>
      <c r="D76" s="335"/>
      <c r="E76" s="278" t="s">
        <v>488</v>
      </c>
      <c r="F76" s="279" t="s">
        <v>837</v>
      </c>
      <c r="G76" s="277" t="s">
        <v>489</v>
      </c>
      <c r="H76" s="278" t="s">
        <v>1170</v>
      </c>
      <c r="I76" s="279" t="s">
        <v>838</v>
      </c>
      <c r="J76" s="280" t="s">
        <v>1171</v>
      </c>
      <c r="K76" s="280" t="s">
        <v>490</v>
      </c>
      <c r="L76" s="281" t="s">
        <v>489</v>
      </c>
      <c r="M76" s="280" t="s">
        <v>1172</v>
      </c>
      <c r="N76" s="354" t="s">
        <v>838</v>
      </c>
      <c r="O76" s="280" t="s">
        <v>1171</v>
      </c>
      <c r="P76" s="280" t="s">
        <v>826</v>
      </c>
      <c r="Q76" s="280" t="s">
        <v>1173</v>
      </c>
      <c r="R76" s="280" t="s">
        <v>1174</v>
      </c>
      <c r="S76" s="280" t="s">
        <v>839</v>
      </c>
      <c r="T76" s="280" t="s">
        <v>1171</v>
      </c>
      <c r="U76" s="280" t="s">
        <v>1392</v>
      </c>
      <c r="V76" s="280" t="s">
        <v>841</v>
      </c>
      <c r="W76" s="282" t="s">
        <v>1173</v>
      </c>
      <c r="X76" s="280" t="s">
        <v>1394</v>
      </c>
      <c r="Y76" s="280" t="s">
        <v>839</v>
      </c>
      <c r="Z76" s="283"/>
      <c r="AA76" s="284"/>
      <c r="AB76" s="284"/>
      <c r="AC76" s="284"/>
      <c r="AD76" s="263"/>
      <c r="AF76" s="262"/>
      <c r="AG76" s="263"/>
      <c r="AH76" s="263"/>
      <c r="AI76" s="263"/>
      <c r="AJ76" s="263"/>
      <c r="AK76" s="263"/>
      <c r="AL76" s="264"/>
      <c r="AM76" s="263"/>
      <c r="AN76" s="263"/>
      <c r="AO76" s="265"/>
      <c r="AP76" s="263"/>
      <c r="AQ76" s="355"/>
      <c r="AR76" s="355"/>
      <c r="AS76" s="355"/>
      <c r="AT76" s="263"/>
      <c r="AU76" s="263"/>
      <c r="AV76" s="265"/>
      <c r="AW76" s="263"/>
      <c r="AX76" s="263"/>
      <c r="AY76" s="263"/>
      <c r="AZ76" s="263"/>
      <c r="BA76" s="263"/>
    </row>
    <row r="77" spans="1:53" s="270" customFormat="1" ht="12" customHeight="1" x14ac:dyDescent="0.25">
      <c r="A77" s="1013"/>
      <c r="B77" s="285" t="s">
        <v>1175</v>
      </c>
      <c r="C77" s="277">
        <f>C84</f>
        <v>25.456644376651425</v>
      </c>
      <c r="D77" s="335">
        <f>C77*$D$5</f>
        <v>5.142242164083588</v>
      </c>
      <c r="E77" s="286" t="s">
        <v>1176</v>
      </c>
      <c r="F77" s="356"/>
      <c r="G77" s="288"/>
      <c r="H77" s="288"/>
      <c r="I77" s="289">
        <f>SUM(I78:I85)</f>
        <v>13.11</v>
      </c>
      <c r="J77" s="290" t="s">
        <v>1176</v>
      </c>
      <c r="K77" s="357"/>
      <c r="L77" s="291"/>
      <c r="M77" s="291"/>
      <c r="N77" s="433">
        <f>SUM(N78:N85)</f>
        <v>8.2000430473983976E-2</v>
      </c>
      <c r="O77" s="291"/>
      <c r="P77" s="291"/>
      <c r="Q77" s="291"/>
      <c r="R77" s="291"/>
      <c r="S77" s="295">
        <f>S78+S79</f>
        <v>0.20857139377847089</v>
      </c>
      <c r="T77" s="292"/>
      <c r="U77" s="292"/>
      <c r="V77" s="292"/>
      <c r="W77" s="292"/>
      <c r="X77" s="292"/>
      <c r="Y77" s="433">
        <f>SUM(Y78:Y85)</f>
        <v>8.6978382876862383</v>
      </c>
      <c r="Z77" s="296">
        <f>(C77+D77+I77+N77+S77+Y77)*$Z$5</f>
        <v>68.516376551361915</v>
      </c>
      <c r="AA77" s="297">
        <f>C77+D77+I77+N77+S77+Y77+Z77</f>
        <v>121.21367320403562</v>
      </c>
      <c r="AB77" s="298">
        <v>0.25</v>
      </c>
      <c r="AC77" s="358">
        <f>AA77*(1+AB77)</f>
        <v>151.5170915050445</v>
      </c>
      <c r="AD77" s="265"/>
      <c r="AE77" s="261"/>
      <c r="AF77" s="262"/>
      <c r="AG77" s="263"/>
      <c r="AH77" s="263"/>
      <c r="AI77" s="355"/>
      <c r="AJ77" s="359"/>
      <c r="AK77" s="360"/>
      <c r="AL77" s="264"/>
      <c r="AM77" s="361"/>
      <c r="AN77" s="143"/>
      <c r="AO77" s="362"/>
      <c r="AP77" s="363"/>
      <c r="AQ77" s="363"/>
      <c r="AR77" s="363"/>
      <c r="AS77" s="363"/>
      <c r="AT77" s="363"/>
      <c r="AU77" s="362"/>
      <c r="AV77" s="362"/>
      <c r="AW77" s="364"/>
      <c r="AX77" s="272"/>
      <c r="AY77" s="272"/>
      <c r="AZ77" s="272"/>
      <c r="BA77" s="272"/>
    </row>
    <row r="78" spans="1:53" s="371" customFormat="1" ht="12.75" customHeight="1" x14ac:dyDescent="0.25">
      <c r="A78" s="1013"/>
      <c r="B78" s="299" t="s">
        <v>830</v>
      </c>
      <c r="C78" s="277"/>
      <c r="D78" s="336"/>
      <c r="E78" s="300" t="s">
        <v>1437</v>
      </c>
      <c r="F78" s="301" t="s">
        <v>1438</v>
      </c>
      <c r="G78" s="302">
        <v>0.3</v>
      </c>
      <c r="H78" s="301">
        <v>10</v>
      </c>
      <c r="I78" s="303">
        <f>G78*H78</f>
        <v>3</v>
      </c>
      <c r="J78" s="290" t="s">
        <v>1291</v>
      </c>
      <c r="K78" s="304">
        <v>2</v>
      </c>
      <c r="L78" s="305">
        <v>750</v>
      </c>
      <c r="M78" s="304">
        <v>2</v>
      </c>
      <c r="N78" s="433">
        <f>L78/'Исп. коэффициенты'!E52*C83</f>
        <v>7.0690026270675846E-2</v>
      </c>
      <c r="O78" s="291" t="s">
        <v>1667</v>
      </c>
      <c r="P78" s="291">
        <v>4500</v>
      </c>
      <c r="Q78" s="291">
        <v>19.670000000000002</v>
      </c>
      <c r="R78" s="291">
        <v>885.15</v>
      </c>
      <c r="S78" s="295">
        <f>R78/'Исп. коэффициенты'!E52*C83</f>
        <v>8.3428369004651629E-2</v>
      </c>
      <c r="T78" s="306" t="s">
        <v>1435</v>
      </c>
      <c r="U78" s="307">
        <v>6785401.3499999996</v>
      </c>
      <c r="V78" s="308">
        <v>1.3599999999999999E-2</v>
      </c>
      <c r="W78" s="306">
        <f>'Исп. коэффициенты'!E124</f>
        <v>2978.5</v>
      </c>
      <c r="X78" s="292">
        <f>U78*V78</f>
        <v>92281.45835999999</v>
      </c>
      <c r="Y78" s="295">
        <f>X78/'Исп. коэффициенты'!E52*C83</f>
        <v>8.6978382876862383</v>
      </c>
      <c r="Z78" s="291"/>
      <c r="AA78" s="284"/>
      <c r="AB78" s="284"/>
      <c r="AC78" s="284"/>
      <c r="AD78" s="263"/>
      <c r="AE78" s="261"/>
      <c r="AF78" s="365"/>
      <c r="AG78" s="366"/>
      <c r="AH78" s="366"/>
      <c r="AI78" s="366"/>
      <c r="AJ78" s="367"/>
      <c r="AK78" s="366"/>
      <c r="AL78" s="368"/>
      <c r="AM78" s="366"/>
      <c r="AN78" s="366"/>
      <c r="AO78" s="369"/>
      <c r="AP78" s="366"/>
      <c r="AQ78" s="366"/>
      <c r="AR78" s="369"/>
      <c r="AS78" s="369"/>
      <c r="AT78" s="366"/>
      <c r="AU78" s="366"/>
      <c r="AV78" s="369"/>
      <c r="AW78" s="366"/>
      <c r="AX78" s="366"/>
      <c r="AY78" s="366"/>
      <c r="AZ78" s="366"/>
      <c r="BA78" s="366"/>
    </row>
    <row r="79" spans="1:53" s="371" customFormat="1" x14ac:dyDescent="0.25">
      <c r="A79" s="1013"/>
      <c r="B79" s="309" t="s">
        <v>1178</v>
      </c>
      <c r="C79" s="310">
        <f>C69</f>
        <v>40.401251342681022</v>
      </c>
      <c r="D79" s="336"/>
      <c r="E79" s="300" t="s">
        <v>1439</v>
      </c>
      <c r="F79" s="301" t="s">
        <v>1</v>
      </c>
      <c r="G79" s="302">
        <v>5</v>
      </c>
      <c r="H79" s="301">
        <v>0.01</v>
      </c>
      <c r="I79" s="303">
        <f>G79*H79</f>
        <v>0.05</v>
      </c>
      <c r="J79" s="290" t="s">
        <v>1445</v>
      </c>
      <c r="K79" s="292">
        <v>2</v>
      </c>
      <c r="L79" s="311">
        <v>95</v>
      </c>
      <c r="M79" s="304">
        <v>2</v>
      </c>
      <c r="N79" s="433">
        <f>L79/'Исп. коэффициенты'!E52*C83</f>
        <v>8.9540699942856072E-3</v>
      </c>
      <c r="O79" s="291" t="s">
        <v>1668</v>
      </c>
      <c r="P79" s="291">
        <v>6750</v>
      </c>
      <c r="Q79" s="291">
        <v>19.670000000000002</v>
      </c>
      <c r="R79" s="291">
        <v>1327.73</v>
      </c>
      <c r="S79" s="295">
        <f>R79/'Исп. коэффициенты'!E52*C83</f>
        <v>0.12514302477381925</v>
      </c>
      <c r="T79" s="291"/>
      <c r="U79" s="291"/>
      <c r="V79" s="291"/>
      <c r="W79" s="291"/>
      <c r="X79" s="291"/>
      <c r="Y79" s="291"/>
      <c r="Z79" s="291"/>
      <c r="AA79" s="284"/>
      <c r="AB79" s="284"/>
      <c r="AC79" s="284"/>
      <c r="AD79" s="263"/>
      <c r="AE79" s="261"/>
      <c r="AF79" s="365"/>
      <c r="AG79" s="366"/>
      <c r="AH79" s="366"/>
      <c r="AI79" s="366"/>
      <c r="AJ79" s="367"/>
      <c r="AK79" s="366"/>
      <c r="AL79" s="368"/>
      <c r="AM79" s="373"/>
      <c r="AN79" s="366"/>
      <c r="AO79" s="369"/>
      <c r="AP79" s="366"/>
      <c r="AQ79" s="366"/>
      <c r="AR79" s="369"/>
      <c r="AS79" s="369"/>
      <c r="AT79" s="366"/>
      <c r="AU79" s="366"/>
      <c r="AV79" s="369"/>
      <c r="AW79" s="366"/>
      <c r="AX79" s="366"/>
      <c r="AY79" s="366"/>
      <c r="AZ79" s="366"/>
      <c r="BA79" s="366"/>
    </row>
    <row r="80" spans="1:53" s="371" customFormat="1" ht="12.75" customHeight="1" x14ac:dyDescent="0.25">
      <c r="A80" s="1013"/>
      <c r="B80" s="286" t="s">
        <v>1179</v>
      </c>
      <c r="C80" s="277">
        <f>C70</f>
        <v>25.456644376651425</v>
      </c>
      <c r="D80" s="336"/>
      <c r="E80" s="300" t="s">
        <v>1440</v>
      </c>
      <c r="F80" s="301" t="s">
        <v>1441</v>
      </c>
      <c r="G80" s="302">
        <v>5.36</v>
      </c>
      <c r="H80" s="312">
        <v>1</v>
      </c>
      <c r="I80" s="303">
        <f>G80*H80</f>
        <v>5.36</v>
      </c>
      <c r="J80" s="290" t="s">
        <v>1513</v>
      </c>
      <c r="K80" s="292">
        <v>2</v>
      </c>
      <c r="L80" s="292">
        <v>25</v>
      </c>
      <c r="M80" s="304">
        <v>0.5</v>
      </c>
      <c r="N80" s="433">
        <f>L80/'Исп. коэффициенты'!E52*C83</f>
        <v>2.3563342090225283E-3</v>
      </c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84"/>
      <c r="AB80" s="284"/>
      <c r="AC80" s="284"/>
      <c r="AD80" s="263"/>
      <c r="AE80" s="261"/>
      <c r="AF80" s="365"/>
      <c r="AG80" s="366"/>
      <c r="AH80" s="366"/>
      <c r="AI80" s="366"/>
      <c r="AJ80" s="367"/>
      <c r="AK80" s="366"/>
      <c r="AL80" s="368"/>
      <c r="AM80" s="366"/>
      <c r="AN80" s="366"/>
      <c r="AO80" s="369"/>
      <c r="AP80" s="366"/>
      <c r="AQ80" s="366"/>
      <c r="AR80" s="369"/>
      <c r="AS80" s="369"/>
      <c r="AT80" s="366"/>
      <c r="AU80" s="366"/>
      <c r="AV80" s="369"/>
      <c r="AW80" s="366"/>
      <c r="AX80" s="366"/>
      <c r="AY80" s="366"/>
      <c r="AZ80" s="366"/>
      <c r="BA80" s="366"/>
    </row>
    <row r="81" spans="1:53" s="371" customFormat="1" ht="12.75" customHeight="1" x14ac:dyDescent="0.25">
      <c r="A81" s="1013"/>
      <c r="B81" s="286" t="s">
        <v>831</v>
      </c>
      <c r="C81" s="313"/>
      <c r="D81" s="336"/>
      <c r="E81" s="300" t="s">
        <v>1442</v>
      </c>
      <c r="F81" s="301" t="s">
        <v>1</v>
      </c>
      <c r="G81" s="302">
        <v>0.47</v>
      </c>
      <c r="H81" s="301">
        <v>10</v>
      </c>
      <c r="I81" s="303">
        <f>G81*H81</f>
        <v>4.6999999999999993</v>
      </c>
      <c r="J81" s="290"/>
      <c r="K81" s="292"/>
      <c r="L81" s="292"/>
      <c r="M81" s="292"/>
      <c r="N81" s="292"/>
      <c r="O81" s="290"/>
      <c r="P81" s="292"/>
      <c r="Q81" s="292"/>
      <c r="R81" s="292"/>
      <c r="S81" s="292"/>
      <c r="T81" s="291"/>
      <c r="U81" s="291"/>
      <c r="V81" s="291"/>
      <c r="W81" s="291"/>
      <c r="X81" s="291"/>
      <c r="Y81" s="291"/>
      <c r="Z81" s="291"/>
      <c r="AA81" s="284"/>
      <c r="AB81" s="284"/>
      <c r="AC81" s="284"/>
      <c r="AD81" s="263"/>
      <c r="AE81" s="261"/>
      <c r="AF81" s="365"/>
      <c r="AG81" s="366"/>
      <c r="AH81" s="366"/>
      <c r="AI81" s="366"/>
      <c r="AJ81" s="367"/>
      <c r="AK81" s="366"/>
      <c r="AL81" s="368"/>
      <c r="AM81" s="366"/>
      <c r="AN81" s="366"/>
      <c r="AO81" s="369"/>
      <c r="AP81" s="366"/>
      <c r="AQ81" s="366"/>
      <c r="AR81" s="369"/>
      <c r="AS81" s="369"/>
      <c r="AT81" s="366"/>
      <c r="AU81" s="366"/>
      <c r="AV81" s="369"/>
      <c r="AW81" s="366"/>
      <c r="AX81" s="366"/>
      <c r="AY81" s="366"/>
      <c r="AZ81" s="366"/>
      <c r="BA81" s="366"/>
    </row>
    <row r="82" spans="1:53" s="371" customFormat="1" ht="12.75" customHeight="1" x14ac:dyDescent="0.25">
      <c r="A82" s="1013"/>
      <c r="B82" s="309" t="s">
        <v>1178</v>
      </c>
      <c r="C82" s="314">
        <v>0</v>
      </c>
      <c r="D82" s="336"/>
      <c r="E82" s="300"/>
      <c r="F82" s="301"/>
      <c r="G82" s="302"/>
      <c r="H82" s="301"/>
      <c r="I82" s="303"/>
      <c r="J82" s="290"/>
      <c r="K82" s="292"/>
      <c r="L82" s="292"/>
      <c r="M82" s="292"/>
      <c r="N82" s="292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84"/>
      <c r="AB82" s="284"/>
      <c r="AC82" s="284"/>
      <c r="AD82" s="263"/>
      <c r="AE82" s="261"/>
      <c r="AF82" s="365"/>
      <c r="AG82" s="366"/>
      <c r="AH82" s="366"/>
      <c r="AI82" s="366"/>
      <c r="AJ82" s="375"/>
      <c r="AK82" s="366"/>
      <c r="AL82" s="368"/>
      <c r="AM82" s="366"/>
      <c r="AN82" s="366"/>
      <c r="AO82" s="369"/>
      <c r="AP82" s="366"/>
      <c r="AQ82" s="366"/>
      <c r="AR82" s="369"/>
      <c r="AS82" s="369"/>
      <c r="AT82" s="366"/>
      <c r="AU82" s="366"/>
      <c r="AV82" s="369"/>
      <c r="AW82" s="366"/>
      <c r="AX82" s="366"/>
      <c r="AY82" s="366"/>
      <c r="AZ82" s="366"/>
      <c r="BA82" s="366"/>
    </row>
    <row r="83" spans="1:53" s="371" customFormat="1" ht="15.75" customHeight="1" x14ac:dyDescent="0.25">
      <c r="A83" s="1013"/>
      <c r="B83" s="286" t="s">
        <v>1179</v>
      </c>
      <c r="C83" s="314">
        <v>1</v>
      </c>
      <c r="D83" s="336"/>
      <c r="E83" s="300"/>
      <c r="F83" s="376"/>
      <c r="G83" s="302"/>
      <c r="H83" s="301"/>
      <c r="I83" s="303"/>
      <c r="J83" s="290"/>
      <c r="K83" s="292"/>
      <c r="L83" s="292"/>
      <c r="M83" s="292"/>
      <c r="N83" s="292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84"/>
      <c r="AB83" s="284"/>
      <c r="AC83" s="284"/>
      <c r="AD83" s="263"/>
      <c r="AE83" s="261"/>
      <c r="AF83" s="365"/>
      <c r="AG83" s="366"/>
      <c r="AH83" s="366"/>
      <c r="AI83" s="366"/>
      <c r="AJ83" s="375"/>
      <c r="AK83" s="366"/>
      <c r="AL83" s="368"/>
      <c r="AM83" s="366"/>
      <c r="AN83" s="366"/>
      <c r="AO83" s="369"/>
      <c r="AP83" s="366"/>
      <c r="AQ83" s="366"/>
      <c r="AR83" s="369"/>
      <c r="AS83" s="369"/>
      <c r="AT83" s="366"/>
      <c r="AU83" s="366"/>
      <c r="AV83" s="369"/>
      <c r="AW83" s="366"/>
      <c r="AX83" s="366"/>
      <c r="AY83" s="366"/>
      <c r="AZ83" s="366"/>
      <c r="BA83" s="366"/>
    </row>
    <row r="84" spans="1:53" s="371" customFormat="1" ht="20.25" customHeight="1" x14ac:dyDescent="0.25">
      <c r="A84" s="1013"/>
      <c r="B84" s="315" t="s">
        <v>1181</v>
      </c>
      <c r="C84" s="277">
        <f>C79*C82+C80*C83</f>
        <v>25.456644376651425</v>
      </c>
      <c r="D84" s="336"/>
      <c r="E84" s="300"/>
      <c r="F84" s="376"/>
      <c r="G84" s="302"/>
      <c r="H84" s="301"/>
      <c r="I84" s="303"/>
      <c r="J84" s="290"/>
      <c r="K84" s="374"/>
      <c r="L84" s="311"/>
      <c r="M84" s="304"/>
      <c r="N84" s="292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84"/>
      <c r="AB84" s="284"/>
      <c r="AC84" s="284"/>
      <c r="AD84" s="263"/>
      <c r="AE84" s="261"/>
      <c r="AF84" s="365"/>
      <c r="AG84" s="366"/>
      <c r="AH84" s="366"/>
      <c r="AI84" s="366"/>
      <c r="AJ84" s="367"/>
      <c r="AK84" s="366"/>
      <c r="AL84" s="368"/>
      <c r="AM84" s="366"/>
      <c r="AN84" s="366"/>
      <c r="AO84" s="369"/>
      <c r="AP84" s="366"/>
      <c r="AQ84" s="366"/>
      <c r="AR84" s="369"/>
      <c r="AS84" s="369"/>
      <c r="AT84" s="366"/>
      <c r="AU84" s="366"/>
      <c r="AV84" s="369"/>
      <c r="AW84" s="366"/>
      <c r="AX84" s="366"/>
      <c r="AY84" s="366"/>
      <c r="AZ84" s="366"/>
      <c r="BA84" s="366"/>
    </row>
    <row r="85" spans="1:53" s="371" customFormat="1" ht="13.5" customHeight="1" x14ac:dyDescent="0.25">
      <c r="A85" s="1014"/>
      <c r="B85" s="318"/>
      <c r="C85" s="314"/>
      <c r="D85" s="337"/>
      <c r="E85" s="300"/>
      <c r="F85" s="376"/>
      <c r="G85" s="302"/>
      <c r="H85" s="301"/>
      <c r="I85" s="303"/>
      <c r="J85" s="290"/>
      <c r="K85" s="374"/>
      <c r="L85" s="292"/>
      <c r="M85" s="292"/>
      <c r="N85" s="292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84"/>
      <c r="AB85" s="284"/>
      <c r="AC85" s="284"/>
      <c r="AD85" s="263"/>
      <c r="AE85" s="261"/>
      <c r="AF85" s="365"/>
      <c r="AG85" s="366"/>
      <c r="AH85" s="366"/>
      <c r="AI85" s="366"/>
      <c r="AJ85" s="375"/>
      <c r="AK85" s="366"/>
      <c r="AL85" s="368"/>
      <c r="AM85" s="366"/>
      <c r="AN85" s="366"/>
      <c r="AO85" s="369"/>
      <c r="AP85" s="366"/>
      <c r="AQ85" s="366"/>
      <c r="AR85" s="369"/>
      <c r="AS85" s="369"/>
      <c r="AT85" s="366"/>
      <c r="AU85" s="366"/>
      <c r="AV85" s="369"/>
      <c r="AW85" s="366"/>
      <c r="AX85" s="366"/>
      <c r="AY85" s="366"/>
      <c r="AZ85" s="366"/>
      <c r="BA85" s="366"/>
    </row>
    <row r="86" spans="1:53" s="261" customFormat="1" ht="56.25" customHeight="1" x14ac:dyDescent="0.25">
      <c r="A86" s="1012" t="s">
        <v>768</v>
      </c>
      <c r="B86" s="438" t="s">
        <v>950</v>
      </c>
      <c r="C86" s="277"/>
      <c r="D86" s="335"/>
      <c r="E86" s="278" t="s">
        <v>488</v>
      </c>
      <c r="F86" s="279" t="s">
        <v>837</v>
      </c>
      <c r="G86" s="277" t="s">
        <v>489</v>
      </c>
      <c r="H86" s="278" t="s">
        <v>1170</v>
      </c>
      <c r="I86" s="279" t="s">
        <v>838</v>
      </c>
      <c r="J86" s="280" t="s">
        <v>1171</v>
      </c>
      <c r="K86" s="280" t="s">
        <v>490</v>
      </c>
      <c r="L86" s="281" t="s">
        <v>489</v>
      </c>
      <c r="M86" s="280" t="s">
        <v>1172</v>
      </c>
      <c r="N86" s="354" t="s">
        <v>838</v>
      </c>
      <c r="O86" s="280" t="s">
        <v>1171</v>
      </c>
      <c r="P86" s="280" t="s">
        <v>826</v>
      </c>
      <c r="Q86" s="280" t="s">
        <v>1173</v>
      </c>
      <c r="R86" s="280" t="s">
        <v>1174</v>
      </c>
      <c r="S86" s="280" t="s">
        <v>839</v>
      </c>
      <c r="T86" s="280" t="s">
        <v>1171</v>
      </c>
      <c r="U86" s="280" t="s">
        <v>1392</v>
      </c>
      <c r="V86" s="280" t="s">
        <v>841</v>
      </c>
      <c r="W86" s="282" t="s">
        <v>1173</v>
      </c>
      <c r="X86" s="280" t="s">
        <v>1394</v>
      </c>
      <c r="Y86" s="280" t="s">
        <v>839</v>
      </c>
      <c r="Z86" s="283"/>
      <c r="AA86" s="284"/>
      <c r="AB86" s="284"/>
      <c r="AC86" s="284"/>
      <c r="AD86" s="263"/>
      <c r="AF86" s="262"/>
      <c r="AG86" s="263"/>
      <c r="AH86" s="263"/>
      <c r="AI86" s="263"/>
      <c r="AJ86" s="263"/>
      <c r="AK86" s="263"/>
      <c r="AL86" s="264"/>
      <c r="AM86" s="263"/>
      <c r="AN86" s="263"/>
      <c r="AO86" s="265"/>
      <c r="AP86" s="263"/>
      <c r="AQ86" s="355"/>
      <c r="AR86" s="355"/>
      <c r="AS86" s="355"/>
      <c r="AT86" s="263"/>
      <c r="AU86" s="263"/>
      <c r="AV86" s="265"/>
      <c r="AW86" s="263"/>
      <c r="AX86" s="263"/>
      <c r="AY86" s="263"/>
      <c r="AZ86" s="263"/>
      <c r="BA86" s="263"/>
    </row>
    <row r="87" spans="1:53" s="270" customFormat="1" ht="12" customHeight="1" x14ac:dyDescent="0.25">
      <c r="A87" s="1013"/>
      <c r="B87" s="285" t="s">
        <v>1175</v>
      </c>
      <c r="C87" s="277">
        <f>C94</f>
        <v>32.928947859666224</v>
      </c>
      <c r="D87" s="335">
        <f>C87*$D$5</f>
        <v>6.6516474676525776</v>
      </c>
      <c r="E87" s="286" t="s">
        <v>1176</v>
      </c>
      <c r="F87" s="356"/>
      <c r="G87" s="288"/>
      <c r="H87" s="288"/>
      <c r="I87" s="289">
        <f>SUM(I88:I95)</f>
        <v>13.11</v>
      </c>
      <c r="J87" s="290" t="s">
        <v>1176</v>
      </c>
      <c r="K87" s="357"/>
      <c r="L87" s="291"/>
      <c r="M87" s="291"/>
      <c r="N87" s="433">
        <f>SUM(N88:N95)</f>
        <v>4.1000215236991988E-2</v>
      </c>
      <c r="O87" s="291"/>
      <c r="P87" s="291"/>
      <c r="Q87" s="291"/>
      <c r="R87" s="291"/>
      <c r="S87" s="295">
        <f>S88+S89</f>
        <v>0.10950883636910641</v>
      </c>
      <c r="T87" s="292"/>
      <c r="U87" s="292"/>
      <c r="V87" s="292"/>
      <c r="W87" s="292"/>
      <c r="X87" s="292"/>
      <c r="Y87" s="433">
        <f>SUM(Y88:Y95)</f>
        <v>4.3489191438431192</v>
      </c>
      <c r="Z87" s="296">
        <f>(C87+D87+I87+N87+S87+Y87)*$Z$5</f>
        <v>74.357764734946969</v>
      </c>
      <c r="AA87" s="297">
        <f>C87+D87+I87+N87+S87+Y87+Z87</f>
        <v>131.54778825771498</v>
      </c>
      <c r="AB87" s="298">
        <v>0.25</v>
      </c>
      <c r="AC87" s="358">
        <f>AA87*(1+AB87)</f>
        <v>164.43473532214372</v>
      </c>
      <c r="AD87" s="265"/>
      <c r="AE87" s="261"/>
      <c r="AF87" s="262"/>
      <c r="AG87" s="263"/>
      <c r="AH87" s="263"/>
      <c r="AI87" s="355"/>
      <c r="AJ87" s="359"/>
      <c r="AK87" s="360"/>
      <c r="AL87" s="264"/>
      <c r="AM87" s="361"/>
      <c r="AN87" s="143"/>
      <c r="AO87" s="362"/>
      <c r="AP87" s="363"/>
      <c r="AQ87" s="363"/>
      <c r="AR87" s="363"/>
      <c r="AS87" s="363"/>
      <c r="AT87" s="363"/>
      <c r="AU87" s="362"/>
      <c r="AV87" s="362"/>
      <c r="AW87" s="364"/>
      <c r="AX87" s="272"/>
      <c r="AY87" s="272"/>
      <c r="AZ87" s="272"/>
      <c r="BA87" s="272"/>
    </row>
    <row r="88" spans="1:53" s="371" customFormat="1" ht="12.75" customHeight="1" x14ac:dyDescent="0.25">
      <c r="A88" s="1013"/>
      <c r="B88" s="299" t="s">
        <v>830</v>
      </c>
      <c r="C88" s="277"/>
      <c r="D88" s="336"/>
      <c r="E88" s="300" t="s">
        <v>1437</v>
      </c>
      <c r="F88" s="301" t="s">
        <v>1438</v>
      </c>
      <c r="G88" s="302">
        <v>0.3</v>
      </c>
      <c r="H88" s="301">
        <v>10</v>
      </c>
      <c r="I88" s="303">
        <f>G88*H88</f>
        <v>3</v>
      </c>
      <c r="J88" s="290" t="s">
        <v>1291</v>
      </c>
      <c r="K88" s="304">
        <v>2</v>
      </c>
      <c r="L88" s="305">
        <v>750</v>
      </c>
      <c r="M88" s="304">
        <v>2</v>
      </c>
      <c r="N88" s="433">
        <f>L88/'Исп. коэффициенты'!E52*C92</f>
        <v>3.5345013135337923E-2</v>
      </c>
      <c r="O88" s="291" t="s">
        <v>1667</v>
      </c>
      <c r="P88" s="291">
        <v>4500</v>
      </c>
      <c r="Q88" s="291">
        <v>19.670000000000002</v>
      </c>
      <c r="R88" s="291">
        <v>885.15</v>
      </c>
      <c r="S88" s="295">
        <f>R88/'Исп. коэффициенты'!E52*C92</f>
        <v>4.1714184502325814E-2</v>
      </c>
      <c r="T88" s="306" t="s">
        <v>1435</v>
      </c>
      <c r="U88" s="307">
        <v>6785401.3499999996</v>
      </c>
      <c r="V88" s="308">
        <v>1.3599999999999999E-2</v>
      </c>
      <c r="W88" s="306">
        <f>'Исп. коэффициенты'!E124</f>
        <v>2978.5</v>
      </c>
      <c r="X88" s="292">
        <f>U88*V88</f>
        <v>92281.45835999999</v>
      </c>
      <c r="Y88" s="295">
        <f>X88/'Исп. коэффициенты'!E52*C92</f>
        <v>4.3489191438431192</v>
      </c>
      <c r="Z88" s="291"/>
      <c r="AA88" s="284"/>
      <c r="AB88" s="284"/>
      <c r="AC88" s="284"/>
      <c r="AD88" s="263"/>
      <c r="AE88" s="261"/>
      <c r="AF88" s="365"/>
      <c r="AG88" s="366"/>
      <c r="AH88" s="366"/>
      <c r="AI88" s="366"/>
      <c r="AJ88" s="367"/>
      <c r="AK88" s="366"/>
      <c r="AL88" s="368"/>
      <c r="AM88" s="366"/>
      <c r="AN88" s="366"/>
      <c r="AO88" s="369"/>
      <c r="AP88" s="366"/>
      <c r="AQ88" s="366"/>
      <c r="AR88" s="369"/>
      <c r="AS88" s="369"/>
      <c r="AT88" s="366"/>
      <c r="AU88" s="366"/>
      <c r="AV88" s="369"/>
      <c r="AW88" s="366"/>
      <c r="AX88" s="366"/>
      <c r="AY88" s="366"/>
      <c r="AZ88" s="366"/>
      <c r="BA88" s="366"/>
    </row>
    <row r="89" spans="1:53" s="371" customFormat="1" x14ac:dyDescent="0.25">
      <c r="A89" s="1013"/>
      <c r="B89" s="309" t="s">
        <v>1178</v>
      </c>
      <c r="C89" s="310">
        <f>C79</f>
        <v>40.401251342681022</v>
      </c>
      <c r="D89" s="336"/>
      <c r="E89" s="300" t="s">
        <v>1439</v>
      </c>
      <c r="F89" s="301" t="s">
        <v>1</v>
      </c>
      <c r="G89" s="302">
        <v>5</v>
      </c>
      <c r="H89" s="301">
        <v>0.01</v>
      </c>
      <c r="I89" s="303">
        <f>G89*H89</f>
        <v>0.05</v>
      </c>
      <c r="J89" s="290" t="s">
        <v>1445</v>
      </c>
      <c r="K89" s="292">
        <v>2</v>
      </c>
      <c r="L89" s="311">
        <v>95</v>
      </c>
      <c r="M89" s="304">
        <v>2</v>
      </c>
      <c r="N89" s="433">
        <f>L89/'Исп. коэффициенты'!E52*C92</f>
        <v>4.4770349971428036E-3</v>
      </c>
      <c r="O89" s="291" t="s">
        <v>1668</v>
      </c>
      <c r="P89" s="291">
        <v>6750</v>
      </c>
      <c r="Q89" s="291">
        <v>19.670000000000002</v>
      </c>
      <c r="R89" s="291">
        <v>1327.73</v>
      </c>
      <c r="S89" s="295">
        <f>R89/'Исп. коэффициенты'!E53*C93</f>
        <v>6.7794651866780603E-2</v>
      </c>
      <c r="T89" s="291"/>
      <c r="U89" s="291"/>
      <c r="V89" s="291"/>
      <c r="W89" s="291"/>
      <c r="X89" s="291"/>
      <c r="Y89" s="291"/>
      <c r="Z89" s="291"/>
      <c r="AA89" s="284"/>
      <c r="AB89" s="284"/>
      <c r="AC89" s="284"/>
      <c r="AD89" s="263"/>
      <c r="AE89" s="261"/>
      <c r="AF89" s="365"/>
      <c r="AG89" s="366"/>
      <c r="AH89" s="366"/>
      <c r="AI89" s="366"/>
      <c r="AJ89" s="367"/>
      <c r="AK89" s="366"/>
      <c r="AL89" s="368"/>
      <c r="AM89" s="373"/>
      <c r="AN89" s="366"/>
      <c r="AO89" s="369"/>
      <c r="AP89" s="366"/>
      <c r="AQ89" s="366"/>
      <c r="AR89" s="369"/>
      <c r="AS89" s="369"/>
      <c r="AT89" s="366"/>
      <c r="AU89" s="366"/>
      <c r="AV89" s="369"/>
      <c r="AW89" s="366"/>
      <c r="AX89" s="366"/>
      <c r="AY89" s="366"/>
      <c r="AZ89" s="366"/>
      <c r="BA89" s="366"/>
    </row>
    <row r="90" spans="1:53" s="371" customFormat="1" ht="12.75" customHeight="1" x14ac:dyDescent="0.25">
      <c r="A90" s="1013"/>
      <c r="B90" s="286" t="s">
        <v>1179</v>
      </c>
      <c r="C90" s="277">
        <f>C80</f>
        <v>25.456644376651425</v>
      </c>
      <c r="D90" s="336"/>
      <c r="E90" s="300" t="s">
        <v>1440</v>
      </c>
      <c r="F90" s="301" t="s">
        <v>1441</v>
      </c>
      <c r="G90" s="302">
        <v>5.36</v>
      </c>
      <c r="H90" s="312">
        <v>1</v>
      </c>
      <c r="I90" s="303">
        <f>G90*H90</f>
        <v>5.36</v>
      </c>
      <c r="J90" s="290" t="s">
        <v>1513</v>
      </c>
      <c r="K90" s="292">
        <v>2</v>
      </c>
      <c r="L90" s="292">
        <v>25</v>
      </c>
      <c r="M90" s="304">
        <v>0.5</v>
      </c>
      <c r="N90" s="433">
        <f>L90/'Исп. коэффициенты'!E52*C92</f>
        <v>1.1781671045112642E-3</v>
      </c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84"/>
      <c r="AB90" s="284"/>
      <c r="AC90" s="284"/>
      <c r="AD90" s="263"/>
      <c r="AE90" s="261"/>
      <c r="AF90" s="365"/>
      <c r="AG90" s="366"/>
      <c r="AH90" s="366"/>
      <c r="AI90" s="366"/>
      <c r="AJ90" s="367"/>
      <c r="AK90" s="366"/>
      <c r="AL90" s="368"/>
      <c r="AM90" s="366"/>
      <c r="AN90" s="366"/>
      <c r="AO90" s="369"/>
      <c r="AP90" s="366"/>
      <c r="AQ90" s="366"/>
      <c r="AR90" s="369"/>
      <c r="AS90" s="369"/>
      <c r="AT90" s="366"/>
      <c r="AU90" s="366"/>
      <c r="AV90" s="369"/>
      <c r="AW90" s="366"/>
      <c r="AX90" s="366"/>
      <c r="AY90" s="366"/>
      <c r="AZ90" s="366"/>
      <c r="BA90" s="366"/>
    </row>
    <row r="91" spans="1:53" s="371" customFormat="1" ht="12.75" customHeight="1" x14ac:dyDescent="0.25">
      <c r="A91" s="1013"/>
      <c r="B91" s="286" t="s">
        <v>831</v>
      </c>
      <c r="C91" s="313"/>
      <c r="D91" s="336"/>
      <c r="E91" s="300" t="s">
        <v>1442</v>
      </c>
      <c r="F91" s="301" t="s">
        <v>1</v>
      </c>
      <c r="G91" s="302">
        <v>0.47</v>
      </c>
      <c r="H91" s="301">
        <v>10</v>
      </c>
      <c r="I91" s="303">
        <f>G91*H91</f>
        <v>4.6999999999999993</v>
      </c>
      <c r="J91" s="290"/>
      <c r="K91" s="292"/>
      <c r="L91" s="292"/>
      <c r="M91" s="292"/>
      <c r="N91" s="292"/>
      <c r="O91" s="290"/>
      <c r="P91" s="292"/>
      <c r="Q91" s="292"/>
      <c r="R91" s="292"/>
      <c r="S91" s="292"/>
      <c r="T91" s="291"/>
      <c r="U91" s="291"/>
      <c r="V91" s="291"/>
      <c r="W91" s="291"/>
      <c r="X91" s="291"/>
      <c r="Y91" s="291"/>
      <c r="Z91" s="291"/>
      <c r="AA91" s="284"/>
      <c r="AB91" s="284"/>
      <c r="AC91" s="284"/>
      <c r="AD91" s="263"/>
      <c r="AE91" s="261"/>
      <c r="AF91" s="365"/>
      <c r="AG91" s="366"/>
      <c r="AH91" s="366"/>
      <c r="AI91" s="366"/>
      <c r="AJ91" s="367"/>
      <c r="AK91" s="366"/>
      <c r="AL91" s="368"/>
      <c r="AM91" s="366"/>
      <c r="AN91" s="366"/>
      <c r="AO91" s="369"/>
      <c r="AP91" s="366"/>
      <c r="AQ91" s="366"/>
      <c r="AR91" s="369"/>
      <c r="AS91" s="369"/>
      <c r="AT91" s="366"/>
      <c r="AU91" s="366"/>
      <c r="AV91" s="369"/>
      <c r="AW91" s="366"/>
      <c r="AX91" s="366"/>
      <c r="AY91" s="366"/>
      <c r="AZ91" s="366"/>
      <c r="BA91" s="366"/>
    </row>
    <row r="92" spans="1:53" s="371" customFormat="1" ht="12.75" customHeight="1" x14ac:dyDescent="0.25">
      <c r="A92" s="1013"/>
      <c r="B92" s="309" t="s">
        <v>1178</v>
      </c>
      <c r="C92" s="314">
        <v>0.5</v>
      </c>
      <c r="D92" s="336"/>
      <c r="E92" s="300"/>
      <c r="F92" s="301"/>
      <c r="G92" s="302"/>
      <c r="H92" s="301"/>
      <c r="I92" s="303"/>
      <c r="J92" s="290"/>
      <c r="K92" s="292"/>
      <c r="L92" s="292"/>
      <c r="M92" s="292"/>
      <c r="N92" s="292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84"/>
      <c r="AB92" s="284"/>
      <c r="AC92" s="284"/>
      <c r="AD92" s="263"/>
      <c r="AE92" s="261"/>
      <c r="AF92" s="365"/>
      <c r="AG92" s="366"/>
      <c r="AH92" s="366"/>
      <c r="AI92" s="366"/>
      <c r="AJ92" s="375"/>
      <c r="AK92" s="366"/>
      <c r="AL92" s="368"/>
      <c r="AM92" s="366"/>
      <c r="AN92" s="366"/>
      <c r="AO92" s="369"/>
      <c r="AP92" s="366"/>
      <c r="AQ92" s="366"/>
      <c r="AR92" s="369"/>
      <c r="AS92" s="369"/>
      <c r="AT92" s="366"/>
      <c r="AU92" s="366"/>
      <c r="AV92" s="369"/>
      <c r="AW92" s="366"/>
      <c r="AX92" s="366"/>
      <c r="AY92" s="366"/>
      <c r="AZ92" s="366"/>
      <c r="BA92" s="366"/>
    </row>
    <row r="93" spans="1:53" s="371" customFormat="1" ht="15.75" customHeight="1" x14ac:dyDescent="0.25">
      <c r="A93" s="1013"/>
      <c r="B93" s="286" t="s">
        <v>1179</v>
      </c>
      <c r="C93" s="314">
        <v>0.5</v>
      </c>
      <c r="D93" s="336"/>
      <c r="E93" s="300"/>
      <c r="F93" s="376"/>
      <c r="G93" s="302"/>
      <c r="H93" s="301"/>
      <c r="I93" s="303"/>
      <c r="J93" s="290"/>
      <c r="K93" s="292"/>
      <c r="L93" s="292"/>
      <c r="M93" s="292"/>
      <c r="N93" s="292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84"/>
      <c r="AB93" s="284"/>
      <c r="AC93" s="284"/>
      <c r="AD93" s="263"/>
      <c r="AE93" s="261"/>
      <c r="AF93" s="365"/>
      <c r="AG93" s="366"/>
      <c r="AH93" s="366"/>
      <c r="AI93" s="366"/>
      <c r="AJ93" s="375"/>
      <c r="AK93" s="366"/>
      <c r="AL93" s="368"/>
      <c r="AM93" s="366"/>
      <c r="AN93" s="366"/>
      <c r="AO93" s="369"/>
      <c r="AP93" s="366"/>
      <c r="AQ93" s="366"/>
      <c r="AR93" s="369"/>
      <c r="AS93" s="369"/>
      <c r="AT93" s="366"/>
      <c r="AU93" s="366"/>
      <c r="AV93" s="369"/>
      <c r="AW93" s="366"/>
      <c r="AX93" s="366"/>
      <c r="AY93" s="366"/>
      <c r="AZ93" s="366"/>
      <c r="BA93" s="366"/>
    </row>
    <row r="94" spans="1:53" s="371" customFormat="1" ht="20.25" customHeight="1" x14ac:dyDescent="0.25">
      <c r="A94" s="1013"/>
      <c r="B94" s="315" t="s">
        <v>1181</v>
      </c>
      <c r="C94" s="277">
        <f>C89*C92+C90*C93</f>
        <v>32.928947859666224</v>
      </c>
      <c r="D94" s="336"/>
      <c r="E94" s="300"/>
      <c r="F94" s="376"/>
      <c r="G94" s="302"/>
      <c r="H94" s="301"/>
      <c r="I94" s="303"/>
      <c r="J94" s="290"/>
      <c r="K94" s="374"/>
      <c r="L94" s="311"/>
      <c r="M94" s="304"/>
      <c r="N94" s="292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84"/>
      <c r="AB94" s="284"/>
      <c r="AC94" s="284"/>
      <c r="AD94" s="263"/>
      <c r="AE94" s="261"/>
      <c r="AF94" s="365"/>
      <c r="AG94" s="366"/>
      <c r="AH94" s="366"/>
      <c r="AI94" s="366"/>
      <c r="AJ94" s="367"/>
      <c r="AK94" s="366"/>
      <c r="AL94" s="368"/>
      <c r="AM94" s="366"/>
      <c r="AN94" s="366"/>
      <c r="AO94" s="369"/>
      <c r="AP94" s="366"/>
      <c r="AQ94" s="366"/>
      <c r="AR94" s="369"/>
      <c r="AS94" s="369"/>
      <c r="AT94" s="366"/>
      <c r="AU94" s="366"/>
      <c r="AV94" s="369"/>
      <c r="AW94" s="366"/>
      <c r="AX94" s="366"/>
      <c r="AY94" s="366"/>
      <c r="AZ94" s="366"/>
      <c r="BA94" s="366"/>
    </row>
    <row r="95" spans="1:53" s="371" customFormat="1" ht="13.5" customHeight="1" x14ac:dyDescent="0.25">
      <c r="A95" s="1014"/>
      <c r="B95" s="318"/>
      <c r="C95" s="314"/>
      <c r="D95" s="337"/>
      <c r="E95" s="300"/>
      <c r="F95" s="376"/>
      <c r="G95" s="302"/>
      <c r="H95" s="301"/>
      <c r="I95" s="303"/>
      <c r="J95" s="290"/>
      <c r="K95" s="374"/>
      <c r="L95" s="292"/>
      <c r="M95" s="292"/>
      <c r="N95" s="292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84"/>
      <c r="AB95" s="284"/>
      <c r="AC95" s="284"/>
      <c r="AD95" s="263"/>
      <c r="AE95" s="261"/>
      <c r="AF95" s="365"/>
      <c r="AG95" s="366"/>
      <c r="AH95" s="366"/>
      <c r="AI95" s="366"/>
      <c r="AJ95" s="375"/>
      <c r="AK95" s="366"/>
      <c r="AL95" s="368"/>
      <c r="AM95" s="366"/>
      <c r="AN95" s="366"/>
      <c r="AO95" s="369"/>
      <c r="AP95" s="366"/>
      <c r="AQ95" s="366"/>
      <c r="AR95" s="369"/>
      <c r="AS95" s="369"/>
      <c r="AT95" s="366"/>
      <c r="AU95" s="366"/>
      <c r="AV95" s="369"/>
      <c r="AW95" s="366"/>
      <c r="AX95" s="366"/>
      <c r="AY95" s="366"/>
      <c r="AZ95" s="366"/>
      <c r="BA95" s="366"/>
    </row>
    <row r="96" spans="1:53" s="261" customFormat="1" ht="56.25" customHeight="1" x14ac:dyDescent="0.25">
      <c r="A96" s="1012" t="s">
        <v>1729</v>
      </c>
      <c r="B96" s="438" t="s">
        <v>1727</v>
      </c>
      <c r="C96" s="277"/>
      <c r="D96" s="335"/>
      <c r="E96" s="278" t="s">
        <v>488</v>
      </c>
      <c r="F96" s="279" t="s">
        <v>837</v>
      </c>
      <c r="G96" s="277" t="s">
        <v>489</v>
      </c>
      <c r="H96" s="278" t="s">
        <v>1170</v>
      </c>
      <c r="I96" s="279" t="s">
        <v>838</v>
      </c>
      <c r="J96" s="280" t="s">
        <v>1171</v>
      </c>
      <c r="K96" s="280" t="s">
        <v>490</v>
      </c>
      <c r="L96" s="281" t="s">
        <v>489</v>
      </c>
      <c r="M96" s="280" t="s">
        <v>1172</v>
      </c>
      <c r="N96" s="354" t="s">
        <v>838</v>
      </c>
      <c r="O96" s="280" t="s">
        <v>1171</v>
      </c>
      <c r="P96" s="280" t="s">
        <v>826</v>
      </c>
      <c r="Q96" s="280" t="s">
        <v>1173</v>
      </c>
      <c r="R96" s="280" t="s">
        <v>1174</v>
      </c>
      <c r="S96" s="280" t="s">
        <v>839</v>
      </c>
      <c r="T96" s="280" t="s">
        <v>1171</v>
      </c>
      <c r="U96" s="280" t="s">
        <v>1392</v>
      </c>
      <c r="V96" s="280" t="s">
        <v>841</v>
      </c>
      <c r="W96" s="282" t="s">
        <v>1173</v>
      </c>
      <c r="X96" s="280" t="s">
        <v>1394</v>
      </c>
      <c r="Y96" s="280" t="s">
        <v>839</v>
      </c>
      <c r="Z96" s="283"/>
      <c r="AA96" s="284"/>
      <c r="AB96" s="284"/>
      <c r="AC96" s="377"/>
      <c r="AD96" s="263"/>
      <c r="AF96" s="262"/>
      <c r="AG96" s="263"/>
      <c r="AH96" s="263"/>
      <c r="AI96" s="263"/>
      <c r="AJ96" s="263"/>
      <c r="AK96" s="263"/>
      <c r="AL96" s="264"/>
      <c r="AM96" s="263"/>
      <c r="AN96" s="263"/>
      <c r="AO96" s="265"/>
      <c r="AP96" s="263"/>
      <c r="AQ96" s="355"/>
      <c r="AR96" s="355"/>
      <c r="AS96" s="355"/>
      <c r="AT96" s="263"/>
      <c r="AU96" s="263"/>
      <c r="AV96" s="265"/>
      <c r="AW96" s="263"/>
      <c r="AX96" s="263"/>
      <c r="AY96" s="263"/>
      <c r="AZ96" s="263"/>
      <c r="BA96" s="263"/>
    </row>
    <row r="97" spans="1:53" s="270" customFormat="1" ht="12" customHeight="1" x14ac:dyDescent="0.25">
      <c r="A97" s="1013"/>
      <c r="B97" s="285" t="s">
        <v>1175</v>
      </c>
      <c r="C97" s="277">
        <f>C104</f>
        <v>131.71579143866489</v>
      </c>
      <c r="D97" s="335">
        <f>C97*$D$5</f>
        <v>26.606589870610311</v>
      </c>
      <c r="E97" s="286" t="s">
        <v>1176</v>
      </c>
      <c r="F97" s="356"/>
      <c r="G97" s="288"/>
      <c r="H97" s="288"/>
      <c r="I97" s="289">
        <f>SUM(I98:I105)</f>
        <v>13.11</v>
      </c>
      <c r="J97" s="290" t="s">
        <v>1176</v>
      </c>
      <c r="K97" s="357"/>
      <c r="L97" s="291"/>
      <c r="M97" s="291"/>
      <c r="N97" s="433">
        <f>SUM(N98:N105)</f>
        <v>0.16400086094796795</v>
      </c>
      <c r="O97" s="291"/>
      <c r="P97" s="291"/>
      <c r="Q97" s="291"/>
      <c r="R97" s="291"/>
      <c r="S97" s="295">
        <f>S98+S99</f>
        <v>0.43803534547642564</v>
      </c>
      <c r="T97" s="292"/>
      <c r="U97" s="292"/>
      <c r="V97" s="292"/>
      <c r="W97" s="292"/>
      <c r="X97" s="292"/>
      <c r="Y97" s="433">
        <f>SUM(Y98:Y105)</f>
        <v>17.395676575372477</v>
      </c>
      <c r="Z97" s="296">
        <f>(C97+D97+I97+N97+S97+Y97)*$Z$5</f>
        <v>246.29467698216922</v>
      </c>
      <c r="AA97" s="297">
        <f>C97+D97+I97+N97+S97+Y97+Z97</f>
        <v>435.7247710732413</v>
      </c>
      <c r="AB97" s="298">
        <v>0.25</v>
      </c>
      <c r="AC97" s="358">
        <f>AA97*(1+AB97)</f>
        <v>544.65596384155162</v>
      </c>
      <c r="AD97" s="265"/>
      <c r="AE97" s="261"/>
      <c r="AF97" s="262"/>
      <c r="AG97" s="263"/>
      <c r="AH97" s="263"/>
      <c r="AI97" s="355"/>
      <c r="AJ97" s="359"/>
      <c r="AK97" s="360"/>
      <c r="AL97" s="264"/>
      <c r="AM97" s="361"/>
      <c r="AN97" s="143"/>
      <c r="AO97" s="362"/>
      <c r="AP97" s="363"/>
      <c r="AQ97" s="363"/>
      <c r="AR97" s="363"/>
      <c r="AS97" s="363"/>
      <c r="AT97" s="363"/>
      <c r="AU97" s="362"/>
      <c r="AV97" s="362"/>
      <c r="AW97" s="364"/>
      <c r="AX97" s="272"/>
      <c r="AY97" s="272"/>
      <c r="AZ97" s="272"/>
      <c r="BA97" s="272"/>
    </row>
    <row r="98" spans="1:53" s="371" customFormat="1" ht="12.75" customHeight="1" x14ac:dyDescent="0.25">
      <c r="A98" s="1013"/>
      <c r="B98" s="299" t="s">
        <v>830</v>
      </c>
      <c r="C98" s="277"/>
      <c r="D98" s="336"/>
      <c r="E98" s="300" t="s">
        <v>1437</v>
      </c>
      <c r="F98" s="301" t="s">
        <v>1438</v>
      </c>
      <c r="G98" s="302">
        <v>0.3</v>
      </c>
      <c r="H98" s="301">
        <v>10</v>
      </c>
      <c r="I98" s="303">
        <f>G98*H98</f>
        <v>3</v>
      </c>
      <c r="J98" s="290" t="s">
        <v>1291</v>
      </c>
      <c r="K98" s="304">
        <v>2</v>
      </c>
      <c r="L98" s="305">
        <v>750</v>
      </c>
      <c r="M98" s="304">
        <v>2</v>
      </c>
      <c r="N98" s="433">
        <f>L98/'Исп. коэффициенты'!E52*C102</f>
        <v>0.14138005254135169</v>
      </c>
      <c r="O98" s="291" t="s">
        <v>1667</v>
      </c>
      <c r="P98" s="291">
        <v>4500</v>
      </c>
      <c r="Q98" s="291">
        <v>19.670000000000002</v>
      </c>
      <c r="R98" s="291">
        <v>885.15</v>
      </c>
      <c r="S98" s="295">
        <f>R98/'Исп. коэффициенты'!E52*C102</f>
        <v>0.16685673800930326</v>
      </c>
      <c r="T98" s="306" t="s">
        <v>1435</v>
      </c>
      <c r="U98" s="307">
        <v>6785401.3499999996</v>
      </c>
      <c r="V98" s="308">
        <v>1.3599999999999999E-2</v>
      </c>
      <c r="W98" s="306">
        <f>'Исп. коэффициенты'!E124</f>
        <v>2978.5</v>
      </c>
      <c r="X98" s="292">
        <f>U98*V98</f>
        <v>92281.45835999999</v>
      </c>
      <c r="Y98" s="295">
        <f>X98/'Исп. коэффициенты'!E52*C102</f>
        <v>17.395676575372477</v>
      </c>
      <c r="Z98" s="291"/>
      <c r="AA98" s="284"/>
      <c r="AB98" s="284"/>
      <c r="AC98" s="284"/>
      <c r="AD98" s="263"/>
      <c r="AE98" s="261"/>
      <c r="AF98" s="365"/>
      <c r="AG98" s="366"/>
      <c r="AH98" s="366"/>
      <c r="AI98" s="366"/>
      <c r="AJ98" s="367"/>
      <c r="AK98" s="366"/>
      <c r="AL98" s="368"/>
      <c r="AM98" s="366"/>
      <c r="AN98" s="366"/>
      <c r="AO98" s="369"/>
      <c r="AP98" s="366"/>
      <c r="AQ98" s="366"/>
      <c r="AR98" s="369"/>
      <c r="AS98" s="369"/>
      <c r="AT98" s="366"/>
      <c r="AU98" s="366"/>
      <c r="AV98" s="369"/>
      <c r="AW98" s="366"/>
      <c r="AX98" s="366"/>
      <c r="AY98" s="366"/>
      <c r="AZ98" s="366"/>
      <c r="BA98" s="366"/>
    </row>
    <row r="99" spans="1:53" s="371" customFormat="1" x14ac:dyDescent="0.25">
      <c r="A99" s="1013"/>
      <c r="B99" s="309" t="s">
        <v>1178</v>
      </c>
      <c r="C99" s="310">
        <f>C89</f>
        <v>40.401251342681022</v>
      </c>
      <c r="D99" s="336"/>
      <c r="E99" s="300" t="s">
        <v>1439</v>
      </c>
      <c r="F99" s="301" t="s">
        <v>1</v>
      </c>
      <c r="G99" s="302">
        <v>5</v>
      </c>
      <c r="H99" s="301">
        <v>0.01</v>
      </c>
      <c r="I99" s="303">
        <f>G99*H99</f>
        <v>0.05</v>
      </c>
      <c r="J99" s="290" t="s">
        <v>1445</v>
      </c>
      <c r="K99" s="292">
        <v>2</v>
      </c>
      <c r="L99" s="311">
        <v>95</v>
      </c>
      <c r="M99" s="304">
        <v>2</v>
      </c>
      <c r="N99" s="433">
        <f>L99/'Исп. коэффициенты'!E52*C102</f>
        <v>1.7908139988571214E-2</v>
      </c>
      <c r="O99" s="291" t="s">
        <v>1668</v>
      </c>
      <c r="P99" s="291">
        <v>6750</v>
      </c>
      <c r="Q99" s="291">
        <v>19.670000000000002</v>
      </c>
      <c r="R99" s="291">
        <v>1327.73</v>
      </c>
      <c r="S99" s="295">
        <f>R99/'Исп. коэффициенты'!E53*C103</f>
        <v>0.27117860746712241</v>
      </c>
      <c r="T99" s="291"/>
      <c r="U99" s="291"/>
      <c r="V99" s="291"/>
      <c r="W99" s="291"/>
      <c r="X99" s="291"/>
      <c r="Y99" s="291"/>
      <c r="Z99" s="291"/>
      <c r="AA99" s="284"/>
      <c r="AB99" s="284"/>
      <c r="AC99" s="284"/>
      <c r="AD99" s="263"/>
      <c r="AE99" s="261"/>
      <c r="AF99" s="365"/>
      <c r="AG99" s="366"/>
      <c r="AH99" s="366"/>
      <c r="AI99" s="366"/>
      <c r="AJ99" s="367"/>
      <c r="AK99" s="366"/>
      <c r="AL99" s="368"/>
      <c r="AM99" s="373"/>
      <c r="AN99" s="366"/>
      <c r="AO99" s="369"/>
      <c r="AP99" s="366"/>
      <c r="AQ99" s="366"/>
      <c r="AR99" s="369"/>
      <c r="AS99" s="369"/>
      <c r="AT99" s="366"/>
      <c r="AU99" s="366"/>
      <c r="AV99" s="369"/>
      <c r="AW99" s="366"/>
      <c r="AX99" s="366"/>
      <c r="AY99" s="366"/>
      <c r="AZ99" s="366"/>
      <c r="BA99" s="366"/>
    </row>
    <row r="100" spans="1:53" s="371" customFormat="1" ht="12.75" customHeight="1" x14ac:dyDescent="0.25">
      <c r="A100" s="1013"/>
      <c r="B100" s="286" t="s">
        <v>1179</v>
      </c>
      <c r="C100" s="277">
        <f>C90</f>
        <v>25.456644376651425</v>
      </c>
      <c r="D100" s="336"/>
      <c r="E100" s="300" t="s">
        <v>1440</v>
      </c>
      <c r="F100" s="301" t="s">
        <v>1441</v>
      </c>
      <c r="G100" s="302">
        <v>5.36</v>
      </c>
      <c r="H100" s="312">
        <v>1</v>
      </c>
      <c r="I100" s="303">
        <f>G100*H100</f>
        <v>5.36</v>
      </c>
      <c r="J100" s="290" t="s">
        <v>1513</v>
      </c>
      <c r="K100" s="292">
        <v>2</v>
      </c>
      <c r="L100" s="292">
        <v>25</v>
      </c>
      <c r="M100" s="304">
        <v>0.5</v>
      </c>
      <c r="N100" s="433">
        <f>L100/'Исп. коэффициенты'!E52*C102</f>
        <v>4.7126684180450566E-3</v>
      </c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84"/>
      <c r="AB100" s="284"/>
      <c r="AC100" s="284"/>
      <c r="AD100" s="263"/>
      <c r="AE100" s="261"/>
      <c r="AF100" s="365"/>
      <c r="AG100" s="366"/>
      <c r="AH100" s="366"/>
      <c r="AI100" s="366"/>
      <c r="AJ100" s="367"/>
      <c r="AK100" s="366"/>
      <c r="AL100" s="368"/>
      <c r="AM100" s="366"/>
      <c r="AN100" s="366"/>
      <c r="AO100" s="369"/>
      <c r="AP100" s="366"/>
      <c r="AQ100" s="366"/>
      <c r="AR100" s="369"/>
      <c r="AS100" s="369"/>
      <c r="AT100" s="366"/>
      <c r="AU100" s="366"/>
      <c r="AV100" s="369"/>
      <c r="AW100" s="366"/>
      <c r="AX100" s="366"/>
      <c r="AY100" s="366"/>
      <c r="AZ100" s="366"/>
      <c r="BA100" s="366"/>
    </row>
    <row r="101" spans="1:53" s="371" customFormat="1" ht="12.75" customHeight="1" x14ac:dyDescent="0.25">
      <c r="A101" s="1013"/>
      <c r="B101" s="286" t="s">
        <v>831</v>
      </c>
      <c r="C101" s="313"/>
      <c r="D101" s="336"/>
      <c r="E101" s="300" t="s">
        <v>1442</v>
      </c>
      <c r="F101" s="301" t="s">
        <v>1</v>
      </c>
      <c r="G101" s="302">
        <v>0.47</v>
      </c>
      <c r="H101" s="301">
        <v>10</v>
      </c>
      <c r="I101" s="303">
        <f>G101*H101</f>
        <v>4.6999999999999993</v>
      </c>
      <c r="J101" s="290"/>
      <c r="K101" s="292"/>
      <c r="L101" s="292"/>
      <c r="M101" s="292"/>
      <c r="N101" s="292"/>
      <c r="O101" s="290"/>
      <c r="P101" s="292"/>
      <c r="Q101" s="292"/>
      <c r="R101" s="292"/>
      <c r="S101" s="292"/>
      <c r="T101" s="291"/>
      <c r="U101" s="291"/>
      <c r="V101" s="291"/>
      <c r="W101" s="291"/>
      <c r="X101" s="291"/>
      <c r="Y101" s="291"/>
      <c r="Z101" s="291"/>
      <c r="AA101" s="284"/>
      <c r="AB101" s="284"/>
      <c r="AC101" s="284"/>
      <c r="AD101" s="263"/>
      <c r="AE101" s="261"/>
      <c r="AF101" s="365"/>
      <c r="AG101" s="366"/>
      <c r="AH101" s="366"/>
      <c r="AI101" s="366"/>
      <c r="AJ101" s="367"/>
      <c r="AK101" s="366"/>
      <c r="AL101" s="368"/>
      <c r="AM101" s="366"/>
      <c r="AN101" s="366"/>
      <c r="AO101" s="369"/>
      <c r="AP101" s="366"/>
      <c r="AQ101" s="366"/>
      <c r="AR101" s="369"/>
      <c r="AS101" s="369"/>
      <c r="AT101" s="366"/>
      <c r="AU101" s="366"/>
      <c r="AV101" s="369"/>
      <c r="AW101" s="366"/>
      <c r="AX101" s="366"/>
      <c r="AY101" s="366"/>
      <c r="AZ101" s="366"/>
      <c r="BA101" s="366"/>
    </row>
    <row r="102" spans="1:53" s="371" customFormat="1" ht="12.75" customHeight="1" x14ac:dyDescent="0.25">
      <c r="A102" s="1013"/>
      <c r="B102" s="309" t="s">
        <v>1178</v>
      </c>
      <c r="C102" s="314">
        <v>2</v>
      </c>
      <c r="D102" s="336"/>
      <c r="E102" s="300"/>
      <c r="F102" s="301"/>
      <c r="G102" s="302"/>
      <c r="H102" s="301"/>
      <c r="I102" s="303"/>
      <c r="J102" s="290"/>
      <c r="K102" s="292"/>
      <c r="L102" s="292"/>
      <c r="M102" s="292"/>
      <c r="N102" s="292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84"/>
      <c r="AB102" s="284"/>
      <c r="AC102" s="284"/>
      <c r="AD102" s="263"/>
      <c r="AE102" s="261"/>
      <c r="AF102" s="365"/>
      <c r="AG102" s="366"/>
      <c r="AH102" s="366"/>
      <c r="AI102" s="366"/>
      <c r="AJ102" s="375"/>
      <c r="AK102" s="366"/>
      <c r="AL102" s="368"/>
      <c r="AM102" s="366"/>
      <c r="AN102" s="366"/>
      <c r="AO102" s="369"/>
      <c r="AP102" s="366"/>
      <c r="AQ102" s="366"/>
      <c r="AR102" s="369"/>
      <c r="AS102" s="369"/>
      <c r="AT102" s="366"/>
      <c r="AU102" s="366"/>
      <c r="AV102" s="369"/>
      <c r="AW102" s="366"/>
      <c r="AX102" s="366"/>
      <c r="AY102" s="366"/>
      <c r="AZ102" s="366"/>
      <c r="BA102" s="366"/>
    </row>
    <row r="103" spans="1:53" s="371" customFormat="1" ht="15.75" customHeight="1" x14ac:dyDescent="0.25">
      <c r="A103" s="1013"/>
      <c r="B103" s="286" t="s">
        <v>1179</v>
      </c>
      <c r="C103" s="314">
        <v>2</v>
      </c>
      <c r="D103" s="336"/>
      <c r="E103" s="300"/>
      <c r="F103" s="376"/>
      <c r="G103" s="302"/>
      <c r="H103" s="301"/>
      <c r="I103" s="303"/>
      <c r="J103" s="290"/>
      <c r="K103" s="292"/>
      <c r="L103" s="292"/>
      <c r="M103" s="292"/>
      <c r="N103" s="292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84"/>
      <c r="AB103" s="284"/>
      <c r="AC103" s="284"/>
      <c r="AD103" s="263"/>
      <c r="AE103" s="261"/>
      <c r="AF103" s="365"/>
      <c r="AG103" s="366"/>
      <c r="AH103" s="366"/>
      <c r="AI103" s="366"/>
      <c r="AJ103" s="375"/>
      <c r="AK103" s="366"/>
      <c r="AL103" s="368"/>
      <c r="AM103" s="366"/>
      <c r="AN103" s="366"/>
      <c r="AO103" s="369"/>
      <c r="AP103" s="366"/>
      <c r="AQ103" s="366"/>
      <c r="AR103" s="369"/>
      <c r="AS103" s="369"/>
      <c r="AT103" s="366"/>
      <c r="AU103" s="366"/>
      <c r="AV103" s="369"/>
      <c r="AW103" s="366"/>
      <c r="AX103" s="366"/>
      <c r="AY103" s="366"/>
      <c r="AZ103" s="366"/>
      <c r="BA103" s="366"/>
    </row>
    <row r="104" spans="1:53" s="371" customFormat="1" ht="24.75" customHeight="1" x14ac:dyDescent="0.25">
      <c r="A104" s="1013"/>
      <c r="B104" s="315" t="s">
        <v>1181</v>
      </c>
      <c r="C104" s="277">
        <f>C99*C102+C100*C103</f>
        <v>131.71579143866489</v>
      </c>
      <c r="D104" s="336"/>
      <c r="E104" s="300"/>
      <c r="F104" s="376"/>
      <c r="G104" s="302"/>
      <c r="H104" s="301"/>
      <c r="I104" s="303"/>
      <c r="J104" s="290"/>
      <c r="K104" s="374"/>
      <c r="L104" s="311"/>
      <c r="M104" s="304"/>
      <c r="N104" s="292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84"/>
      <c r="AB104" s="284"/>
      <c r="AC104" s="284"/>
      <c r="AD104" s="263"/>
      <c r="AE104" s="261"/>
      <c r="AF104" s="365"/>
      <c r="AG104" s="366"/>
      <c r="AH104" s="366"/>
      <c r="AI104" s="366"/>
      <c r="AJ104" s="367"/>
      <c r="AK104" s="366"/>
      <c r="AL104" s="368"/>
      <c r="AM104" s="366"/>
      <c r="AN104" s="366"/>
      <c r="AO104" s="369"/>
      <c r="AP104" s="366"/>
      <c r="AQ104" s="366"/>
      <c r="AR104" s="369"/>
      <c r="AS104" s="369"/>
      <c r="AT104" s="366"/>
      <c r="AU104" s="366"/>
      <c r="AV104" s="369"/>
      <c r="AW104" s="366"/>
      <c r="AX104" s="366"/>
      <c r="AY104" s="366"/>
      <c r="AZ104" s="366"/>
      <c r="BA104" s="366"/>
    </row>
    <row r="105" spans="1:53" s="371" customFormat="1" ht="13.5" customHeight="1" x14ac:dyDescent="0.25">
      <c r="A105" s="1014"/>
      <c r="B105" s="318"/>
      <c r="C105" s="314"/>
      <c r="D105" s="337"/>
      <c r="E105" s="300"/>
      <c r="F105" s="376"/>
      <c r="G105" s="302"/>
      <c r="H105" s="301"/>
      <c r="I105" s="303"/>
      <c r="J105" s="290"/>
      <c r="K105" s="374"/>
      <c r="L105" s="292"/>
      <c r="M105" s="292"/>
      <c r="N105" s="292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84"/>
      <c r="AB105" s="284"/>
      <c r="AC105" s="284"/>
      <c r="AD105" s="263"/>
      <c r="AE105" s="261"/>
      <c r="AF105" s="365"/>
      <c r="AG105" s="366"/>
      <c r="AH105" s="366"/>
      <c r="AI105" s="366"/>
      <c r="AJ105" s="375"/>
      <c r="AK105" s="366"/>
      <c r="AL105" s="368"/>
      <c r="AM105" s="366"/>
      <c r="AN105" s="366"/>
      <c r="AO105" s="369"/>
      <c r="AP105" s="366"/>
      <c r="AQ105" s="366"/>
      <c r="AR105" s="369"/>
      <c r="AS105" s="369"/>
      <c r="AT105" s="366"/>
      <c r="AU105" s="366"/>
      <c r="AV105" s="369"/>
      <c r="AW105" s="366"/>
      <c r="AX105" s="366"/>
      <c r="AY105" s="366"/>
      <c r="AZ105" s="366"/>
      <c r="BA105" s="366"/>
    </row>
    <row r="106" spans="1:53" s="261" customFormat="1" ht="56.25" customHeight="1" x14ac:dyDescent="0.25">
      <c r="A106" s="1012" t="s">
        <v>1730</v>
      </c>
      <c r="B106" s="438" t="s">
        <v>1728</v>
      </c>
      <c r="C106" s="660"/>
      <c r="D106" s="657"/>
      <c r="E106" s="278" t="s">
        <v>488</v>
      </c>
      <c r="F106" s="279" t="s">
        <v>837</v>
      </c>
      <c r="G106" s="660" t="s">
        <v>489</v>
      </c>
      <c r="H106" s="278" t="s">
        <v>1170</v>
      </c>
      <c r="I106" s="279" t="s">
        <v>838</v>
      </c>
      <c r="J106" s="280" t="s">
        <v>1171</v>
      </c>
      <c r="K106" s="280" t="s">
        <v>490</v>
      </c>
      <c r="L106" s="281" t="s">
        <v>489</v>
      </c>
      <c r="M106" s="280" t="s">
        <v>1172</v>
      </c>
      <c r="N106" s="354" t="s">
        <v>838</v>
      </c>
      <c r="O106" s="280" t="s">
        <v>1171</v>
      </c>
      <c r="P106" s="280" t="s">
        <v>826</v>
      </c>
      <c r="Q106" s="280" t="s">
        <v>1173</v>
      </c>
      <c r="R106" s="280" t="s">
        <v>1174</v>
      </c>
      <c r="S106" s="280" t="s">
        <v>839</v>
      </c>
      <c r="T106" s="280" t="s">
        <v>1171</v>
      </c>
      <c r="U106" s="280" t="s">
        <v>1392</v>
      </c>
      <c r="V106" s="280" t="s">
        <v>841</v>
      </c>
      <c r="W106" s="282" t="s">
        <v>1173</v>
      </c>
      <c r="X106" s="280" t="s">
        <v>1394</v>
      </c>
      <c r="Y106" s="280" t="s">
        <v>839</v>
      </c>
      <c r="Z106" s="283"/>
      <c r="AA106" s="284"/>
      <c r="AB106" s="284"/>
      <c r="AC106" s="377"/>
      <c r="AD106" s="263"/>
      <c r="AF106" s="262"/>
      <c r="AG106" s="263"/>
      <c r="AH106" s="263"/>
      <c r="AI106" s="263"/>
      <c r="AJ106" s="263"/>
      <c r="AK106" s="263"/>
      <c r="AL106" s="264"/>
      <c r="AM106" s="263"/>
      <c r="AN106" s="263"/>
      <c r="AO106" s="265"/>
      <c r="AP106" s="263"/>
      <c r="AQ106" s="355"/>
      <c r="AR106" s="355"/>
      <c r="AS106" s="355"/>
      <c r="AT106" s="263"/>
      <c r="AU106" s="263"/>
      <c r="AV106" s="265"/>
      <c r="AW106" s="263"/>
      <c r="AX106" s="263"/>
      <c r="AY106" s="263"/>
      <c r="AZ106" s="263"/>
      <c r="BA106" s="263"/>
    </row>
    <row r="107" spans="1:53" s="270" customFormat="1" ht="12" customHeight="1" x14ac:dyDescent="0.25">
      <c r="A107" s="1013"/>
      <c r="B107" s="285" t="s">
        <v>1175</v>
      </c>
      <c r="C107" s="660">
        <f>C114</f>
        <v>32.928947859666224</v>
      </c>
      <c r="D107" s="657">
        <f>C107*$D$5</f>
        <v>6.6516474676525776</v>
      </c>
      <c r="E107" s="286" t="s">
        <v>1176</v>
      </c>
      <c r="F107" s="356"/>
      <c r="G107" s="288"/>
      <c r="H107" s="288"/>
      <c r="I107" s="289">
        <f>SUM(I108:I115)</f>
        <v>13.11</v>
      </c>
      <c r="J107" s="290" t="s">
        <v>1176</v>
      </c>
      <c r="K107" s="357"/>
      <c r="L107" s="291"/>
      <c r="M107" s="291"/>
      <c r="N107" s="433">
        <f>SUM(N108:N115)</f>
        <v>4.1000215236991988E-2</v>
      </c>
      <c r="O107" s="291"/>
      <c r="P107" s="291"/>
      <c r="Q107" s="291"/>
      <c r="R107" s="291"/>
      <c r="S107" s="295">
        <f>S108+S109</f>
        <v>0.10950883636910641</v>
      </c>
      <c r="T107" s="292"/>
      <c r="U107" s="292"/>
      <c r="V107" s="292"/>
      <c r="W107" s="292"/>
      <c r="X107" s="292"/>
      <c r="Y107" s="433">
        <f>SUM(Y108:Y115)</f>
        <v>4.3489191438431192</v>
      </c>
      <c r="Z107" s="296">
        <f>(C107+D107+I107+N107+S107+Y107)*$Z$5</f>
        <v>74.357764734946969</v>
      </c>
      <c r="AA107" s="297">
        <f>C107+D107+I107+N107+S107+Y107+Z107</f>
        <v>131.54778825771498</v>
      </c>
      <c r="AB107" s="298">
        <v>0.25</v>
      </c>
      <c r="AC107" s="358">
        <f>AA107*(1+AB107)</f>
        <v>164.43473532214372</v>
      </c>
      <c r="AD107" s="265"/>
      <c r="AE107" s="261"/>
      <c r="AF107" s="262"/>
      <c r="AG107" s="263"/>
      <c r="AH107" s="263"/>
      <c r="AI107" s="355"/>
      <c r="AJ107" s="359"/>
      <c r="AK107" s="360"/>
      <c r="AL107" s="264"/>
      <c r="AM107" s="361"/>
      <c r="AN107" s="143"/>
      <c r="AO107" s="362"/>
      <c r="AP107" s="363"/>
      <c r="AQ107" s="363"/>
      <c r="AR107" s="363"/>
      <c r="AS107" s="363"/>
      <c r="AT107" s="363"/>
      <c r="AU107" s="362"/>
      <c r="AV107" s="362"/>
      <c r="AW107" s="364"/>
      <c r="AX107" s="272"/>
      <c r="AY107" s="272"/>
      <c r="AZ107" s="272"/>
      <c r="BA107" s="272"/>
    </row>
    <row r="108" spans="1:53" s="371" customFormat="1" ht="12.75" customHeight="1" x14ac:dyDescent="0.25">
      <c r="A108" s="1013"/>
      <c r="B108" s="299" t="s">
        <v>830</v>
      </c>
      <c r="C108" s="660"/>
      <c r="D108" s="658"/>
      <c r="E108" s="300" t="s">
        <v>1437</v>
      </c>
      <c r="F108" s="301" t="s">
        <v>1438</v>
      </c>
      <c r="G108" s="302">
        <v>0.3</v>
      </c>
      <c r="H108" s="301">
        <v>10</v>
      </c>
      <c r="I108" s="303">
        <f>G108*H108</f>
        <v>3</v>
      </c>
      <c r="J108" s="290" t="s">
        <v>1291</v>
      </c>
      <c r="K108" s="304">
        <v>2</v>
      </c>
      <c r="L108" s="305">
        <v>750</v>
      </c>
      <c r="M108" s="304">
        <v>2</v>
      </c>
      <c r="N108" s="433">
        <f>L108/'Исп. коэффициенты'!E52*C112</f>
        <v>3.5345013135337923E-2</v>
      </c>
      <c r="O108" s="291" t="s">
        <v>1667</v>
      </c>
      <c r="P108" s="291">
        <v>4500</v>
      </c>
      <c r="Q108" s="291">
        <v>19.670000000000002</v>
      </c>
      <c r="R108" s="291">
        <v>885.15</v>
      </c>
      <c r="S108" s="295">
        <f>R108/'Исп. коэффициенты'!E52*C112</f>
        <v>4.1714184502325814E-2</v>
      </c>
      <c r="T108" s="306" t="s">
        <v>1435</v>
      </c>
      <c r="U108" s="307">
        <v>6785401.3499999996</v>
      </c>
      <c r="V108" s="308">
        <v>1.3599999999999999E-2</v>
      </c>
      <c r="W108" s="306">
        <f>'Исп. коэффициенты'!E124</f>
        <v>2978.5</v>
      </c>
      <c r="X108" s="292">
        <f>U108*V108</f>
        <v>92281.45835999999</v>
      </c>
      <c r="Y108" s="295">
        <f>X108/'Исп. коэффициенты'!E52*C112</f>
        <v>4.3489191438431192</v>
      </c>
      <c r="Z108" s="291"/>
      <c r="AA108" s="284"/>
      <c r="AB108" s="284"/>
      <c r="AC108" s="284"/>
      <c r="AD108" s="263"/>
      <c r="AE108" s="261"/>
      <c r="AF108" s="365"/>
      <c r="AG108" s="366"/>
      <c r="AH108" s="366"/>
      <c r="AI108" s="366"/>
      <c r="AJ108" s="367"/>
      <c r="AK108" s="366"/>
      <c r="AL108" s="368"/>
      <c r="AM108" s="366"/>
      <c r="AN108" s="366"/>
      <c r="AO108" s="369"/>
      <c r="AP108" s="366"/>
      <c r="AQ108" s="366"/>
      <c r="AR108" s="369"/>
      <c r="AS108" s="369"/>
      <c r="AT108" s="366"/>
      <c r="AU108" s="366"/>
      <c r="AV108" s="369"/>
      <c r="AW108" s="366"/>
      <c r="AX108" s="366"/>
      <c r="AY108" s="366"/>
      <c r="AZ108" s="366"/>
      <c r="BA108" s="366"/>
    </row>
    <row r="109" spans="1:53" s="371" customFormat="1" x14ac:dyDescent="0.25">
      <c r="A109" s="1013"/>
      <c r="B109" s="309" t="s">
        <v>1178</v>
      </c>
      <c r="C109" s="310">
        <f>C99</f>
        <v>40.401251342681022</v>
      </c>
      <c r="D109" s="658"/>
      <c r="E109" s="300" t="s">
        <v>1439</v>
      </c>
      <c r="F109" s="301" t="s">
        <v>1</v>
      </c>
      <c r="G109" s="302">
        <v>5</v>
      </c>
      <c r="H109" s="301">
        <v>0.01</v>
      </c>
      <c r="I109" s="303">
        <f>G109*H109</f>
        <v>0.05</v>
      </c>
      <c r="J109" s="290" t="s">
        <v>1445</v>
      </c>
      <c r="K109" s="292">
        <v>2</v>
      </c>
      <c r="L109" s="311">
        <v>95</v>
      </c>
      <c r="M109" s="304">
        <v>2</v>
      </c>
      <c r="N109" s="433">
        <f>L109/'Исп. коэффициенты'!E52*C112</f>
        <v>4.4770349971428036E-3</v>
      </c>
      <c r="O109" s="291" t="s">
        <v>1668</v>
      </c>
      <c r="P109" s="291">
        <v>6750</v>
      </c>
      <c r="Q109" s="291">
        <v>19.670000000000002</v>
      </c>
      <c r="R109" s="291">
        <v>1327.73</v>
      </c>
      <c r="S109" s="295">
        <f>R109/'Исп. коэффициенты'!E53*C113</f>
        <v>6.7794651866780603E-2</v>
      </c>
      <c r="T109" s="291"/>
      <c r="U109" s="291"/>
      <c r="V109" s="291"/>
      <c r="W109" s="291"/>
      <c r="X109" s="291"/>
      <c r="Y109" s="291"/>
      <c r="Z109" s="291"/>
      <c r="AA109" s="284"/>
      <c r="AB109" s="284"/>
      <c r="AC109" s="284"/>
      <c r="AD109" s="263"/>
      <c r="AE109" s="261"/>
      <c r="AF109" s="365"/>
      <c r="AG109" s="366"/>
      <c r="AH109" s="366"/>
      <c r="AI109" s="366"/>
      <c r="AJ109" s="367"/>
      <c r="AK109" s="366"/>
      <c r="AL109" s="368"/>
      <c r="AM109" s="373"/>
      <c r="AN109" s="366"/>
      <c r="AO109" s="369"/>
      <c r="AP109" s="366"/>
      <c r="AQ109" s="366"/>
      <c r="AR109" s="369"/>
      <c r="AS109" s="369"/>
      <c r="AT109" s="366"/>
      <c r="AU109" s="366"/>
      <c r="AV109" s="369"/>
      <c r="AW109" s="366"/>
      <c r="AX109" s="366"/>
      <c r="AY109" s="366"/>
      <c r="AZ109" s="366"/>
      <c r="BA109" s="366"/>
    </row>
    <row r="110" spans="1:53" s="371" customFormat="1" ht="12.75" customHeight="1" x14ac:dyDescent="0.25">
      <c r="A110" s="1013"/>
      <c r="B110" s="286" t="s">
        <v>1179</v>
      </c>
      <c r="C110" s="660">
        <f>C100</f>
        <v>25.456644376651425</v>
      </c>
      <c r="D110" s="658"/>
      <c r="E110" s="300" t="s">
        <v>1440</v>
      </c>
      <c r="F110" s="301" t="s">
        <v>1441</v>
      </c>
      <c r="G110" s="302">
        <v>5.36</v>
      </c>
      <c r="H110" s="312">
        <v>1</v>
      </c>
      <c r="I110" s="303">
        <f>G110*H110</f>
        <v>5.36</v>
      </c>
      <c r="J110" s="290" t="s">
        <v>1513</v>
      </c>
      <c r="K110" s="292">
        <v>2</v>
      </c>
      <c r="L110" s="292">
        <v>25</v>
      </c>
      <c r="M110" s="304">
        <v>0.5</v>
      </c>
      <c r="N110" s="433">
        <f>L110/'Исп. коэффициенты'!E52*C112</f>
        <v>1.1781671045112642E-3</v>
      </c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84"/>
      <c r="AB110" s="284"/>
      <c r="AC110" s="284"/>
      <c r="AD110" s="263"/>
      <c r="AE110" s="261"/>
      <c r="AF110" s="365"/>
      <c r="AG110" s="366"/>
      <c r="AH110" s="366"/>
      <c r="AI110" s="366"/>
      <c r="AJ110" s="367"/>
      <c r="AK110" s="366"/>
      <c r="AL110" s="368"/>
      <c r="AM110" s="366"/>
      <c r="AN110" s="366"/>
      <c r="AO110" s="369"/>
      <c r="AP110" s="366"/>
      <c r="AQ110" s="366"/>
      <c r="AR110" s="369"/>
      <c r="AS110" s="369"/>
      <c r="AT110" s="366"/>
      <c r="AU110" s="366"/>
      <c r="AV110" s="369"/>
      <c r="AW110" s="366"/>
      <c r="AX110" s="366"/>
      <c r="AY110" s="366"/>
      <c r="AZ110" s="366"/>
      <c r="BA110" s="366"/>
    </row>
    <row r="111" spans="1:53" s="371" customFormat="1" ht="12.75" customHeight="1" x14ac:dyDescent="0.25">
      <c r="A111" s="1013"/>
      <c r="B111" s="286" t="s">
        <v>831</v>
      </c>
      <c r="C111" s="313"/>
      <c r="D111" s="658"/>
      <c r="E111" s="300" t="s">
        <v>1442</v>
      </c>
      <c r="F111" s="301" t="s">
        <v>1</v>
      </c>
      <c r="G111" s="302">
        <v>0.47</v>
      </c>
      <c r="H111" s="301">
        <v>10</v>
      </c>
      <c r="I111" s="303">
        <f>G111*H111</f>
        <v>4.6999999999999993</v>
      </c>
      <c r="J111" s="290"/>
      <c r="K111" s="292"/>
      <c r="L111" s="292"/>
      <c r="M111" s="292"/>
      <c r="N111" s="292"/>
      <c r="O111" s="290"/>
      <c r="P111" s="292"/>
      <c r="Q111" s="292"/>
      <c r="R111" s="292"/>
      <c r="S111" s="292"/>
      <c r="T111" s="291"/>
      <c r="U111" s="291"/>
      <c r="V111" s="291"/>
      <c r="W111" s="291"/>
      <c r="X111" s="291"/>
      <c r="Y111" s="291"/>
      <c r="Z111" s="291"/>
      <c r="AA111" s="284"/>
      <c r="AB111" s="284"/>
      <c r="AC111" s="284"/>
      <c r="AD111" s="263"/>
      <c r="AE111" s="261"/>
      <c r="AF111" s="365"/>
      <c r="AG111" s="366"/>
      <c r="AH111" s="366"/>
      <c r="AI111" s="366"/>
      <c r="AJ111" s="367"/>
      <c r="AK111" s="366"/>
      <c r="AL111" s="368"/>
      <c r="AM111" s="366"/>
      <c r="AN111" s="366"/>
      <c r="AO111" s="369"/>
      <c r="AP111" s="366"/>
      <c r="AQ111" s="366"/>
      <c r="AR111" s="369"/>
      <c r="AS111" s="369"/>
      <c r="AT111" s="366"/>
      <c r="AU111" s="366"/>
      <c r="AV111" s="369"/>
      <c r="AW111" s="366"/>
      <c r="AX111" s="366"/>
      <c r="AY111" s="366"/>
      <c r="AZ111" s="366"/>
      <c r="BA111" s="366"/>
    </row>
    <row r="112" spans="1:53" s="371" customFormat="1" ht="12.75" customHeight="1" x14ac:dyDescent="0.25">
      <c r="A112" s="1013"/>
      <c r="B112" s="309" t="s">
        <v>1178</v>
      </c>
      <c r="C112" s="314">
        <v>0.5</v>
      </c>
      <c r="D112" s="658"/>
      <c r="E112" s="300"/>
      <c r="F112" s="301"/>
      <c r="G112" s="302"/>
      <c r="H112" s="301"/>
      <c r="I112" s="303"/>
      <c r="J112" s="290"/>
      <c r="K112" s="292"/>
      <c r="L112" s="292"/>
      <c r="M112" s="292"/>
      <c r="N112" s="292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84"/>
      <c r="AB112" s="284"/>
      <c r="AC112" s="284"/>
      <c r="AD112" s="263"/>
      <c r="AE112" s="261"/>
      <c r="AF112" s="365"/>
      <c r="AG112" s="366"/>
      <c r="AH112" s="366"/>
      <c r="AI112" s="366"/>
      <c r="AJ112" s="375"/>
      <c r="AK112" s="366"/>
      <c r="AL112" s="368"/>
      <c r="AM112" s="366"/>
      <c r="AN112" s="366"/>
      <c r="AO112" s="369"/>
      <c r="AP112" s="366"/>
      <c r="AQ112" s="366"/>
      <c r="AR112" s="369"/>
      <c r="AS112" s="369"/>
      <c r="AT112" s="366"/>
      <c r="AU112" s="366"/>
      <c r="AV112" s="369"/>
      <c r="AW112" s="366"/>
      <c r="AX112" s="366"/>
      <c r="AY112" s="366"/>
      <c r="AZ112" s="366"/>
      <c r="BA112" s="366"/>
    </row>
    <row r="113" spans="1:53" s="371" customFormat="1" ht="15.75" customHeight="1" x14ac:dyDescent="0.25">
      <c r="A113" s="1013"/>
      <c r="B113" s="286" t="s">
        <v>1179</v>
      </c>
      <c r="C113" s="314">
        <v>0.5</v>
      </c>
      <c r="D113" s="658"/>
      <c r="E113" s="300"/>
      <c r="F113" s="376"/>
      <c r="G113" s="302"/>
      <c r="H113" s="301"/>
      <c r="I113" s="303"/>
      <c r="J113" s="290"/>
      <c r="K113" s="292"/>
      <c r="L113" s="292"/>
      <c r="M113" s="292"/>
      <c r="N113" s="292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84"/>
      <c r="AB113" s="284"/>
      <c r="AC113" s="284"/>
      <c r="AD113" s="263"/>
      <c r="AE113" s="261"/>
      <c r="AF113" s="365"/>
      <c r="AG113" s="366"/>
      <c r="AH113" s="366"/>
      <c r="AI113" s="366"/>
      <c r="AJ113" s="375"/>
      <c r="AK113" s="366"/>
      <c r="AL113" s="368"/>
      <c r="AM113" s="366"/>
      <c r="AN113" s="366"/>
      <c r="AO113" s="369"/>
      <c r="AP113" s="366"/>
      <c r="AQ113" s="366"/>
      <c r="AR113" s="369"/>
      <c r="AS113" s="369"/>
      <c r="AT113" s="366"/>
      <c r="AU113" s="366"/>
      <c r="AV113" s="369"/>
      <c r="AW113" s="366"/>
      <c r="AX113" s="366"/>
      <c r="AY113" s="366"/>
      <c r="AZ113" s="366"/>
      <c r="BA113" s="366"/>
    </row>
    <row r="114" spans="1:53" s="371" customFormat="1" ht="24.75" customHeight="1" x14ac:dyDescent="0.25">
      <c r="A114" s="1013"/>
      <c r="B114" s="315" t="s">
        <v>1181</v>
      </c>
      <c r="C114" s="660">
        <f>C109*C112+C110*C113</f>
        <v>32.928947859666224</v>
      </c>
      <c r="D114" s="658"/>
      <c r="E114" s="300"/>
      <c r="F114" s="376"/>
      <c r="G114" s="302"/>
      <c r="H114" s="301"/>
      <c r="I114" s="303"/>
      <c r="J114" s="290"/>
      <c r="K114" s="374"/>
      <c r="L114" s="311"/>
      <c r="M114" s="304"/>
      <c r="N114" s="292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84"/>
      <c r="AB114" s="284"/>
      <c r="AC114" s="284"/>
      <c r="AD114" s="263"/>
      <c r="AE114" s="261"/>
      <c r="AF114" s="365"/>
      <c r="AG114" s="366"/>
      <c r="AH114" s="366"/>
      <c r="AI114" s="366"/>
      <c r="AJ114" s="367"/>
      <c r="AK114" s="366"/>
      <c r="AL114" s="368"/>
      <c r="AM114" s="366"/>
      <c r="AN114" s="366"/>
      <c r="AO114" s="369"/>
      <c r="AP114" s="366"/>
      <c r="AQ114" s="366"/>
      <c r="AR114" s="369"/>
      <c r="AS114" s="369"/>
      <c r="AT114" s="366"/>
      <c r="AU114" s="366"/>
      <c r="AV114" s="369"/>
      <c r="AW114" s="366"/>
      <c r="AX114" s="366"/>
      <c r="AY114" s="366"/>
      <c r="AZ114" s="366"/>
      <c r="BA114" s="366"/>
    </row>
    <row r="115" spans="1:53" s="371" customFormat="1" ht="13.5" customHeight="1" x14ac:dyDescent="0.25">
      <c r="A115" s="1014"/>
      <c r="B115" s="318"/>
      <c r="C115" s="314"/>
      <c r="D115" s="659"/>
      <c r="E115" s="300"/>
      <c r="F115" s="376"/>
      <c r="G115" s="302"/>
      <c r="H115" s="301"/>
      <c r="I115" s="303"/>
      <c r="J115" s="290"/>
      <c r="K115" s="374"/>
      <c r="L115" s="292"/>
      <c r="M115" s="292"/>
      <c r="N115" s="292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84"/>
      <c r="AB115" s="284"/>
      <c r="AC115" s="284"/>
      <c r="AD115" s="263"/>
      <c r="AE115" s="261"/>
      <c r="AF115" s="365"/>
      <c r="AG115" s="366"/>
      <c r="AH115" s="366"/>
      <c r="AI115" s="366"/>
      <c r="AJ115" s="375"/>
      <c r="AK115" s="366"/>
      <c r="AL115" s="368"/>
      <c r="AM115" s="366"/>
      <c r="AN115" s="366"/>
      <c r="AO115" s="369"/>
      <c r="AP115" s="366"/>
      <c r="AQ115" s="366"/>
      <c r="AR115" s="369"/>
      <c r="AS115" s="369"/>
      <c r="AT115" s="366"/>
      <c r="AU115" s="366"/>
      <c r="AV115" s="369"/>
      <c r="AW115" s="366"/>
      <c r="AX115" s="366"/>
      <c r="AY115" s="366"/>
      <c r="AZ115" s="366"/>
      <c r="BA115" s="366"/>
    </row>
    <row r="116" spans="1:53" s="261" customFormat="1" ht="56.25" customHeight="1" x14ac:dyDescent="0.25">
      <c r="A116" s="1012" t="s">
        <v>1751</v>
      </c>
      <c r="B116" s="438" t="s">
        <v>1750</v>
      </c>
      <c r="C116" s="661"/>
      <c r="D116" s="662"/>
      <c r="E116" s="278" t="s">
        <v>488</v>
      </c>
      <c r="F116" s="279" t="s">
        <v>837</v>
      </c>
      <c r="G116" s="661" t="s">
        <v>489</v>
      </c>
      <c r="H116" s="278" t="s">
        <v>1170</v>
      </c>
      <c r="I116" s="279" t="s">
        <v>838</v>
      </c>
      <c r="J116" s="280" t="s">
        <v>1171</v>
      </c>
      <c r="K116" s="280" t="s">
        <v>490</v>
      </c>
      <c r="L116" s="281" t="s">
        <v>489</v>
      </c>
      <c r="M116" s="280" t="s">
        <v>1172</v>
      </c>
      <c r="N116" s="354" t="s">
        <v>838</v>
      </c>
      <c r="O116" s="280" t="s">
        <v>1171</v>
      </c>
      <c r="P116" s="280" t="s">
        <v>826</v>
      </c>
      <c r="Q116" s="280" t="s">
        <v>1173</v>
      </c>
      <c r="R116" s="280" t="s">
        <v>1174</v>
      </c>
      <c r="S116" s="280" t="s">
        <v>839</v>
      </c>
      <c r="T116" s="280" t="s">
        <v>1171</v>
      </c>
      <c r="U116" s="280" t="s">
        <v>1392</v>
      </c>
      <c r="V116" s="280" t="s">
        <v>841</v>
      </c>
      <c r="W116" s="282" t="s">
        <v>1173</v>
      </c>
      <c r="X116" s="280" t="s">
        <v>1394</v>
      </c>
      <c r="Y116" s="280" t="s">
        <v>839</v>
      </c>
      <c r="Z116" s="283"/>
      <c r="AA116" s="284"/>
      <c r="AB116" s="284"/>
      <c r="AC116" s="377"/>
      <c r="AD116" s="263"/>
      <c r="AF116" s="262"/>
      <c r="AG116" s="263"/>
      <c r="AH116" s="263"/>
      <c r="AI116" s="263"/>
      <c r="AJ116" s="263"/>
      <c r="AK116" s="263"/>
      <c r="AL116" s="264"/>
      <c r="AM116" s="263"/>
      <c r="AN116" s="263"/>
      <c r="AO116" s="265"/>
      <c r="AP116" s="263"/>
      <c r="AQ116" s="355"/>
      <c r="AR116" s="355"/>
      <c r="AS116" s="355"/>
      <c r="AT116" s="263"/>
      <c r="AU116" s="263"/>
      <c r="AV116" s="265"/>
      <c r="AW116" s="263"/>
      <c r="AX116" s="263"/>
      <c r="AY116" s="263"/>
      <c r="AZ116" s="263"/>
      <c r="BA116" s="263"/>
    </row>
    <row r="117" spans="1:53" s="270" customFormat="1" ht="12" customHeight="1" x14ac:dyDescent="0.25">
      <c r="A117" s="1013"/>
      <c r="B117" s="285" t="s">
        <v>1175</v>
      </c>
      <c r="C117" s="661">
        <f>C124</f>
        <v>131.71579143866489</v>
      </c>
      <c r="D117" s="662">
        <f>C117*$D$5</f>
        <v>26.606589870610311</v>
      </c>
      <c r="E117" s="286" t="s">
        <v>1176</v>
      </c>
      <c r="F117" s="356"/>
      <c r="G117" s="288"/>
      <c r="H117" s="288"/>
      <c r="I117" s="289">
        <f>SUM(I118:I125)</f>
        <v>13.11</v>
      </c>
      <c r="J117" s="290" t="s">
        <v>1176</v>
      </c>
      <c r="K117" s="357"/>
      <c r="L117" s="291"/>
      <c r="M117" s="291"/>
      <c r="N117" s="433">
        <f>SUM(N118:N125)</f>
        <v>0.16400086094796795</v>
      </c>
      <c r="O117" s="291"/>
      <c r="P117" s="291"/>
      <c r="Q117" s="291"/>
      <c r="R117" s="291"/>
      <c r="S117" s="295">
        <f>S118+S119+S120</f>
        <v>4.8583615047226028</v>
      </c>
      <c r="T117" s="292"/>
      <c r="U117" s="292"/>
      <c r="V117" s="292"/>
      <c r="W117" s="292"/>
      <c r="X117" s="292"/>
      <c r="Y117" s="433">
        <f>SUM(Y118:Y125)</f>
        <v>17.395676575372477</v>
      </c>
      <c r="Z117" s="296">
        <f>(C117+D117+I117+N117+S117+Y117)*$Z$5</f>
        <v>252.0419306525599</v>
      </c>
      <c r="AA117" s="297">
        <f>C117+D117+I117+N117+S117+Y117+Z117</f>
        <v>445.89235090287821</v>
      </c>
      <c r="AB117" s="298">
        <v>0.25</v>
      </c>
      <c r="AC117" s="358">
        <f>AA117*(1+AB117)</f>
        <v>557.36543862859776</v>
      </c>
      <c r="AD117" s="265"/>
      <c r="AE117" s="261"/>
      <c r="AF117" s="262"/>
      <c r="AG117" s="263"/>
      <c r="AH117" s="263"/>
      <c r="AI117" s="355"/>
      <c r="AJ117" s="359"/>
      <c r="AK117" s="360"/>
      <c r="AL117" s="264"/>
      <c r="AM117" s="361"/>
      <c r="AN117" s="143"/>
      <c r="AO117" s="362"/>
      <c r="AP117" s="363"/>
      <c r="AQ117" s="363"/>
      <c r="AR117" s="363"/>
      <c r="AS117" s="363"/>
      <c r="AT117" s="363"/>
      <c r="AU117" s="362"/>
      <c r="AV117" s="362"/>
      <c r="AW117" s="364"/>
      <c r="AX117" s="272"/>
      <c r="AY117" s="272"/>
      <c r="AZ117" s="272"/>
      <c r="BA117" s="272"/>
    </row>
    <row r="118" spans="1:53" s="371" customFormat="1" ht="12.75" customHeight="1" x14ac:dyDescent="0.25">
      <c r="A118" s="1013"/>
      <c r="B118" s="299" t="s">
        <v>830</v>
      </c>
      <c r="C118" s="661"/>
      <c r="D118" s="663"/>
      <c r="E118" s="300" t="s">
        <v>1437</v>
      </c>
      <c r="F118" s="301" t="s">
        <v>1438</v>
      </c>
      <c r="G118" s="302">
        <v>0.3</v>
      </c>
      <c r="H118" s="301">
        <v>10</v>
      </c>
      <c r="I118" s="303">
        <f>G118*H118</f>
        <v>3</v>
      </c>
      <c r="J118" s="290" t="s">
        <v>1291</v>
      </c>
      <c r="K118" s="304">
        <v>2</v>
      </c>
      <c r="L118" s="305">
        <v>750</v>
      </c>
      <c r="M118" s="304">
        <v>2</v>
      </c>
      <c r="N118" s="433">
        <f>L118/'Исп. коэффициенты'!E52*C122</f>
        <v>0.14138005254135169</v>
      </c>
      <c r="O118" s="291" t="s">
        <v>1667</v>
      </c>
      <c r="P118" s="291">
        <v>4500</v>
      </c>
      <c r="Q118" s="291">
        <v>19.670000000000002</v>
      </c>
      <c r="R118" s="291">
        <v>885.15</v>
      </c>
      <c r="S118" s="295">
        <f>R118/'Исп. коэффициенты'!E52*C122</f>
        <v>0.16685673800930326</v>
      </c>
      <c r="T118" s="306" t="s">
        <v>1435</v>
      </c>
      <c r="U118" s="307">
        <v>6785401.3499999996</v>
      </c>
      <c r="V118" s="308">
        <v>1.3599999999999999E-2</v>
      </c>
      <c r="W118" s="306">
        <f>'Исп. коэффициенты'!E124</f>
        <v>2978.5</v>
      </c>
      <c r="X118" s="292">
        <f>U118*V118</f>
        <v>92281.45835999999</v>
      </c>
      <c r="Y118" s="295">
        <f>X118/'Исп. коэффициенты'!E52*C122</f>
        <v>17.395676575372477</v>
      </c>
      <c r="Z118" s="291"/>
      <c r="AA118" s="284"/>
      <c r="AB118" s="284"/>
      <c r="AC118" s="284"/>
      <c r="AD118" s="263"/>
      <c r="AE118" s="261"/>
      <c r="AF118" s="365"/>
      <c r="AG118" s="366"/>
      <c r="AH118" s="366"/>
      <c r="AI118" s="366"/>
      <c r="AJ118" s="367"/>
      <c r="AK118" s="366"/>
      <c r="AL118" s="368"/>
      <c r="AM118" s="366"/>
      <c r="AN118" s="366"/>
      <c r="AO118" s="369"/>
      <c r="AP118" s="366"/>
      <c r="AQ118" s="366"/>
      <c r="AR118" s="369"/>
      <c r="AS118" s="369"/>
      <c r="AT118" s="366"/>
      <c r="AU118" s="366"/>
      <c r="AV118" s="369"/>
      <c r="AW118" s="366"/>
      <c r="AX118" s="366"/>
      <c r="AY118" s="366"/>
      <c r="AZ118" s="366"/>
      <c r="BA118" s="366"/>
    </row>
    <row r="119" spans="1:53" s="371" customFormat="1" x14ac:dyDescent="0.25">
      <c r="A119" s="1013"/>
      <c r="B119" s="309" t="s">
        <v>1178</v>
      </c>
      <c r="C119" s="310">
        <f>C109</f>
        <v>40.401251342681022</v>
      </c>
      <c r="D119" s="663"/>
      <c r="E119" s="300" t="s">
        <v>1439</v>
      </c>
      <c r="F119" s="301" t="s">
        <v>1</v>
      </c>
      <c r="G119" s="302">
        <v>5</v>
      </c>
      <c r="H119" s="301">
        <v>0.01</v>
      </c>
      <c r="I119" s="303">
        <f>G119*H119</f>
        <v>0.05</v>
      </c>
      <c r="J119" s="290" t="s">
        <v>1445</v>
      </c>
      <c r="K119" s="292">
        <v>2</v>
      </c>
      <c r="L119" s="311">
        <v>95</v>
      </c>
      <c r="M119" s="304">
        <v>2</v>
      </c>
      <c r="N119" s="433">
        <f>L119/'Исп. коэффициенты'!E52*C122</f>
        <v>1.7908139988571214E-2</v>
      </c>
      <c r="O119" s="291" t="s">
        <v>1668</v>
      </c>
      <c r="P119" s="291">
        <v>6750</v>
      </c>
      <c r="Q119" s="291">
        <v>19.670000000000002</v>
      </c>
      <c r="R119" s="291">
        <v>1327.73</v>
      </c>
      <c r="S119" s="295">
        <f>R119/'Исп. коэффициенты'!E52*C122</f>
        <v>0.2502860495476385</v>
      </c>
      <c r="T119" s="291"/>
      <c r="U119" s="291"/>
      <c r="V119" s="291"/>
      <c r="W119" s="291"/>
      <c r="X119" s="291"/>
      <c r="Y119" s="291"/>
      <c r="Z119" s="291"/>
      <c r="AA119" s="284"/>
      <c r="AB119" s="284"/>
      <c r="AC119" s="284"/>
      <c r="AD119" s="263"/>
      <c r="AE119" s="261"/>
      <c r="AF119" s="365"/>
      <c r="AG119" s="366"/>
      <c r="AH119" s="366"/>
      <c r="AI119" s="366"/>
      <c r="AJ119" s="367"/>
      <c r="AK119" s="366"/>
      <c r="AL119" s="368"/>
      <c r="AM119" s="373"/>
      <c r="AN119" s="366"/>
      <c r="AO119" s="369"/>
      <c r="AP119" s="366"/>
      <c r="AQ119" s="366"/>
      <c r="AR119" s="369"/>
      <c r="AS119" s="369"/>
      <c r="AT119" s="366"/>
      <c r="AU119" s="366"/>
      <c r="AV119" s="369"/>
      <c r="AW119" s="366"/>
      <c r="AX119" s="366"/>
      <c r="AY119" s="366"/>
      <c r="AZ119" s="366"/>
      <c r="BA119" s="366"/>
    </row>
    <row r="120" spans="1:53" s="371" customFormat="1" ht="12.75" customHeight="1" x14ac:dyDescent="0.25">
      <c r="A120" s="1013"/>
      <c r="B120" s="286" t="s">
        <v>1179</v>
      </c>
      <c r="C120" s="661">
        <f>C110</f>
        <v>25.456644376651425</v>
      </c>
      <c r="D120" s="663"/>
      <c r="E120" s="300" t="s">
        <v>1440</v>
      </c>
      <c r="F120" s="301" t="s">
        <v>1441</v>
      </c>
      <c r="G120" s="302">
        <v>5.36</v>
      </c>
      <c r="H120" s="312">
        <v>1</v>
      </c>
      <c r="I120" s="303">
        <f>G120*H120</f>
        <v>5.36</v>
      </c>
      <c r="J120" s="290" t="s">
        <v>1513</v>
      </c>
      <c r="K120" s="292">
        <v>2</v>
      </c>
      <c r="L120" s="292">
        <v>25</v>
      </c>
      <c r="M120" s="304">
        <v>0.5</v>
      </c>
      <c r="N120" s="433">
        <f>L120/'Исп. коэффициенты'!E52*C122</f>
        <v>4.7126684180450566E-3</v>
      </c>
      <c r="O120" s="291" t="s">
        <v>1794</v>
      </c>
      <c r="P120" s="291">
        <v>117800</v>
      </c>
      <c r="Q120" s="291">
        <v>20</v>
      </c>
      <c r="R120" s="291">
        <f>P120*Q120%</f>
        <v>23560</v>
      </c>
      <c r="S120" s="295">
        <f>R120/'Исп. коэффициенты'!E52*C122</f>
        <v>4.4412187171656612</v>
      </c>
      <c r="T120" s="291"/>
      <c r="U120" s="291"/>
      <c r="V120" s="291"/>
      <c r="W120" s="291"/>
      <c r="X120" s="291"/>
      <c r="Y120" s="291"/>
      <c r="Z120" s="291"/>
      <c r="AA120" s="284"/>
      <c r="AB120" s="284"/>
      <c r="AC120" s="284"/>
      <c r="AD120" s="263"/>
      <c r="AE120" s="261"/>
      <c r="AF120" s="365"/>
      <c r="AG120" s="366"/>
      <c r="AH120" s="366"/>
      <c r="AI120" s="366"/>
      <c r="AJ120" s="367"/>
      <c r="AK120" s="366"/>
      <c r="AL120" s="368"/>
      <c r="AM120" s="366"/>
      <c r="AN120" s="366"/>
      <c r="AO120" s="369"/>
      <c r="AP120" s="366"/>
      <c r="AQ120" s="366"/>
      <c r="AR120" s="369"/>
      <c r="AS120" s="369"/>
      <c r="AT120" s="366"/>
      <c r="AU120" s="366"/>
      <c r="AV120" s="369"/>
      <c r="AW120" s="366"/>
      <c r="AX120" s="366"/>
      <c r="AY120" s="366"/>
      <c r="AZ120" s="366"/>
      <c r="BA120" s="366"/>
    </row>
    <row r="121" spans="1:53" s="371" customFormat="1" ht="12.75" customHeight="1" x14ac:dyDescent="0.25">
      <c r="A121" s="1013"/>
      <c r="B121" s="286" t="s">
        <v>831</v>
      </c>
      <c r="C121" s="313"/>
      <c r="D121" s="663"/>
      <c r="E121" s="300" t="s">
        <v>1442</v>
      </c>
      <c r="F121" s="301" t="s">
        <v>1</v>
      </c>
      <c r="G121" s="302">
        <v>0.47</v>
      </c>
      <c r="H121" s="301">
        <v>10</v>
      </c>
      <c r="I121" s="303">
        <f>G121*H121</f>
        <v>4.6999999999999993</v>
      </c>
      <c r="J121" s="290"/>
      <c r="K121" s="292"/>
      <c r="L121" s="292"/>
      <c r="M121" s="292"/>
      <c r="N121" s="292"/>
      <c r="O121" s="290"/>
      <c r="P121" s="292"/>
      <c r="Q121" s="292"/>
      <c r="R121" s="292"/>
      <c r="S121" s="292"/>
      <c r="T121" s="291"/>
      <c r="U121" s="291"/>
      <c r="V121" s="291"/>
      <c r="W121" s="291"/>
      <c r="X121" s="291"/>
      <c r="Y121" s="291"/>
      <c r="Z121" s="291"/>
      <c r="AA121" s="284"/>
      <c r="AB121" s="284"/>
      <c r="AC121" s="284"/>
      <c r="AD121" s="263"/>
      <c r="AE121" s="261"/>
      <c r="AF121" s="365"/>
      <c r="AG121" s="366"/>
      <c r="AH121" s="366"/>
      <c r="AI121" s="366"/>
      <c r="AJ121" s="367"/>
      <c r="AK121" s="366"/>
      <c r="AL121" s="368"/>
      <c r="AM121" s="366"/>
      <c r="AN121" s="366"/>
      <c r="AO121" s="369"/>
      <c r="AP121" s="366"/>
      <c r="AQ121" s="366"/>
      <c r="AR121" s="369"/>
      <c r="AS121" s="369"/>
      <c r="AT121" s="366"/>
      <c r="AU121" s="366"/>
      <c r="AV121" s="369"/>
      <c r="AW121" s="366"/>
      <c r="AX121" s="366"/>
      <c r="AY121" s="366"/>
      <c r="AZ121" s="366"/>
      <c r="BA121" s="366"/>
    </row>
    <row r="122" spans="1:53" s="371" customFormat="1" ht="12.75" customHeight="1" x14ac:dyDescent="0.25">
      <c r="A122" s="1013"/>
      <c r="B122" s="309" t="s">
        <v>1178</v>
      </c>
      <c r="C122" s="314">
        <v>2</v>
      </c>
      <c r="D122" s="663"/>
      <c r="E122" s="300"/>
      <c r="F122" s="301"/>
      <c r="G122" s="302"/>
      <c r="H122" s="301"/>
      <c r="I122" s="303"/>
      <c r="J122" s="290"/>
      <c r="K122" s="292"/>
      <c r="L122" s="292"/>
      <c r="M122" s="292"/>
      <c r="N122" s="292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84"/>
      <c r="AB122" s="284"/>
      <c r="AC122" s="284"/>
      <c r="AD122" s="263"/>
      <c r="AE122" s="261"/>
      <c r="AF122" s="365"/>
      <c r="AG122" s="366"/>
      <c r="AH122" s="366"/>
      <c r="AI122" s="366"/>
      <c r="AJ122" s="375"/>
      <c r="AK122" s="366"/>
      <c r="AL122" s="368"/>
      <c r="AM122" s="366"/>
      <c r="AN122" s="366"/>
      <c r="AO122" s="369"/>
      <c r="AP122" s="366"/>
      <c r="AQ122" s="366"/>
      <c r="AR122" s="369"/>
      <c r="AS122" s="369"/>
      <c r="AT122" s="366"/>
      <c r="AU122" s="366"/>
      <c r="AV122" s="369"/>
      <c r="AW122" s="366"/>
      <c r="AX122" s="366"/>
      <c r="AY122" s="366"/>
      <c r="AZ122" s="366"/>
      <c r="BA122" s="366"/>
    </row>
    <row r="123" spans="1:53" s="371" customFormat="1" ht="15.75" customHeight="1" x14ac:dyDescent="0.25">
      <c r="A123" s="1013"/>
      <c r="B123" s="286" t="s">
        <v>1179</v>
      </c>
      <c r="C123" s="314">
        <v>2</v>
      </c>
      <c r="D123" s="663"/>
      <c r="E123" s="300"/>
      <c r="F123" s="376"/>
      <c r="G123" s="302"/>
      <c r="H123" s="301"/>
      <c r="I123" s="303"/>
      <c r="J123" s="290"/>
      <c r="K123" s="292"/>
      <c r="L123" s="292"/>
      <c r="M123" s="292"/>
      <c r="N123" s="292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84"/>
      <c r="AB123" s="284"/>
      <c r="AC123" s="284"/>
      <c r="AD123" s="263"/>
      <c r="AE123" s="261"/>
      <c r="AF123" s="365"/>
      <c r="AG123" s="366"/>
      <c r="AH123" s="366"/>
      <c r="AI123" s="366"/>
      <c r="AJ123" s="375"/>
      <c r="AK123" s="366"/>
      <c r="AL123" s="368"/>
      <c r="AM123" s="366"/>
      <c r="AN123" s="366"/>
      <c r="AO123" s="369"/>
      <c r="AP123" s="366"/>
      <c r="AQ123" s="366"/>
      <c r="AR123" s="369"/>
      <c r="AS123" s="369"/>
      <c r="AT123" s="366"/>
      <c r="AU123" s="366"/>
      <c r="AV123" s="369"/>
      <c r="AW123" s="366"/>
      <c r="AX123" s="366"/>
      <c r="AY123" s="366"/>
      <c r="AZ123" s="366"/>
      <c r="BA123" s="366"/>
    </row>
    <row r="124" spans="1:53" s="371" customFormat="1" ht="24.75" customHeight="1" x14ac:dyDescent="0.25">
      <c r="A124" s="1013"/>
      <c r="B124" s="315" t="s">
        <v>1181</v>
      </c>
      <c r="C124" s="661">
        <f>C119*C122+C120*C123</f>
        <v>131.71579143866489</v>
      </c>
      <c r="D124" s="663"/>
      <c r="E124" s="300"/>
      <c r="F124" s="376"/>
      <c r="G124" s="302"/>
      <c r="H124" s="301"/>
      <c r="I124" s="303"/>
      <c r="J124" s="290"/>
      <c r="K124" s="374"/>
      <c r="L124" s="311"/>
      <c r="M124" s="304"/>
      <c r="N124" s="292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84"/>
      <c r="AB124" s="284"/>
      <c r="AC124" s="284"/>
      <c r="AD124" s="263"/>
      <c r="AE124" s="261"/>
      <c r="AF124" s="365"/>
      <c r="AG124" s="366"/>
      <c r="AH124" s="366"/>
      <c r="AI124" s="366"/>
      <c r="AJ124" s="367"/>
      <c r="AK124" s="366"/>
      <c r="AL124" s="368"/>
      <c r="AM124" s="366"/>
      <c r="AN124" s="366"/>
      <c r="AO124" s="369"/>
      <c r="AP124" s="366"/>
      <c r="AQ124" s="366"/>
      <c r="AR124" s="369"/>
      <c r="AS124" s="369"/>
      <c r="AT124" s="366"/>
      <c r="AU124" s="366"/>
      <c r="AV124" s="369"/>
      <c r="AW124" s="366"/>
      <c r="AX124" s="366"/>
      <c r="AY124" s="366"/>
      <c r="AZ124" s="366"/>
      <c r="BA124" s="366"/>
    </row>
    <row r="125" spans="1:53" s="371" customFormat="1" ht="13.5" customHeight="1" x14ac:dyDescent="0.25">
      <c r="A125" s="1014"/>
      <c r="B125" s="318"/>
      <c r="C125" s="314"/>
      <c r="D125" s="664"/>
      <c r="E125" s="300"/>
      <c r="F125" s="376"/>
      <c r="G125" s="302"/>
      <c r="H125" s="301"/>
      <c r="I125" s="303"/>
      <c r="J125" s="290"/>
      <c r="K125" s="374"/>
      <c r="L125" s="292"/>
      <c r="M125" s="292"/>
      <c r="N125" s="292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84"/>
      <c r="AB125" s="284"/>
      <c r="AC125" s="284"/>
      <c r="AD125" s="263"/>
      <c r="AE125" s="261"/>
      <c r="AF125" s="365"/>
      <c r="AG125" s="366"/>
      <c r="AH125" s="366"/>
      <c r="AI125" s="366"/>
      <c r="AJ125" s="375"/>
      <c r="AK125" s="366"/>
      <c r="AL125" s="368"/>
      <c r="AM125" s="366"/>
      <c r="AN125" s="366"/>
      <c r="AO125" s="369"/>
      <c r="AP125" s="366"/>
      <c r="AQ125" s="366"/>
      <c r="AR125" s="369"/>
      <c r="AS125" s="369"/>
      <c r="AT125" s="366"/>
      <c r="AU125" s="366"/>
      <c r="AV125" s="369"/>
      <c r="AW125" s="366"/>
      <c r="AX125" s="366"/>
      <c r="AY125" s="366"/>
      <c r="AZ125" s="366"/>
      <c r="BA125" s="366"/>
    </row>
  </sheetData>
  <mergeCells count="21">
    <mergeCell ref="A1:M1"/>
    <mergeCell ref="B4:C4"/>
    <mergeCell ref="E4:I5"/>
    <mergeCell ref="J4:N5"/>
    <mergeCell ref="A86:A95"/>
    <mergeCell ref="A56:A65"/>
    <mergeCell ref="A66:A75"/>
    <mergeCell ref="A46:A55"/>
    <mergeCell ref="A116:A125"/>
    <mergeCell ref="AC4:AC5"/>
    <mergeCell ref="A6:A15"/>
    <mergeCell ref="A16:A25"/>
    <mergeCell ref="A76:A85"/>
    <mergeCell ref="O4:S5"/>
    <mergeCell ref="T4:Y5"/>
    <mergeCell ref="AA4:AA5"/>
    <mergeCell ref="AB4:AB5"/>
    <mergeCell ref="A26:A35"/>
    <mergeCell ref="A36:A45"/>
    <mergeCell ref="A106:A115"/>
    <mergeCell ref="A96:A105"/>
  </mergeCells>
  <phoneticPr fontId="2" type="noConversion"/>
  <pageMargins left="0.75" right="0.75" top="1" bottom="1" header="0.5" footer="0.5"/>
  <pageSetup paperSize="9" scale="45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A210"/>
  <sheetViews>
    <sheetView topLeftCell="H1" zoomScaleNormal="100" zoomScaleSheetLayoutView="84" workbookViewId="0">
      <selection activeCell="Y7" sqref="Y7"/>
    </sheetView>
  </sheetViews>
  <sheetFormatPr defaultColWidth="9.109375" defaultRowHeight="13.2" x14ac:dyDescent="0.25"/>
  <cols>
    <col min="1" max="1" width="16.5546875" style="261" customWidth="1"/>
    <col min="2" max="2" width="14.33203125" style="331" customWidth="1"/>
    <col min="3" max="3" width="11.44140625" style="332" customWidth="1"/>
    <col min="4" max="4" width="7" style="261" customWidth="1"/>
    <col min="5" max="5" width="15.5546875" style="331" customWidth="1"/>
    <col min="6" max="6" width="6.88671875" style="261" customWidth="1"/>
    <col min="7" max="7" width="6.44140625" style="333" customWidth="1"/>
    <col min="8" max="8" width="6.109375" style="333" customWidth="1"/>
    <col min="9" max="9" width="6.6640625" style="261" customWidth="1"/>
    <col min="10" max="10" width="10.44140625" style="334" customWidth="1"/>
    <col min="11" max="11" width="6.33203125" style="260" customWidth="1"/>
    <col min="12" max="12" width="5.5546875" style="260" customWidth="1"/>
    <col min="13" max="13" width="5.33203125" style="260" customWidth="1"/>
    <col min="14" max="14" width="9.33203125" style="260" customWidth="1"/>
    <col min="15" max="15" width="13.6640625" style="260" customWidth="1"/>
    <col min="16" max="16" width="6.6640625" style="260" customWidth="1"/>
    <col min="17" max="17" width="6.33203125" style="260" customWidth="1"/>
    <col min="18" max="18" width="7.109375" style="260" customWidth="1"/>
    <col min="19" max="19" width="8.5546875" style="260" customWidth="1"/>
    <col min="20" max="20" width="13.88671875" style="260" customWidth="1"/>
    <col min="21" max="21" width="9.5546875" style="260" customWidth="1"/>
    <col min="22" max="22" width="9.6640625" style="260" customWidth="1"/>
    <col min="23" max="23" width="6.5546875" style="260" customWidth="1"/>
    <col min="24" max="24" width="8.109375" style="260" customWidth="1"/>
    <col min="25" max="25" width="10.33203125" style="260" customWidth="1"/>
    <col min="26" max="26" width="8.88671875" style="260" customWidth="1"/>
    <col min="27" max="27" width="10.5546875" style="261" hidden="1" customWidth="1"/>
    <col min="28" max="28" width="10" style="261" hidden="1" customWidth="1"/>
    <col min="29" max="29" width="9.33203125" style="579" hidden="1" customWidth="1"/>
    <col min="30" max="30" width="9.109375" style="261"/>
    <col min="31" max="31" width="10.6640625" style="261" customWidth="1"/>
    <col min="32" max="32" width="10.109375" style="262" customWidth="1"/>
    <col min="33" max="33" width="9.109375" style="263"/>
    <col min="34" max="34" width="10.6640625" style="263" customWidth="1"/>
    <col min="35" max="35" width="14.33203125" style="263" customWidth="1"/>
    <col min="36" max="36" width="7.88671875" style="263" customWidth="1"/>
    <col min="37" max="37" width="8.6640625" style="263" customWidth="1"/>
    <col min="38" max="38" width="11.33203125" style="264" customWidth="1"/>
    <col min="39" max="39" width="8" style="263" customWidth="1"/>
    <col min="40" max="40" width="11.109375" style="263" customWidth="1"/>
    <col min="41" max="41" width="8.109375" style="265" customWidth="1"/>
    <col min="42" max="42" width="14" style="263" customWidth="1"/>
    <col min="43" max="43" width="13.88671875" style="263" customWidth="1"/>
    <col min="44" max="44" width="14" style="265" customWidth="1"/>
    <col min="45" max="45" width="15.44140625" style="265" hidden="1" customWidth="1"/>
    <col min="46" max="46" width="11.33203125" style="263" hidden="1" customWidth="1"/>
    <col min="47" max="47" width="12.6640625" style="263" customWidth="1"/>
    <col min="48" max="48" width="13.6640625" style="265" customWidth="1"/>
    <col min="49" max="49" width="6.44140625" style="263" hidden="1" customWidth="1"/>
    <col min="50" max="50" width="9.5546875" style="263" customWidth="1"/>
    <col min="51" max="53" width="9.109375" style="263"/>
    <col min="54" max="16384" width="9.109375" style="261"/>
  </cols>
  <sheetData>
    <row r="1" spans="1:53" x14ac:dyDescent="0.25">
      <c r="A1" s="34"/>
      <c r="B1" s="1049" t="s">
        <v>1684</v>
      </c>
      <c r="C1" s="1050"/>
      <c r="D1" s="1050"/>
      <c r="E1" s="1050"/>
      <c r="F1" s="1051"/>
      <c r="G1" s="1051"/>
      <c r="H1" s="1051"/>
      <c r="I1" s="1051"/>
      <c r="J1" s="1051"/>
      <c r="K1" s="1051"/>
      <c r="L1" s="1051"/>
      <c r="M1" s="1051"/>
      <c r="N1" s="1051"/>
    </row>
    <row r="2" spans="1:53" s="270" customFormat="1" ht="48" customHeight="1" x14ac:dyDescent="0.25">
      <c r="A2" s="266"/>
      <c r="B2" s="1026" t="s">
        <v>487</v>
      </c>
      <c r="C2" s="1026"/>
      <c r="D2" s="268" t="s">
        <v>491</v>
      </c>
      <c r="E2" s="1027" t="s">
        <v>1164</v>
      </c>
      <c r="F2" s="1028"/>
      <c r="G2" s="1028"/>
      <c r="H2" s="1028"/>
      <c r="I2" s="1023"/>
      <c r="J2" s="1017" t="s">
        <v>1165</v>
      </c>
      <c r="K2" s="1018"/>
      <c r="L2" s="1018"/>
      <c r="M2" s="1018"/>
      <c r="N2" s="1021"/>
      <c r="O2" s="1017" t="s">
        <v>492</v>
      </c>
      <c r="P2" s="1018"/>
      <c r="Q2" s="1018"/>
      <c r="R2" s="1018"/>
      <c r="S2" s="1021"/>
      <c r="T2" s="1017" t="s">
        <v>492</v>
      </c>
      <c r="U2" s="1018"/>
      <c r="V2" s="1018"/>
      <c r="W2" s="1018"/>
      <c r="X2" s="1018"/>
      <c r="Y2" s="1021"/>
      <c r="Z2" s="269" t="s">
        <v>1166</v>
      </c>
      <c r="AA2" s="1015" t="s">
        <v>1685</v>
      </c>
      <c r="AB2" s="1015" t="s">
        <v>1167</v>
      </c>
      <c r="AC2" s="1052" t="s">
        <v>1168</v>
      </c>
      <c r="AF2" s="271"/>
      <c r="AG2" s="272"/>
      <c r="AH2" s="272"/>
      <c r="AI2" s="272"/>
      <c r="AJ2" s="272"/>
      <c r="AK2" s="272"/>
      <c r="AL2" s="273"/>
      <c r="AM2" s="272"/>
      <c r="AN2" s="272"/>
      <c r="AO2" s="274"/>
      <c r="AP2" s="272"/>
      <c r="AQ2" s="272"/>
      <c r="AR2" s="274"/>
      <c r="AS2" s="274"/>
      <c r="AT2" s="272"/>
      <c r="AU2" s="272"/>
      <c r="AV2" s="274"/>
      <c r="AW2" s="272"/>
      <c r="AX2" s="272"/>
      <c r="AY2" s="272"/>
      <c r="AZ2" s="272"/>
      <c r="BA2" s="272"/>
    </row>
    <row r="3" spans="1:53" s="270" customFormat="1" x14ac:dyDescent="0.25">
      <c r="A3" s="275"/>
      <c r="B3" s="267" t="s">
        <v>488</v>
      </c>
      <c r="C3" s="267" t="s">
        <v>1169</v>
      </c>
      <c r="D3" s="437">
        <v>0.20200000000000001</v>
      </c>
      <c r="E3" s="1029"/>
      <c r="F3" s="1030"/>
      <c r="G3" s="1030"/>
      <c r="H3" s="1030"/>
      <c r="I3" s="1024"/>
      <c r="J3" s="1019"/>
      <c r="K3" s="1020"/>
      <c r="L3" s="1020"/>
      <c r="M3" s="1020"/>
      <c r="N3" s="1022"/>
      <c r="O3" s="1019"/>
      <c r="P3" s="1020"/>
      <c r="Q3" s="1020"/>
      <c r="R3" s="1020"/>
      <c r="S3" s="1022"/>
      <c r="T3" s="1019"/>
      <c r="U3" s="1020"/>
      <c r="V3" s="1020"/>
      <c r="W3" s="1020"/>
      <c r="X3" s="1020"/>
      <c r="Y3" s="1022"/>
      <c r="Z3" s="276">
        <f>'Исп. коэффициенты'!C91</f>
        <v>1.3001876927947804</v>
      </c>
      <c r="AA3" s="1016"/>
      <c r="AB3" s="1016"/>
      <c r="AC3" s="1053"/>
      <c r="AF3" s="271"/>
      <c r="AG3" s="272"/>
      <c r="AH3" s="272"/>
      <c r="AI3" s="272"/>
      <c r="AJ3" s="272"/>
      <c r="AK3" s="272"/>
      <c r="AL3" s="273"/>
      <c r="AM3" s="272"/>
      <c r="AN3" s="272"/>
      <c r="AO3" s="274"/>
      <c r="AP3" s="272"/>
      <c r="AQ3" s="272"/>
      <c r="AR3" s="274"/>
      <c r="AS3" s="274"/>
      <c r="AT3" s="272"/>
      <c r="AU3" s="272"/>
      <c r="AV3" s="274"/>
      <c r="AW3" s="272"/>
      <c r="AX3" s="272"/>
      <c r="AY3" s="272"/>
      <c r="AZ3" s="272"/>
      <c r="BA3" s="272"/>
    </row>
    <row r="4" spans="1:53" s="270" customFormat="1" x14ac:dyDescent="0.25">
      <c r="A4" s="1054" t="s">
        <v>1687</v>
      </c>
      <c r="B4" s="1055"/>
      <c r="C4" s="1055"/>
      <c r="D4" s="1055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6"/>
      <c r="AA4" s="268"/>
      <c r="AB4" s="268"/>
      <c r="AC4" s="580"/>
      <c r="AF4" s="271"/>
      <c r="AG4" s="272"/>
      <c r="AH4" s="272"/>
      <c r="AI4" s="272"/>
      <c r="AJ4" s="272"/>
      <c r="AK4" s="272"/>
      <c r="AL4" s="273"/>
      <c r="AM4" s="272"/>
      <c r="AN4" s="272"/>
      <c r="AO4" s="274"/>
      <c r="AP4" s="272"/>
      <c r="AQ4" s="272"/>
      <c r="AR4" s="274"/>
      <c r="AS4" s="274"/>
      <c r="AT4" s="272"/>
      <c r="AU4" s="272"/>
      <c r="AV4" s="274"/>
      <c r="AW4" s="272"/>
      <c r="AX4" s="272"/>
      <c r="AY4" s="272"/>
      <c r="AZ4" s="272"/>
      <c r="BA4" s="272"/>
    </row>
    <row r="5" spans="1:53" ht="66" x14ac:dyDescent="0.25">
      <c r="A5" s="1031" t="s">
        <v>1229</v>
      </c>
      <c r="B5" s="277"/>
      <c r="C5" s="277"/>
      <c r="D5" s="277"/>
      <c r="E5" s="278" t="s">
        <v>488</v>
      </c>
      <c r="F5" s="278" t="s">
        <v>1514</v>
      </c>
      <c r="G5" s="277" t="s">
        <v>489</v>
      </c>
      <c r="H5" s="278" t="s">
        <v>1170</v>
      </c>
      <c r="I5" s="279" t="s">
        <v>1515</v>
      </c>
      <c r="J5" s="280" t="s">
        <v>1171</v>
      </c>
      <c r="K5" s="281" t="s">
        <v>490</v>
      </c>
      <c r="L5" s="281" t="s">
        <v>489</v>
      </c>
      <c r="M5" s="280" t="s">
        <v>1172</v>
      </c>
      <c r="N5" s="281" t="s">
        <v>1515</v>
      </c>
      <c r="O5" s="280" t="s">
        <v>1171</v>
      </c>
      <c r="P5" s="280" t="s">
        <v>826</v>
      </c>
      <c r="Q5" s="280" t="s">
        <v>1173</v>
      </c>
      <c r="R5" s="280" t="s">
        <v>1174</v>
      </c>
      <c r="S5" s="280" t="s">
        <v>1516</v>
      </c>
      <c r="T5" s="280" t="s">
        <v>1171</v>
      </c>
      <c r="U5" s="280" t="s">
        <v>1392</v>
      </c>
      <c r="V5" s="280" t="s">
        <v>841</v>
      </c>
      <c r="W5" s="282" t="s">
        <v>1173</v>
      </c>
      <c r="X5" s="280" t="s">
        <v>1394</v>
      </c>
      <c r="Y5" s="280" t="s">
        <v>839</v>
      </c>
      <c r="Z5" s="283"/>
      <c r="AA5" s="284"/>
      <c r="AB5" s="284"/>
      <c r="AC5" s="377"/>
    </row>
    <row r="6" spans="1:53" x14ac:dyDescent="0.25">
      <c r="A6" s="1032"/>
      <c r="B6" s="285" t="s">
        <v>1175</v>
      </c>
      <c r="C6" s="277">
        <f>C13+C14</f>
        <v>69.427211936322067</v>
      </c>
      <c r="D6" s="1035">
        <f>C6*D3</f>
        <v>14.024296811137058</v>
      </c>
      <c r="E6" s="286" t="s">
        <v>1176</v>
      </c>
      <c r="F6" s="356"/>
      <c r="G6" s="288"/>
      <c r="H6" s="288"/>
      <c r="I6" s="289">
        <f>SUM(I7:I14)</f>
        <v>5.0149999999999997</v>
      </c>
      <c r="J6" s="290" t="s">
        <v>1176</v>
      </c>
      <c r="K6" s="291"/>
      <c r="L6" s="291"/>
      <c r="M6" s="291"/>
      <c r="N6" s="433">
        <f>SUM(N7:N14)</f>
        <v>0.29549904013760064</v>
      </c>
      <c r="O6" s="291" t="s">
        <v>1176</v>
      </c>
      <c r="P6" s="291"/>
      <c r="Q6" s="293"/>
      <c r="R6" s="294"/>
      <c r="S6" s="295">
        <f>S7</f>
        <v>3.0879547798158531</v>
      </c>
      <c r="T6" s="292"/>
      <c r="U6" s="292"/>
      <c r="V6" s="292"/>
      <c r="W6" s="292"/>
      <c r="X6" s="292"/>
      <c r="Y6" s="433">
        <f>SUM(Y7:Y14)</f>
        <v>31.343772836641335</v>
      </c>
      <c r="Z6" s="296">
        <f>(C6+D6+I6+N6+S6+Y6)*Z3</f>
        <v>160.17497860176752</v>
      </c>
      <c r="AA6" s="297">
        <f>C6+D6+I6+N6+Z6+S6+Y6</f>
        <v>283.3687140058214</v>
      </c>
      <c r="AB6" s="298">
        <v>0.25</v>
      </c>
      <c r="AC6" s="358">
        <f>AA6*(1+AB6)</f>
        <v>354.21089250727675</v>
      </c>
    </row>
    <row r="7" spans="1:53" x14ac:dyDescent="0.25">
      <c r="A7" s="1032"/>
      <c r="B7" s="299" t="s">
        <v>1177</v>
      </c>
      <c r="C7" s="277"/>
      <c r="D7" s="1036"/>
      <c r="E7" s="300"/>
      <c r="F7" s="301"/>
      <c r="G7" s="302"/>
      <c r="H7" s="301"/>
      <c r="I7" s="303"/>
      <c r="J7" s="290" t="s">
        <v>1291</v>
      </c>
      <c r="K7" s="304">
        <v>2</v>
      </c>
      <c r="L7" s="305">
        <v>750</v>
      </c>
      <c r="M7" s="304">
        <v>2</v>
      </c>
      <c r="N7" s="433">
        <f>L7/'Исп. коэффициенты'!E45*C12</f>
        <v>0.25474055184275918</v>
      </c>
      <c r="O7" s="291" t="s">
        <v>1228</v>
      </c>
      <c r="P7" s="291">
        <v>46220</v>
      </c>
      <c r="Q7" s="291">
        <v>19.670000000000002</v>
      </c>
      <c r="R7" s="291">
        <v>9091.4699999999993</v>
      </c>
      <c r="S7" s="295">
        <f>R7/'Исп. коэффициенты'!E45*C12</f>
        <v>3.0879547798158531</v>
      </c>
      <c r="T7" s="306" t="s">
        <v>1435</v>
      </c>
      <c r="U7" s="307">
        <v>6785401.3499999996</v>
      </c>
      <c r="V7" s="746">
        <f>'Исп. коэффициенты'!E124</f>
        <v>2978.5</v>
      </c>
      <c r="W7" s="308">
        <v>1.3599999999999999E-2</v>
      </c>
      <c r="X7" s="292">
        <f>U7*W7</f>
        <v>92281.45835999999</v>
      </c>
      <c r="Y7" s="295">
        <f>X7/'Исп. коэффициенты'!E45*C12</f>
        <v>31.343772836641335</v>
      </c>
      <c r="Z7" s="296"/>
      <c r="AA7" s="297"/>
      <c r="AB7" s="298"/>
      <c r="AC7" s="358"/>
    </row>
    <row r="8" spans="1:53" x14ac:dyDescent="0.25">
      <c r="A8" s="1032"/>
      <c r="B8" s="309" t="s">
        <v>1178</v>
      </c>
      <c r="C8" s="310"/>
      <c r="D8" s="1036"/>
      <c r="E8" s="300" t="s">
        <v>2187</v>
      </c>
      <c r="F8" s="301" t="s">
        <v>1</v>
      </c>
      <c r="G8" s="302">
        <v>6.3E-2</v>
      </c>
      <c r="H8" s="301">
        <v>5</v>
      </c>
      <c r="I8" s="303">
        <f>G8*H8</f>
        <v>0.315</v>
      </c>
      <c r="J8" s="290" t="s">
        <v>1445</v>
      </c>
      <c r="K8" s="292">
        <v>2</v>
      </c>
      <c r="L8" s="311">
        <v>95</v>
      </c>
      <c r="M8" s="304">
        <v>2</v>
      </c>
      <c r="N8" s="433">
        <f>L8/'Исп. коэффициенты'!E45*C12</f>
        <v>3.2267136566749496E-2</v>
      </c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6"/>
      <c r="AA8" s="297"/>
      <c r="AB8" s="298"/>
      <c r="AC8" s="358"/>
    </row>
    <row r="9" spans="1:53" x14ac:dyDescent="0.25">
      <c r="A9" s="1032"/>
      <c r="B9" s="286" t="s">
        <v>1179</v>
      </c>
      <c r="C9" s="277">
        <f>'Заработная плата'!M117</f>
        <v>23.142403978774023</v>
      </c>
      <c r="D9" s="1036"/>
      <c r="E9" s="300" t="s">
        <v>2112</v>
      </c>
      <c r="F9" s="301" t="s">
        <v>1</v>
      </c>
      <c r="G9" s="302">
        <v>0.47</v>
      </c>
      <c r="H9" s="302">
        <v>10</v>
      </c>
      <c r="I9" s="303">
        <f>G9*H9</f>
        <v>4.6999999999999993</v>
      </c>
      <c r="J9" s="290" t="s">
        <v>1513</v>
      </c>
      <c r="K9" s="292">
        <v>2</v>
      </c>
      <c r="L9" s="292">
        <v>25</v>
      </c>
      <c r="M9" s="304">
        <v>0.5</v>
      </c>
      <c r="N9" s="433">
        <f>L9/'Исп. коэффициенты'!E45*C12</f>
        <v>8.4913517280919733E-3</v>
      </c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6"/>
      <c r="AA9" s="297"/>
      <c r="AB9" s="298"/>
      <c r="AC9" s="358"/>
    </row>
    <row r="10" spans="1:53" x14ac:dyDescent="0.25">
      <c r="A10" s="1032"/>
      <c r="B10" s="286" t="s">
        <v>1180</v>
      </c>
      <c r="C10" s="313"/>
      <c r="D10" s="1036"/>
      <c r="E10" s="300"/>
      <c r="F10" s="301"/>
      <c r="G10" s="302"/>
      <c r="H10" s="301"/>
      <c r="I10" s="303"/>
      <c r="J10" s="290"/>
      <c r="K10" s="292"/>
      <c r="L10" s="292"/>
      <c r="M10" s="292"/>
      <c r="N10" s="292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6"/>
      <c r="AA10" s="297"/>
      <c r="AB10" s="298"/>
      <c r="AC10" s="358"/>
    </row>
    <row r="11" spans="1:53" x14ac:dyDescent="0.25">
      <c r="A11" s="1032"/>
      <c r="B11" s="309" t="s">
        <v>1178</v>
      </c>
      <c r="C11" s="314"/>
      <c r="D11" s="1036"/>
      <c r="E11" s="300"/>
      <c r="F11" s="301"/>
      <c r="G11" s="302"/>
      <c r="H11" s="301"/>
      <c r="I11" s="303"/>
      <c r="J11" s="290"/>
      <c r="K11" s="292"/>
      <c r="L11" s="292"/>
      <c r="M11" s="292"/>
      <c r="N11" s="292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6"/>
      <c r="AA11" s="297"/>
      <c r="AB11" s="298"/>
      <c r="AC11" s="358"/>
    </row>
    <row r="12" spans="1:53" x14ac:dyDescent="0.25">
      <c r="A12" s="1032"/>
      <c r="B12" s="286" t="s">
        <v>1179</v>
      </c>
      <c r="C12" s="314">
        <v>3</v>
      </c>
      <c r="D12" s="1036"/>
      <c r="E12" s="300"/>
      <c r="F12" s="301"/>
      <c r="G12" s="302"/>
      <c r="H12" s="301"/>
      <c r="I12" s="303"/>
      <c r="J12" s="290"/>
      <c r="K12" s="292"/>
      <c r="L12" s="305"/>
      <c r="M12" s="304"/>
      <c r="N12" s="292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6"/>
      <c r="AA12" s="297"/>
      <c r="AB12" s="298"/>
      <c r="AC12" s="358"/>
    </row>
    <row r="13" spans="1:53" x14ac:dyDescent="0.25">
      <c r="A13" s="1032"/>
      <c r="B13" s="315" t="s">
        <v>1181</v>
      </c>
      <c r="C13" s="277">
        <f>C8*C11+C9*C12</f>
        <v>69.427211936322067</v>
      </c>
      <c r="D13" s="1036"/>
      <c r="E13" s="300"/>
      <c r="F13" s="376"/>
      <c r="G13" s="302"/>
      <c r="H13" s="301"/>
      <c r="I13" s="303"/>
      <c r="J13" s="290"/>
      <c r="K13" s="292"/>
      <c r="L13" s="311"/>
      <c r="M13" s="304"/>
      <c r="N13" s="292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6"/>
      <c r="AA13" s="297"/>
      <c r="AB13" s="298"/>
      <c r="AC13" s="358"/>
    </row>
    <row r="14" spans="1:53" x14ac:dyDescent="0.25">
      <c r="A14" s="1033"/>
      <c r="B14" s="318"/>
      <c r="C14" s="314"/>
      <c r="D14" s="1037"/>
      <c r="E14" s="300"/>
      <c r="F14" s="301"/>
      <c r="G14" s="302"/>
      <c r="H14" s="301"/>
      <c r="I14" s="303"/>
      <c r="J14" s="290"/>
      <c r="K14" s="292"/>
      <c r="L14" s="292"/>
      <c r="M14" s="304"/>
      <c r="N14" s="292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6"/>
      <c r="AA14" s="297"/>
      <c r="AB14" s="298"/>
      <c r="AC14" s="358"/>
    </row>
    <row r="15" spans="1:53" x14ac:dyDescent="0.25">
      <c r="A15" s="1032" t="s">
        <v>1205</v>
      </c>
      <c r="B15" s="285" t="s">
        <v>1175</v>
      </c>
      <c r="C15" s="310">
        <f>C22</f>
        <v>46.284807957548047</v>
      </c>
      <c r="D15" s="1035">
        <f>C15*D3</f>
        <v>9.3495312074247057</v>
      </c>
      <c r="E15" s="286" t="s">
        <v>1176</v>
      </c>
      <c r="F15" s="356"/>
      <c r="G15" s="288"/>
      <c r="H15" s="288"/>
      <c r="I15" s="289">
        <f>I17+I18</f>
        <v>5.0149999999999997</v>
      </c>
      <c r="J15" s="290" t="s">
        <v>1176</v>
      </c>
      <c r="K15" s="291"/>
      <c r="L15" s="291"/>
      <c r="M15" s="291"/>
      <c r="N15" s="433">
        <f>N16+N17+N18</f>
        <v>0.19699936009173374</v>
      </c>
      <c r="O15" s="291" t="s">
        <v>1176</v>
      </c>
      <c r="P15" s="291"/>
      <c r="Q15" s="293"/>
      <c r="R15" s="294"/>
      <c r="S15" s="295">
        <f>S16</f>
        <v>2.0586365198772354</v>
      </c>
      <c r="T15" s="292"/>
      <c r="U15" s="292"/>
      <c r="V15" s="292"/>
      <c r="W15" s="292"/>
      <c r="X15" s="292"/>
      <c r="Y15" s="433">
        <f>Y16</f>
        <v>20.895848557760889</v>
      </c>
      <c r="Z15" s="296">
        <f>(C15+D15+I15+N15+S15+Y15)*Z3</f>
        <v>108.95679949430028</v>
      </c>
      <c r="AA15" s="297">
        <f>C15+D15+I15+N15+Z15+S15+Y15</f>
        <v>192.75762309700292</v>
      </c>
      <c r="AB15" s="298">
        <v>0.25</v>
      </c>
      <c r="AC15" s="358">
        <f>AA15*(1+AB15)</f>
        <v>240.94702887125365</v>
      </c>
    </row>
    <row r="16" spans="1:53" x14ac:dyDescent="0.25">
      <c r="A16" s="1032"/>
      <c r="B16" s="299" t="s">
        <v>1177</v>
      </c>
      <c r="C16" s="310"/>
      <c r="D16" s="1036"/>
      <c r="E16" s="300"/>
      <c r="F16" s="301"/>
      <c r="G16" s="302"/>
      <c r="H16" s="301"/>
      <c r="I16" s="303"/>
      <c r="J16" s="290" t="s">
        <v>1291</v>
      </c>
      <c r="K16" s="304">
        <v>2</v>
      </c>
      <c r="L16" s="305">
        <v>750</v>
      </c>
      <c r="M16" s="304">
        <v>2</v>
      </c>
      <c r="N16" s="433">
        <f>L16/'Исп. коэффициенты'!E45*C21</f>
        <v>0.16982703456183945</v>
      </c>
      <c r="O16" s="291" t="s">
        <v>1228</v>
      </c>
      <c r="P16" s="291">
        <v>46220</v>
      </c>
      <c r="Q16" s="291">
        <v>19.670000000000002</v>
      </c>
      <c r="R16" s="291">
        <v>9091.4699999999993</v>
      </c>
      <c r="S16" s="295">
        <f>R16/'Исп. коэффициенты'!E45*C21</f>
        <v>2.0586365198772354</v>
      </c>
      <c r="T16" s="306" t="s">
        <v>1435</v>
      </c>
      <c r="U16" s="307">
        <v>6785401.3499999996</v>
      </c>
      <c r="V16" s="746">
        <f>'Исп. коэффициенты'!E124</f>
        <v>2978.5</v>
      </c>
      <c r="W16" s="308">
        <v>1.3599999999999999E-2</v>
      </c>
      <c r="X16" s="292">
        <f>U16*W16</f>
        <v>92281.45835999999</v>
      </c>
      <c r="Y16" s="295">
        <f>X16/'Исп. коэффициенты'!E45*C21</f>
        <v>20.895848557760889</v>
      </c>
      <c r="Z16" s="296"/>
      <c r="AA16" s="297"/>
      <c r="AB16" s="298"/>
      <c r="AC16" s="358"/>
    </row>
    <row r="17" spans="1:29" x14ac:dyDescent="0.25">
      <c r="A17" s="1032"/>
      <c r="B17" s="309" t="s">
        <v>1178</v>
      </c>
      <c r="C17" s="310"/>
      <c r="D17" s="1036"/>
      <c r="E17" s="300" t="s">
        <v>2187</v>
      </c>
      <c r="F17" s="301" t="s">
        <v>1</v>
      </c>
      <c r="G17" s="302">
        <v>6.3E-2</v>
      </c>
      <c r="H17" s="301">
        <v>5</v>
      </c>
      <c r="I17" s="303">
        <f>G17*H17</f>
        <v>0.315</v>
      </c>
      <c r="J17" s="290" t="s">
        <v>1445</v>
      </c>
      <c r="K17" s="292">
        <v>2</v>
      </c>
      <c r="L17" s="311">
        <v>95</v>
      </c>
      <c r="M17" s="304">
        <v>2</v>
      </c>
      <c r="N17" s="433">
        <f>L17/'Исп. коэффициенты'!E45*C21</f>
        <v>2.1511424377832999E-2</v>
      </c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6"/>
      <c r="AA17" s="297"/>
      <c r="AB17" s="298"/>
      <c r="AC17" s="358"/>
    </row>
    <row r="18" spans="1:29" x14ac:dyDescent="0.25">
      <c r="A18" s="1032"/>
      <c r="B18" s="286" t="s">
        <v>1179</v>
      </c>
      <c r="C18" s="310">
        <f>C9</f>
        <v>23.142403978774023</v>
      </c>
      <c r="D18" s="1036"/>
      <c r="E18" s="300" t="s">
        <v>2112</v>
      </c>
      <c r="F18" s="301" t="s">
        <v>1</v>
      </c>
      <c r="G18" s="302">
        <v>0.47</v>
      </c>
      <c r="H18" s="302">
        <v>10</v>
      </c>
      <c r="I18" s="303">
        <f>G18*H18</f>
        <v>4.6999999999999993</v>
      </c>
      <c r="J18" s="290" t="s">
        <v>1513</v>
      </c>
      <c r="K18" s="292">
        <v>2</v>
      </c>
      <c r="L18" s="292">
        <v>25</v>
      </c>
      <c r="M18" s="304">
        <v>0.5</v>
      </c>
      <c r="N18" s="433">
        <f>L18/'Исп. коэффициенты'!E45*C21</f>
        <v>5.6609011520613152E-3</v>
      </c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6"/>
      <c r="AA18" s="297"/>
      <c r="AB18" s="298"/>
      <c r="AC18" s="358"/>
    </row>
    <row r="19" spans="1:29" x14ac:dyDescent="0.25">
      <c r="A19" s="1032"/>
      <c r="B19" s="286" t="s">
        <v>1180</v>
      </c>
      <c r="C19" s="310"/>
      <c r="D19" s="1036"/>
      <c r="E19" s="300"/>
      <c r="F19" s="301"/>
      <c r="G19" s="302"/>
      <c r="H19" s="301"/>
      <c r="I19" s="303"/>
      <c r="J19" s="290"/>
      <c r="K19" s="292"/>
      <c r="L19" s="292"/>
      <c r="M19" s="292"/>
      <c r="N19" s="292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6"/>
      <c r="AA19" s="297"/>
      <c r="AB19" s="298"/>
      <c r="AC19" s="358"/>
    </row>
    <row r="20" spans="1:29" x14ac:dyDescent="0.25">
      <c r="A20" s="1032"/>
      <c r="B20" s="309" t="s">
        <v>1178</v>
      </c>
      <c r="C20" s="310"/>
      <c r="D20" s="1036"/>
      <c r="E20" s="300"/>
      <c r="F20" s="301"/>
      <c r="G20" s="302"/>
      <c r="H20" s="301"/>
      <c r="I20" s="303"/>
      <c r="J20" s="290"/>
      <c r="K20" s="292"/>
      <c r="L20" s="292"/>
      <c r="M20" s="292"/>
      <c r="N20" s="292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6"/>
      <c r="AA20" s="297"/>
      <c r="AB20" s="298"/>
      <c r="AC20" s="358"/>
    </row>
    <row r="21" spans="1:29" x14ac:dyDescent="0.25">
      <c r="A21" s="1032"/>
      <c r="B21" s="286" t="s">
        <v>1179</v>
      </c>
      <c r="C21" s="310">
        <v>2</v>
      </c>
      <c r="D21" s="1036"/>
      <c r="E21" s="300"/>
      <c r="F21" s="301"/>
      <c r="G21" s="302"/>
      <c r="H21" s="301"/>
      <c r="I21" s="303"/>
      <c r="J21" s="290"/>
      <c r="K21" s="292"/>
      <c r="L21" s="305"/>
      <c r="M21" s="304"/>
      <c r="N21" s="292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6"/>
      <c r="AA21" s="297"/>
      <c r="AB21" s="298"/>
      <c r="AC21" s="358"/>
    </row>
    <row r="22" spans="1:29" x14ac:dyDescent="0.25">
      <c r="A22" s="1032"/>
      <c r="B22" s="315" t="s">
        <v>1181</v>
      </c>
      <c r="C22" s="310">
        <f>C17*C20+C18*C21</f>
        <v>46.284807957548047</v>
      </c>
      <c r="D22" s="1037"/>
      <c r="E22" s="300"/>
      <c r="F22" s="376"/>
      <c r="G22" s="302"/>
      <c r="H22" s="301"/>
      <c r="I22" s="303"/>
      <c r="J22" s="290"/>
      <c r="K22" s="292"/>
      <c r="L22" s="311"/>
      <c r="M22" s="304"/>
      <c r="N22" s="292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6"/>
      <c r="AA22" s="297"/>
      <c r="AB22" s="298"/>
      <c r="AC22" s="358"/>
    </row>
    <row r="23" spans="1:29" x14ac:dyDescent="0.25">
      <c r="A23" s="1031" t="s">
        <v>1207</v>
      </c>
      <c r="B23" s="285" t="s">
        <v>1175</v>
      </c>
      <c r="C23" s="277">
        <f>C30+C31</f>
        <v>46.284807957548047</v>
      </c>
      <c r="D23" s="1034">
        <f>C23*D3</f>
        <v>9.3495312074247057</v>
      </c>
      <c r="E23" s="286" t="s">
        <v>1176</v>
      </c>
      <c r="F23" s="356"/>
      <c r="G23" s="288"/>
      <c r="H23" s="288"/>
      <c r="I23" s="289">
        <f>SUM(I24:I31)</f>
        <v>5.0149999999999997</v>
      </c>
      <c r="J23" s="290" t="s">
        <v>1176</v>
      </c>
      <c r="K23" s="291"/>
      <c r="L23" s="291"/>
      <c r="M23" s="291"/>
      <c r="N23" s="433">
        <f>SUM(N24:N31)</f>
        <v>0.19699936009173374</v>
      </c>
      <c r="O23" s="291" t="s">
        <v>1176</v>
      </c>
      <c r="P23" s="291"/>
      <c r="Q23" s="293"/>
      <c r="R23" s="294"/>
      <c r="S23" s="295">
        <f>S24</f>
        <v>2.0586365198772354</v>
      </c>
      <c r="T23" s="292"/>
      <c r="U23" s="292"/>
      <c r="V23" s="292"/>
      <c r="W23" s="292"/>
      <c r="X23" s="292"/>
      <c r="Y23" s="433">
        <f>SUM(Y24:Y31)</f>
        <v>20.895848557760889</v>
      </c>
      <c r="Z23" s="296">
        <f>(C23+D23+I23+N23+S23+Y23)*Z3</f>
        <v>108.95679949430028</v>
      </c>
      <c r="AA23" s="297">
        <f>Z23+N23+C23+I23+D23+Y23+S23</f>
        <v>192.75762309700292</v>
      </c>
      <c r="AB23" s="298">
        <v>0.25</v>
      </c>
      <c r="AC23" s="358">
        <f>AA23*(1+AB23)</f>
        <v>240.94702887125365</v>
      </c>
    </row>
    <row r="24" spans="1:29" x14ac:dyDescent="0.25">
      <c r="A24" s="1044"/>
      <c r="B24" s="320" t="s">
        <v>1177</v>
      </c>
      <c r="C24" s="321"/>
      <c r="D24" s="1046"/>
      <c r="E24" s="300"/>
      <c r="F24" s="301"/>
      <c r="G24" s="302"/>
      <c r="H24" s="301"/>
      <c r="I24" s="303"/>
      <c r="J24" s="290" t="s">
        <v>1291</v>
      </c>
      <c r="K24" s="304">
        <v>2</v>
      </c>
      <c r="L24" s="305">
        <v>750</v>
      </c>
      <c r="M24" s="304">
        <v>2</v>
      </c>
      <c r="N24" s="433">
        <f>L24/'Исп. коэффициенты'!E45*C29</f>
        <v>0.16982703456183945</v>
      </c>
      <c r="O24" s="291" t="s">
        <v>1228</v>
      </c>
      <c r="P24" s="291">
        <v>46220</v>
      </c>
      <c r="Q24" s="291">
        <v>19.670000000000002</v>
      </c>
      <c r="R24" s="291">
        <v>9091.4699999999993</v>
      </c>
      <c r="S24" s="295">
        <f>R24/'Исп. коэффициенты'!E45*C29</f>
        <v>2.0586365198772354</v>
      </c>
      <c r="T24" s="306" t="s">
        <v>1435</v>
      </c>
      <c r="U24" s="307">
        <v>6785401.3499999996</v>
      </c>
      <c r="V24" s="746">
        <f>'Исп. коэффициенты'!E124</f>
        <v>2978.5</v>
      </c>
      <c r="W24" s="308">
        <v>1.3599999999999999E-2</v>
      </c>
      <c r="X24" s="292">
        <f>U24*W24</f>
        <v>92281.45835999999</v>
      </c>
      <c r="Y24" s="295">
        <f>X24/'Исп. коэффициенты'!E45*C29</f>
        <v>20.895848557760889</v>
      </c>
      <c r="Z24" s="296"/>
      <c r="AA24" s="297"/>
      <c r="AB24" s="298"/>
      <c r="AC24" s="358"/>
    </row>
    <row r="25" spans="1:29" x14ac:dyDescent="0.25">
      <c r="A25" s="1044"/>
      <c r="B25" s="322" t="s">
        <v>1178</v>
      </c>
      <c r="C25" s="323"/>
      <c r="D25" s="1046"/>
      <c r="E25" s="300" t="s">
        <v>2187</v>
      </c>
      <c r="F25" s="301" t="s">
        <v>1</v>
      </c>
      <c r="G25" s="302">
        <v>6.3E-2</v>
      </c>
      <c r="H25" s="301">
        <v>5</v>
      </c>
      <c r="I25" s="303">
        <f>G25*H25</f>
        <v>0.315</v>
      </c>
      <c r="J25" s="290" t="s">
        <v>1445</v>
      </c>
      <c r="K25" s="292">
        <v>2</v>
      </c>
      <c r="L25" s="311">
        <v>95</v>
      </c>
      <c r="M25" s="304">
        <v>2</v>
      </c>
      <c r="N25" s="433">
        <f>L25/'Исп. коэффициенты'!E45*C29</f>
        <v>2.1511424377832999E-2</v>
      </c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6"/>
      <c r="AA25" s="297"/>
      <c r="AB25" s="298"/>
      <c r="AC25" s="358"/>
    </row>
    <row r="26" spans="1:29" x14ac:dyDescent="0.25">
      <c r="A26" s="1044"/>
      <c r="B26" s="324" t="s">
        <v>1179</v>
      </c>
      <c r="C26" s="321">
        <f>C18</f>
        <v>23.142403978774023</v>
      </c>
      <c r="D26" s="1046"/>
      <c r="E26" s="300" t="s">
        <v>2112</v>
      </c>
      <c r="F26" s="301" t="s">
        <v>1</v>
      </c>
      <c r="G26" s="302">
        <v>0.47</v>
      </c>
      <c r="H26" s="302">
        <v>10</v>
      </c>
      <c r="I26" s="303">
        <f>G26*H26</f>
        <v>4.6999999999999993</v>
      </c>
      <c r="J26" s="290" t="s">
        <v>1513</v>
      </c>
      <c r="K26" s="292">
        <v>2</v>
      </c>
      <c r="L26" s="292">
        <v>25</v>
      </c>
      <c r="M26" s="304">
        <v>0.5</v>
      </c>
      <c r="N26" s="433">
        <f>L26/'Исп. коэффициенты'!E45*C29</f>
        <v>5.6609011520613152E-3</v>
      </c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6"/>
      <c r="AA26" s="297"/>
      <c r="AB26" s="298"/>
      <c r="AC26" s="358"/>
    </row>
    <row r="27" spans="1:29" x14ac:dyDescent="0.25">
      <c r="A27" s="1044"/>
      <c r="B27" s="324" t="s">
        <v>1180</v>
      </c>
      <c r="C27" s="325"/>
      <c r="D27" s="1046"/>
      <c r="E27" s="300"/>
      <c r="F27" s="301"/>
      <c r="G27" s="302"/>
      <c r="H27" s="301"/>
      <c r="I27" s="303"/>
      <c r="J27" s="290"/>
      <c r="K27" s="292"/>
      <c r="L27" s="292"/>
      <c r="M27" s="292"/>
      <c r="N27" s="292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6"/>
      <c r="AA27" s="297"/>
      <c r="AB27" s="298"/>
      <c r="AC27" s="358"/>
    </row>
    <row r="28" spans="1:29" x14ac:dyDescent="0.25">
      <c r="A28" s="1044"/>
      <c r="B28" s="322" t="s">
        <v>1178</v>
      </c>
      <c r="C28" s="326"/>
      <c r="D28" s="1046"/>
      <c r="E28" s="300"/>
      <c r="F28" s="301"/>
      <c r="G28" s="302"/>
      <c r="H28" s="301"/>
      <c r="I28" s="303"/>
      <c r="J28" s="290"/>
      <c r="K28" s="292"/>
      <c r="L28" s="292"/>
      <c r="M28" s="292"/>
      <c r="N28" s="292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6"/>
      <c r="AA28" s="297"/>
      <c r="AB28" s="298"/>
      <c r="AC28" s="358"/>
    </row>
    <row r="29" spans="1:29" x14ac:dyDescent="0.25">
      <c r="A29" s="1044"/>
      <c r="B29" s="324" t="s">
        <v>1179</v>
      </c>
      <c r="C29" s="326">
        <v>2</v>
      </c>
      <c r="D29" s="1046"/>
      <c r="E29" s="300"/>
      <c r="F29" s="301"/>
      <c r="G29" s="302"/>
      <c r="H29" s="301"/>
      <c r="I29" s="303"/>
      <c r="J29" s="290"/>
      <c r="K29" s="292"/>
      <c r="L29" s="305"/>
      <c r="M29" s="304"/>
      <c r="N29" s="292"/>
      <c r="O29" s="291"/>
      <c r="P29" s="291"/>
      <c r="Q29" s="291"/>
      <c r="R29" s="291"/>
      <c r="S29" s="291"/>
      <c r="T29" s="291"/>
      <c r="U29" s="291"/>
      <c r="V29" s="291"/>
      <c r="W29" s="291"/>
      <c r="X29" s="291"/>
      <c r="Y29" s="291"/>
      <c r="Z29" s="296"/>
      <c r="AA29" s="297"/>
      <c r="AB29" s="298"/>
      <c r="AC29" s="358"/>
    </row>
    <row r="30" spans="1:29" x14ac:dyDescent="0.25">
      <c r="A30" s="1044"/>
      <c r="B30" s="327" t="s">
        <v>1181</v>
      </c>
      <c r="C30" s="321">
        <f>C25*C28+C26*C29</f>
        <v>46.284807957548047</v>
      </c>
      <c r="D30" s="1046"/>
      <c r="E30" s="300"/>
      <c r="F30" s="376"/>
      <c r="G30" s="302"/>
      <c r="H30" s="301"/>
      <c r="I30" s="303"/>
      <c r="J30" s="290"/>
      <c r="K30" s="292"/>
      <c r="L30" s="311"/>
      <c r="M30" s="304"/>
      <c r="N30" s="292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6"/>
      <c r="AA30" s="297"/>
      <c r="AB30" s="298"/>
      <c r="AC30" s="358"/>
    </row>
    <row r="31" spans="1:29" x14ac:dyDescent="0.25">
      <c r="A31" s="1045"/>
      <c r="B31" s="318"/>
      <c r="C31" s="314"/>
      <c r="D31" s="1034"/>
      <c r="E31" s="300"/>
      <c r="F31" s="301"/>
      <c r="G31" s="302"/>
      <c r="H31" s="301"/>
      <c r="I31" s="303"/>
      <c r="J31" s="290"/>
      <c r="K31" s="292"/>
      <c r="L31" s="292"/>
      <c r="M31" s="304"/>
      <c r="N31" s="292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6"/>
      <c r="AA31" s="297"/>
      <c r="AB31" s="298"/>
      <c r="AC31" s="358"/>
    </row>
    <row r="32" spans="1:29" x14ac:dyDescent="0.25">
      <c r="A32" s="1031" t="s">
        <v>1206</v>
      </c>
      <c r="B32" s="285" t="s">
        <v>1175</v>
      </c>
      <c r="C32" s="310">
        <f>C39</f>
        <v>57.85600994693506</v>
      </c>
      <c r="D32" s="1035">
        <f>C32*D3</f>
        <v>11.686914009280883</v>
      </c>
      <c r="E32" s="286" t="s">
        <v>1176</v>
      </c>
      <c r="F32" s="356"/>
      <c r="G32" s="288"/>
      <c r="H32" s="288"/>
      <c r="I32" s="289">
        <f>I34+I35</f>
        <v>5.0149999999999997</v>
      </c>
      <c r="J32" s="290" t="s">
        <v>1176</v>
      </c>
      <c r="K32" s="291"/>
      <c r="L32" s="291"/>
      <c r="M32" s="291"/>
      <c r="N32" s="433">
        <f>N33+N34+N35</f>
        <v>0.24624920011466722</v>
      </c>
      <c r="O32" s="291" t="s">
        <v>1176</v>
      </c>
      <c r="P32" s="291"/>
      <c r="Q32" s="293"/>
      <c r="R32" s="294"/>
      <c r="S32" s="295">
        <f>S33</f>
        <v>2.5732956498465445</v>
      </c>
      <c r="T32" s="292"/>
      <c r="U32" s="292"/>
      <c r="V32" s="292"/>
      <c r="W32" s="292"/>
      <c r="X32" s="292"/>
      <c r="Y32" s="433">
        <f>Y33</f>
        <v>26.11981069720111</v>
      </c>
      <c r="Z32" s="296">
        <f>(C32+D32+I32+N32+S32+Y32)*Z3</f>
        <v>134.56588904803388</v>
      </c>
      <c r="AA32" s="297">
        <f>Z32+N32+C32+I32+D32+Y32+S32</f>
        <v>238.06316855141216</v>
      </c>
      <c r="AB32" s="298">
        <v>0.25</v>
      </c>
      <c r="AC32" s="358">
        <f>AA32*(1+AB32)</f>
        <v>297.57896068926522</v>
      </c>
    </row>
    <row r="33" spans="1:29" x14ac:dyDescent="0.25">
      <c r="A33" s="1032"/>
      <c r="B33" s="299" t="s">
        <v>1177</v>
      </c>
      <c r="C33" s="310"/>
      <c r="D33" s="1036"/>
      <c r="E33" s="300"/>
      <c r="F33" s="301"/>
      <c r="G33" s="302"/>
      <c r="H33" s="301"/>
      <c r="I33" s="303"/>
      <c r="J33" s="290" t="s">
        <v>1291</v>
      </c>
      <c r="K33" s="304">
        <v>2</v>
      </c>
      <c r="L33" s="305">
        <v>750</v>
      </c>
      <c r="M33" s="304">
        <v>2</v>
      </c>
      <c r="N33" s="433">
        <f>L33/'Исп. коэффициенты'!E45*C38</f>
        <v>0.21228379320229931</v>
      </c>
      <c r="O33" s="291" t="s">
        <v>1228</v>
      </c>
      <c r="P33" s="291">
        <v>46220</v>
      </c>
      <c r="Q33" s="291">
        <v>19.670000000000002</v>
      </c>
      <c r="R33" s="291">
        <v>9091.4699999999993</v>
      </c>
      <c r="S33" s="295">
        <f>R33/'Исп. коэффициенты'!E45*C38</f>
        <v>2.5732956498465445</v>
      </c>
      <c r="T33" s="306" t="s">
        <v>1435</v>
      </c>
      <c r="U33" s="307">
        <v>6785401.3499999996</v>
      </c>
      <c r="V33" s="746">
        <f>'Исп. коэффициенты'!E124</f>
        <v>2978.5</v>
      </c>
      <c r="W33" s="308">
        <v>1.3599999999999999E-2</v>
      </c>
      <c r="X33" s="292">
        <f>U33*W33</f>
        <v>92281.45835999999</v>
      </c>
      <c r="Y33" s="295">
        <f>X33/'Исп. коэффициенты'!E45*C38</f>
        <v>26.11981069720111</v>
      </c>
      <c r="Z33" s="296"/>
      <c r="AA33" s="297"/>
      <c r="AB33" s="298"/>
      <c r="AC33" s="358"/>
    </row>
    <row r="34" spans="1:29" x14ac:dyDescent="0.25">
      <c r="A34" s="1032"/>
      <c r="B34" s="309" t="s">
        <v>1178</v>
      </c>
      <c r="C34" s="310"/>
      <c r="D34" s="1036"/>
      <c r="E34" s="300" t="s">
        <v>2187</v>
      </c>
      <c r="F34" s="301" t="s">
        <v>1</v>
      </c>
      <c r="G34" s="302">
        <v>6.3E-2</v>
      </c>
      <c r="H34" s="301">
        <v>5</v>
      </c>
      <c r="I34" s="303">
        <f>G34*H34</f>
        <v>0.315</v>
      </c>
      <c r="J34" s="290" t="s">
        <v>1445</v>
      </c>
      <c r="K34" s="292">
        <v>2</v>
      </c>
      <c r="L34" s="311">
        <v>95</v>
      </c>
      <c r="M34" s="304">
        <v>2</v>
      </c>
      <c r="N34" s="433">
        <f>L34/'Исп. коэффициенты'!E45*C38</f>
        <v>2.6889280472291249E-2</v>
      </c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6"/>
      <c r="AA34" s="297"/>
      <c r="AB34" s="298"/>
      <c r="AC34" s="358"/>
    </row>
    <row r="35" spans="1:29" x14ac:dyDescent="0.25">
      <c r="A35" s="1032"/>
      <c r="B35" s="286" t="s">
        <v>1179</v>
      </c>
      <c r="C35" s="310">
        <f>C26</f>
        <v>23.142403978774023</v>
      </c>
      <c r="D35" s="1036"/>
      <c r="E35" s="300" t="s">
        <v>2112</v>
      </c>
      <c r="F35" s="301" t="s">
        <v>1</v>
      </c>
      <c r="G35" s="302">
        <v>0.47</v>
      </c>
      <c r="H35" s="302">
        <v>10</v>
      </c>
      <c r="I35" s="303">
        <f>G35*H35</f>
        <v>4.6999999999999993</v>
      </c>
      <c r="J35" s="290" t="s">
        <v>1513</v>
      </c>
      <c r="K35" s="292">
        <v>2</v>
      </c>
      <c r="L35" s="292">
        <v>25</v>
      </c>
      <c r="M35" s="304">
        <v>0.5</v>
      </c>
      <c r="N35" s="433">
        <f>L35/'Исп. коэффициенты'!E45*C38</f>
        <v>7.0761264400766438E-3</v>
      </c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6"/>
      <c r="AA35" s="297"/>
      <c r="AB35" s="298"/>
      <c r="AC35" s="358"/>
    </row>
    <row r="36" spans="1:29" x14ac:dyDescent="0.25">
      <c r="A36" s="1032"/>
      <c r="B36" s="286" t="s">
        <v>1180</v>
      </c>
      <c r="C36" s="310"/>
      <c r="D36" s="1036"/>
      <c r="E36" s="300"/>
      <c r="F36" s="301"/>
      <c r="G36" s="302"/>
      <c r="H36" s="301"/>
      <c r="I36" s="303"/>
      <c r="J36" s="290"/>
      <c r="K36" s="292"/>
      <c r="L36" s="292"/>
      <c r="M36" s="292"/>
      <c r="N36" s="292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6"/>
      <c r="AA36" s="297"/>
      <c r="AB36" s="298"/>
      <c r="AC36" s="358"/>
    </row>
    <row r="37" spans="1:29" x14ac:dyDescent="0.25">
      <c r="A37" s="1032"/>
      <c r="B37" s="309" t="s">
        <v>1178</v>
      </c>
      <c r="C37" s="310"/>
      <c r="D37" s="1036"/>
      <c r="E37" s="300"/>
      <c r="F37" s="301"/>
      <c r="G37" s="302"/>
      <c r="H37" s="301"/>
      <c r="I37" s="303"/>
      <c r="J37" s="290"/>
      <c r="K37" s="292"/>
      <c r="L37" s="292"/>
      <c r="M37" s="292"/>
      <c r="N37" s="292"/>
      <c r="O37" s="291"/>
      <c r="P37" s="291"/>
      <c r="Q37" s="291"/>
      <c r="R37" s="291"/>
      <c r="S37" s="291"/>
      <c r="T37" s="291"/>
      <c r="U37" s="291"/>
      <c r="V37" s="291"/>
      <c r="W37" s="291"/>
      <c r="X37" s="291"/>
      <c r="Y37" s="291"/>
      <c r="Z37" s="296"/>
      <c r="AA37" s="297"/>
      <c r="AB37" s="298"/>
      <c r="AC37" s="358"/>
    </row>
    <row r="38" spans="1:29" x14ac:dyDescent="0.25">
      <c r="A38" s="1032"/>
      <c r="B38" s="286" t="s">
        <v>1179</v>
      </c>
      <c r="C38" s="310">
        <v>2.5</v>
      </c>
      <c r="D38" s="1036"/>
      <c r="E38" s="300"/>
      <c r="F38" s="301"/>
      <c r="G38" s="302"/>
      <c r="H38" s="301"/>
      <c r="I38" s="303"/>
      <c r="J38" s="290"/>
      <c r="K38" s="292"/>
      <c r="L38" s="305"/>
      <c r="M38" s="304"/>
      <c r="N38" s="292"/>
      <c r="O38" s="291"/>
      <c r="P38" s="291"/>
      <c r="Q38" s="291"/>
      <c r="R38" s="291"/>
      <c r="S38" s="291"/>
      <c r="T38" s="291"/>
      <c r="U38" s="291"/>
      <c r="V38" s="291"/>
      <c r="W38" s="291"/>
      <c r="X38" s="291"/>
      <c r="Y38" s="291"/>
      <c r="Z38" s="296"/>
      <c r="AA38" s="297"/>
      <c r="AB38" s="298"/>
      <c r="AC38" s="358"/>
    </row>
    <row r="39" spans="1:29" x14ac:dyDescent="0.25">
      <c r="A39" s="1032"/>
      <c r="B39" s="315" t="s">
        <v>1181</v>
      </c>
      <c r="C39" s="310">
        <f>C34*C37+C35*C38</f>
        <v>57.85600994693506</v>
      </c>
      <c r="D39" s="1037"/>
      <c r="E39" s="300"/>
      <c r="F39" s="376"/>
      <c r="G39" s="302"/>
      <c r="H39" s="301"/>
      <c r="I39" s="303"/>
      <c r="J39" s="290"/>
      <c r="K39" s="292"/>
      <c r="L39" s="311"/>
      <c r="M39" s="304"/>
      <c r="N39" s="292"/>
      <c r="O39" s="291"/>
      <c r="P39" s="291"/>
      <c r="Q39" s="291"/>
      <c r="R39" s="291"/>
      <c r="S39" s="291"/>
      <c r="T39" s="291"/>
      <c r="U39" s="291"/>
      <c r="V39" s="291"/>
      <c r="W39" s="291"/>
      <c r="X39" s="291"/>
      <c r="Y39" s="291"/>
      <c r="Z39" s="296"/>
      <c r="AA39" s="297"/>
      <c r="AB39" s="298"/>
      <c r="AC39" s="358"/>
    </row>
    <row r="40" spans="1:29" x14ac:dyDescent="0.25">
      <c r="A40" s="1031" t="s">
        <v>1208</v>
      </c>
      <c r="B40" s="285" t="s">
        <v>1175</v>
      </c>
      <c r="C40" s="310">
        <f>C47</f>
        <v>46.284807957548047</v>
      </c>
      <c r="D40" s="1035">
        <f>C40*D3</f>
        <v>9.3495312074247057</v>
      </c>
      <c r="E40" s="286" t="s">
        <v>1176</v>
      </c>
      <c r="F40" s="356"/>
      <c r="G40" s="288"/>
      <c r="H40" s="288"/>
      <c r="I40" s="289">
        <f>SUM(I41:I48)</f>
        <v>5.0149999999999997</v>
      </c>
      <c r="J40" s="290" t="s">
        <v>1176</v>
      </c>
      <c r="K40" s="291"/>
      <c r="L40" s="291"/>
      <c r="M40" s="291"/>
      <c r="N40" s="433">
        <f>SUM(N41:N48)</f>
        <v>0.19699936009173374</v>
      </c>
      <c r="O40" s="291" t="s">
        <v>1176</v>
      </c>
      <c r="P40" s="291"/>
      <c r="Q40" s="293"/>
      <c r="R40" s="294"/>
      <c r="S40" s="295">
        <f>S41</f>
        <v>2.0586365198772354</v>
      </c>
      <c r="T40" s="292"/>
      <c r="U40" s="292"/>
      <c r="V40" s="292"/>
      <c r="W40" s="292"/>
      <c r="X40" s="292"/>
      <c r="Y40" s="433">
        <f>SUM(Y41:Y48)</f>
        <v>20.895848557760889</v>
      </c>
      <c r="Z40" s="296">
        <f>(C40+D40+I40+N40+S40+Y40)*Z3</f>
        <v>108.95679949430028</v>
      </c>
      <c r="AA40" s="297">
        <f>Z40+N40+C40+I40+D40+Y40+S40</f>
        <v>192.75762309700292</v>
      </c>
      <c r="AB40" s="298">
        <v>0.25</v>
      </c>
      <c r="AC40" s="358">
        <f>AA40*(1+AB40)</f>
        <v>240.94702887125365</v>
      </c>
    </row>
    <row r="41" spans="1:29" x14ac:dyDescent="0.25">
      <c r="A41" s="1032"/>
      <c r="B41" s="299" t="s">
        <v>1177</v>
      </c>
      <c r="C41" s="310"/>
      <c r="D41" s="1036"/>
      <c r="E41" s="300"/>
      <c r="F41" s="301"/>
      <c r="G41" s="302"/>
      <c r="H41" s="301"/>
      <c r="I41" s="303"/>
      <c r="J41" s="290" t="s">
        <v>1291</v>
      </c>
      <c r="K41" s="304">
        <v>2</v>
      </c>
      <c r="L41" s="305">
        <v>750</v>
      </c>
      <c r="M41" s="304">
        <v>2</v>
      </c>
      <c r="N41" s="433">
        <f>L41/'Исп. коэффициенты'!E45*C46</f>
        <v>0.16982703456183945</v>
      </c>
      <c r="O41" s="291" t="s">
        <v>1228</v>
      </c>
      <c r="P41" s="291">
        <v>46220</v>
      </c>
      <c r="Q41" s="291">
        <v>19.670000000000002</v>
      </c>
      <c r="R41" s="291">
        <v>9091.4699999999993</v>
      </c>
      <c r="S41" s="295">
        <f>R41/'Исп. коэффициенты'!E45*C46</f>
        <v>2.0586365198772354</v>
      </c>
      <c r="T41" s="306" t="s">
        <v>1435</v>
      </c>
      <c r="U41" s="307">
        <v>6785401.3499999996</v>
      </c>
      <c r="V41" s="746">
        <f>'Исп. коэффициенты'!E124</f>
        <v>2978.5</v>
      </c>
      <c r="W41" s="308">
        <v>1.3599999999999999E-2</v>
      </c>
      <c r="X41" s="292">
        <f>U41*W41</f>
        <v>92281.45835999999</v>
      </c>
      <c r="Y41" s="295">
        <f>X41/'Исп. коэффициенты'!E45*C46</f>
        <v>20.895848557760889</v>
      </c>
      <c r="Z41" s="296"/>
      <c r="AA41" s="297"/>
      <c r="AB41" s="298"/>
      <c r="AC41" s="358"/>
    </row>
    <row r="42" spans="1:29" x14ac:dyDescent="0.25">
      <c r="A42" s="1032"/>
      <c r="B42" s="309" t="s">
        <v>1178</v>
      </c>
      <c r="C42" s="310"/>
      <c r="D42" s="1036"/>
      <c r="E42" s="300" t="s">
        <v>2187</v>
      </c>
      <c r="F42" s="301" t="s">
        <v>1</v>
      </c>
      <c r="G42" s="302">
        <v>6.3E-2</v>
      </c>
      <c r="H42" s="301">
        <v>5</v>
      </c>
      <c r="I42" s="303">
        <f>G42*H42</f>
        <v>0.315</v>
      </c>
      <c r="J42" s="290" t="s">
        <v>1445</v>
      </c>
      <c r="K42" s="292">
        <v>2</v>
      </c>
      <c r="L42" s="311">
        <v>95</v>
      </c>
      <c r="M42" s="304">
        <v>2</v>
      </c>
      <c r="N42" s="433">
        <f>L42/'Исп. коэффициенты'!E45*C46</f>
        <v>2.1511424377832999E-2</v>
      </c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6"/>
      <c r="AA42" s="297"/>
      <c r="AB42" s="298"/>
      <c r="AC42" s="358"/>
    </row>
    <row r="43" spans="1:29" x14ac:dyDescent="0.25">
      <c r="A43" s="1032"/>
      <c r="B43" s="286" t="s">
        <v>1179</v>
      </c>
      <c r="C43" s="310">
        <f>C35</f>
        <v>23.142403978774023</v>
      </c>
      <c r="D43" s="1036"/>
      <c r="E43" s="300" t="s">
        <v>2112</v>
      </c>
      <c r="F43" s="301" t="s">
        <v>1</v>
      </c>
      <c r="G43" s="302">
        <v>0.47</v>
      </c>
      <c r="H43" s="302">
        <v>10</v>
      </c>
      <c r="I43" s="303">
        <f>G43*H43</f>
        <v>4.6999999999999993</v>
      </c>
      <c r="J43" s="290" t="s">
        <v>1513</v>
      </c>
      <c r="K43" s="292">
        <v>2</v>
      </c>
      <c r="L43" s="292">
        <v>25</v>
      </c>
      <c r="M43" s="304">
        <v>0.5</v>
      </c>
      <c r="N43" s="433">
        <f>L43/'Исп. коэффициенты'!E45*C46</f>
        <v>5.6609011520613152E-3</v>
      </c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6"/>
      <c r="AA43" s="297"/>
      <c r="AB43" s="298"/>
      <c r="AC43" s="358"/>
    </row>
    <row r="44" spans="1:29" x14ac:dyDescent="0.25">
      <c r="A44" s="1032"/>
      <c r="B44" s="286" t="s">
        <v>1180</v>
      </c>
      <c r="C44" s="310"/>
      <c r="D44" s="1036"/>
      <c r="E44" s="300"/>
      <c r="F44" s="301"/>
      <c r="G44" s="302"/>
      <c r="H44" s="301"/>
      <c r="I44" s="303"/>
      <c r="J44" s="290"/>
      <c r="K44" s="292"/>
      <c r="L44" s="292"/>
      <c r="M44" s="292"/>
      <c r="N44" s="292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6"/>
      <c r="AA44" s="297"/>
      <c r="AB44" s="298"/>
      <c r="AC44" s="358"/>
    </row>
    <row r="45" spans="1:29" x14ac:dyDescent="0.25">
      <c r="A45" s="1032"/>
      <c r="B45" s="309" t="s">
        <v>1178</v>
      </c>
      <c r="C45" s="310"/>
      <c r="D45" s="1036"/>
      <c r="E45" s="300"/>
      <c r="F45" s="301"/>
      <c r="G45" s="302"/>
      <c r="H45" s="301"/>
      <c r="I45" s="303"/>
      <c r="J45" s="290"/>
      <c r="K45" s="292"/>
      <c r="L45" s="292"/>
      <c r="M45" s="292"/>
      <c r="N45" s="292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6"/>
      <c r="AA45" s="297"/>
      <c r="AB45" s="298"/>
      <c r="AC45" s="358"/>
    </row>
    <row r="46" spans="1:29" x14ac:dyDescent="0.25">
      <c r="A46" s="1032"/>
      <c r="B46" s="286" t="s">
        <v>1179</v>
      </c>
      <c r="C46" s="310">
        <v>2</v>
      </c>
      <c r="D46" s="1036"/>
      <c r="E46" s="300"/>
      <c r="F46" s="301"/>
      <c r="G46" s="302"/>
      <c r="H46" s="301"/>
      <c r="I46" s="303"/>
      <c r="J46" s="290"/>
      <c r="K46" s="292"/>
      <c r="L46" s="305"/>
      <c r="M46" s="304"/>
      <c r="N46" s="292"/>
      <c r="O46" s="291"/>
      <c r="P46" s="291"/>
      <c r="Q46" s="291"/>
      <c r="R46" s="291"/>
      <c r="S46" s="291"/>
      <c r="T46" s="291"/>
      <c r="U46" s="291"/>
      <c r="V46" s="291"/>
      <c r="W46" s="291"/>
      <c r="X46" s="291"/>
      <c r="Y46" s="291"/>
      <c r="Z46" s="296"/>
      <c r="AA46" s="297"/>
      <c r="AB46" s="298"/>
      <c r="AC46" s="358"/>
    </row>
    <row r="47" spans="1:29" x14ac:dyDescent="0.25">
      <c r="A47" s="1032"/>
      <c r="B47" s="315" t="s">
        <v>1181</v>
      </c>
      <c r="C47" s="310">
        <f>C42*C45+C43*C46</f>
        <v>46.284807957548047</v>
      </c>
      <c r="D47" s="1037"/>
      <c r="E47" s="300"/>
      <c r="F47" s="376"/>
      <c r="G47" s="302"/>
      <c r="H47" s="301"/>
      <c r="I47" s="303"/>
      <c r="J47" s="290"/>
      <c r="K47" s="292"/>
      <c r="L47" s="311"/>
      <c r="M47" s="304"/>
      <c r="N47" s="292"/>
      <c r="O47" s="291"/>
      <c r="P47" s="291"/>
      <c r="Q47" s="291"/>
      <c r="R47" s="291"/>
      <c r="S47" s="291"/>
      <c r="T47" s="291"/>
      <c r="U47" s="291"/>
      <c r="V47" s="291"/>
      <c r="W47" s="291"/>
      <c r="X47" s="291"/>
      <c r="Y47" s="291"/>
      <c r="Z47" s="296"/>
      <c r="AA47" s="297"/>
      <c r="AB47" s="298"/>
      <c r="AC47" s="358"/>
    </row>
    <row r="48" spans="1:29" x14ac:dyDescent="0.25">
      <c r="A48" s="1033"/>
      <c r="B48" s="318"/>
      <c r="C48" s="314"/>
      <c r="D48" s="277"/>
      <c r="E48" s="300"/>
      <c r="F48" s="301"/>
      <c r="G48" s="302"/>
      <c r="H48" s="301"/>
      <c r="I48" s="303"/>
      <c r="J48" s="290"/>
      <c r="K48" s="292"/>
      <c r="L48" s="292"/>
      <c r="M48" s="304"/>
      <c r="N48" s="292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6"/>
      <c r="AA48" s="297"/>
      <c r="AB48" s="298"/>
      <c r="AC48" s="358"/>
    </row>
    <row r="49" spans="1:29" x14ac:dyDescent="0.25">
      <c r="A49" s="1031" t="s">
        <v>1209</v>
      </c>
      <c r="B49" s="285" t="s">
        <v>1175</v>
      </c>
      <c r="C49" s="277">
        <f>C56+C57</f>
        <v>46.284807957548047</v>
      </c>
      <c r="D49" s="1034">
        <f>C49*D3</f>
        <v>9.3495312074247057</v>
      </c>
      <c r="E49" s="286" t="s">
        <v>1176</v>
      </c>
      <c r="F49" s="356"/>
      <c r="G49" s="288"/>
      <c r="H49" s="288"/>
      <c r="I49" s="289">
        <f>SUM(I50:I57)</f>
        <v>5.0149999999999997</v>
      </c>
      <c r="J49" s="290" t="s">
        <v>1176</v>
      </c>
      <c r="K49" s="291"/>
      <c r="L49" s="291"/>
      <c r="M49" s="291"/>
      <c r="N49" s="433">
        <f>SUM(N50:N57)</f>
        <v>0.19699936009173374</v>
      </c>
      <c r="O49" s="291" t="s">
        <v>1176</v>
      </c>
      <c r="P49" s="291"/>
      <c r="Q49" s="293"/>
      <c r="R49" s="294"/>
      <c r="S49" s="295">
        <f>S50</f>
        <v>2.0586365198772354</v>
      </c>
      <c r="T49" s="292"/>
      <c r="U49" s="292"/>
      <c r="V49" s="292"/>
      <c r="W49" s="292"/>
      <c r="X49" s="292"/>
      <c r="Y49" s="433">
        <f>SUM(Y50:Y57)</f>
        <v>20.895848557760889</v>
      </c>
      <c r="Z49" s="296">
        <f>(C49+D49+I49+N49+S49+Y49)*Z3</f>
        <v>108.95679949430028</v>
      </c>
      <c r="AA49" s="297">
        <f>Z49+N49+C49+I49+D49+Y49+S49</f>
        <v>192.75762309700292</v>
      </c>
      <c r="AB49" s="298">
        <v>0.25</v>
      </c>
      <c r="AC49" s="358">
        <f>AA49*(1+AB49)</f>
        <v>240.94702887125365</v>
      </c>
    </row>
    <row r="50" spans="1:29" x14ac:dyDescent="0.25">
      <c r="A50" s="1032"/>
      <c r="B50" s="299" t="s">
        <v>1177</v>
      </c>
      <c r="C50" s="277"/>
      <c r="D50" s="1034"/>
      <c r="E50" s="300"/>
      <c r="F50" s="301"/>
      <c r="G50" s="302"/>
      <c r="H50" s="301"/>
      <c r="I50" s="303"/>
      <c r="J50" s="290" t="s">
        <v>1291</v>
      </c>
      <c r="K50" s="304">
        <v>2</v>
      </c>
      <c r="L50" s="305">
        <v>750</v>
      </c>
      <c r="M50" s="304">
        <v>2</v>
      </c>
      <c r="N50" s="433">
        <f>L50/'Исп. коэффициенты'!E45*C55</f>
        <v>0.16982703456183945</v>
      </c>
      <c r="O50" s="291" t="s">
        <v>1228</v>
      </c>
      <c r="P50" s="291">
        <v>46220</v>
      </c>
      <c r="Q50" s="291">
        <v>19.670000000000002</v>
      </c>
      <c r="R50" s="291">
        <v>9091.4699999999993</v>
      </c>
      <c r="S50" s="295">
        <f>R50/'Исп. коэффициенты'!E45*C55</f>
        <v>2.0586365198772354</v>
      </c>
      <c r="T50" s="306" t="s">
        <v>1435</v>
      </c>
      <c r="U50" s="307">
        <v>6785401.3499999996</v>
      </c>
      <c r="V50" s="746">
        <f>'Исп. коэффициенты'!E124</f>
        <v>2978.5</v>
      </c>
      <c r="W50" s="308">
        <v>1.3599999999999999E-2</v>
      </c>
      <c r="X50" s="292">
        <f>U50*W50</f>
        <v>92281.45835999999</v>
      </c>
      <c r="Y50" s="295">
        <f>X50/'Исп. коэффициенты'!E45*C55</f>
        <v>20.895848557760889</v>
      </c>
      <c r="Z50" s="296"/>
      <c r="AA50" s="297"/>
      <c r="AB50" s="298"/>
      <c r="AC50" s="358"/>
    </row>
    <row r="51" spans="1:29" x14ac:dyDescent="0.25">
      <c r="A51" s="1032"/>
      <c r="B51" s="309" t="s">
        <v>1178</v>
      </c>
      <c r="C51" s="310"/>
      <c r="D51" s="1034"/>
      <c r="E51" s="300" t="s">
        <v>2187</v>
      </c>
      <c r="F51" s="301" t="s">
        <v>1</v>
      </c>
      <c r="G51" s="302">
        <v>6.3E-2</v>
      </c>
      <c r="H51" s="301">
        <v>5</v>
      </c>
      <c r="I51" s="303">
        <f>G51*H51</f>
        <v>0.315</v>
      </c>
      <c r="J51" s="290" t="s">
        <v>1445</v>
      </c>
      <c r="K51" s="292">
        <v>2</v>
      </c>
      <c r="L51" s="311">
        <v>95</v>
      </c>
      <c r="M51" s="304">
        <v>2</v>
      </c>
      <c r="N51" s="433">
        <f>L51/'Исп. коэффициенты'!E45*C55</f>
        <v>2.1511424377832999E-2</v>
      </c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6"/>
      <c r="AA51" s="297"/>
      <c r="AB51" s="298"/>
      <c r="AC51" s="358"/>
    </row>
    <row r="52" spans="1:29" x14ac:dyDescent="0.25">
      <c r="A52" s="1032"/>
      <c r="B52" s="286" t="s">
        <v>1179</v>
      </c>
      <c r="C52" s="277">
        <f>C43</f>
        <v>23.142403978774023</v>
      </c>
      <c r="D52" s="1034"/>
      <c r="E52" s="300" t="s">
        <v>2112</v>
      </c>
      <c r="F52" s="301" t="s">
        <v>1</v>
      </c>
      <c r="G52" s="302">
        <v>0.47</v>
      </c>
      <c r="H52" s="302">
        <v>10</v>
      </c>
      <c r="I52" s="303">
        <f>G52*H52</f>
        <v>4.6999999999999993</v>
      </c>
      <c r="J52" s="290" t="s">
        <v>1513</v>
      </c>
      <c r="K52" s="292">
        <v>2</v>
      </c>
      <c r="L52" s="292">
        <v>25</v>
      </c>
      <c r="M52" s="304">
        <v>0.5</v>
      </c>
      <c r="N52" s="433">
        <f>L52/'Исп. коэффициенты'!E45*C55</f>
        <v>5.6609011520613152E-3</v>
      </c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6"/>
      <c r="AA52" s="297"/>
      <c r="AB52" s="298"/>
      <c r="AC52" s="358"/>
    </row>
    <row r="53" spans="1:29" x14ac:dyDescent="0.25">
      <c r="A53" s="1032"/>
      <c r="B53" s="286" t="s">
        <v>1180</v>
      </c>
      <c r="C53" s="313"/>
      <c r="D53" s="1034"/>
      <c r="E53" s="300"/>
      <c r="F53" s="301"/>
      <c r="G53" s="302"/>
      <c r="H53" s="301"/>
      <c r="I53" s="303"/>
      <c r="J53" s="290"/>
      <c r="K53" s="292"/>
      <c r="L53" s="292"/>
      <c r="M53" s="292"/>
      <c r="N53" s="292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6"/>
      <c r="AA53" s="297"/>
      <c r="AB53" s="298"/>
      <c r="AC53" s="358"/>
    </row>
    <row r="54" spans="1:29" x14ac:dyDescent="0.25">
      <c r="A54" s="1032"/>
      <c r="B54" s="309" t="s">
        <v>1178</v>
      </c>
      <c r="C54" s="314"/>
      <c r="D54" s="1034"/>
      <c r="E54" s="300"/>
      <c r="F54" s="301"/>
      <c r="G54" s="302"/>
      <c r="H54" s="301"/>
      <c r="I54" s="303"/>
      <c r="J54" s="290"/>
      <c r="K54" s="292"/>
      <c r="L54" s="292"/>
      <c r="M54" s="292"/>
      <c r="N54" s="292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6"/>
      <c r="AA54" s="297"/>
      <c r="AB54" s="298"/>
      <c r="AC54" s="358"/>
    </row>
    <row r="55" spans="1:29" x14ac:dyDescent="0.25">
      <c r="A55" s="1032"/>
      <c r="B55" s="286" t="s">
        <v>1179</v>
      </c>
      <c r="C55" s="314">
        <v>2</v>
      </c>
      <c r="D55" s="1034"/>
      <c r="E55" s="300"/>
      <c r="F55" s="301"/>
      <c r="G55" s="302"/>
      <c r="H55" s="301"/>
      <c r="I55" s="303"/>
      <c r="J55" s="290"/>
      <c r="K55" s="292"/>
      <c r="L55" s="305"/>
      <c r="M55" s="304"/>
      <c r="N55" s="292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6"/>
      <c r="AA55" s="297"/>
      <c r="AB55" s="298"/>
      <c r="AC55" s="358"/>
    </row>
    <row r="56" spans="1:29" x14ac:dyDescent="0.25">
      <c r="A56" s="1032"/>
      <c r="B56" s="315" t="s">
        <v>1181</v>
      </c>
      <c r="C56" s="277">
        <f>C51*C54+C52*C55</f>
        <v>46.284807957548047</v>
      </c>
      <c r="D56" s="1034"/>
      <c r="E56" s="300"/>
      <c r="F56" s="376"/>
      <c r="G56" s="302"/>
      <c r="H56" s="301"/>
      <c r="I56" s="303"/>
      <c r="J56" s="290"/>
      <c r="K56" s="292"/>
      <c r="L56" s="311"/>
      <c r="M56" s="304"/>
      <c r="N56" s="292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6"/>
      <c r="AA56" s="297"/>
      <c r="AB56" s="298"/>
      <c r="AC56" s="358"/>
    </row>
    <row r="57" spans="1:29" x14ac:dyDescent="0.25">
      <c r="A57" s="1033"/>
      <c r="B57" s="315"/>
      <c r="C57" s="314"/>
      <c r="D57" s="1034"/>
      <c r="E57" s="300"/>
      <c r="F57" s="301"/>
      <c r="G57" s="302"/>
      <c r="H57" s="301"/>
      <c r="I57" s="303"/>
      <c r="J57" s="290"/>
      <c r="K57" s="292"/>
      <c r="L57" s="292"/>
      <c r="M57" s="304"/>
      <c r="N57" s="292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6"/>
      <c r="AA57" s="297"/>
      <c r="AB57" s="298"/>
      <c r="AC57" s="358"/>
    </row>
    <row r="58" spans="1:29" x14ac:dyDescent="0.25">
      <c r="A58" s="1031" t="s">
        <v>1210</v>
      </c>
      <c r="B58" s="285" t="s">
        <v>1175</v>
      </c>
      <c r="C58" s="277">
        <f>C65+C66</f>
        <v>46.284807957548047</v>
      </c>
      <c r="D58" s="1034">
        <f>C58*D3</f>
        <v>9.3495312074247057</v>
      </c>
      <c r="E58" s="286" t="s">
        <v>1176</v>
      </c>
      <c r="F58" s="356"/>
      <c r="G58" s="288"/>
      <c r="H58" s="288"/>
      <c r="I58" s="289">
        <f>SUM(I59:I66)</f>
        <v>5.0149999999999997</v>
      </c>
      <c r="J58" s="290" t="s">
        <v>1176</v>
      </c>
      <c r="K58" s="291"/>
      <c r="L58" s="291"/>
      <c r="M58" s="291"/>
      <c r="N58" s="433">
        <f>SUM(N59:N66)</f>
        <v>0.19699936009173374</v>
      </c>
      <c r="O58" s="291" t="s">
        <v>1176</v>
      </c>
      <c r="P58" s="291"/>
      <c r="Q58" s="293"/>
      <c r="R58" s="294"/>
      <c r="S58" s="295">
        <f>S59</f>
        <v>2.0586365198772354</v>
      </c>
      <c r="T58" s="292"/>
      <c r="U58" s="292"/>
      <c r="V58" s="292"/>
      <c r="W58" s="292"/>
      <c r="X58" s="292"/>
      <c r="Y58" s="433">
        <f>SUM(Y59:Y66)</f>
        <v>20.895848557760889</v>
      </c>
      <c r="Z58" s="296">
        <f>(C58+D58+I58+N58+S58+Y58)*Z3</f>
        <v>108.95679949430028</v>
      </c>
      <c r="AA58" s="297">
        <f>Z58+N58+C58+I58+D58+Y58+S58</f>
        <v>192.75762309700292</v>
      </c>
      <c r="AB58" s="298">
        <v>0.25</v>
      </c>
      <c r="AC58" s="358">
        <f>AA58*(1+AB58)</f>
        <v>240.94702887125365</v>
      </c>
    </row>
    <row r="59" spans="1:29" x14ac:dyDescent="0.25">
      <c r="A59" s="1032"/>
      <c r="B59" s="299" t="s">
        <v>1177</v>
      </c>
      <c r="C59" s="277"/>
      <c r="D59" s="1034"/>
      <c r="E59" s="300"/>
      <c r="F59" s="301"/>
      <c r="G59" s="302"/>
      <c r="H59" s="301"/>
      <c r="I59" s="303"/>
      <c r="J59" s="290" t="s">
        <v>1291</v>
      </c>
      <c r="K59" s="304">
        <v>2</v>
      </c>
      <c r="L59" s="305">
        <v>750</v>
      </c>
      <c r="M59" s="304">
        <v>2</v>
      </c>
      <c r="N59" s="433">
        <f>L59/'Исп. коэффициенты'!E45*C64</f>
        <v>0.16982703456183945</v>
      </c>
      <c r="O59" s="291" t="s">
        <v>1228</v>
      </c>
      <c r="P59" s="291">
        <v>46220</v>
      </c>
      <c r="Q59" s="291">
        <v>19.670000000000002</v>
      </c>
      <c r="R59" s="291">
        <v>9091.4699999999993</v>
      </c>
      <c r="S59" s="295">
        <f>R59/'Исп. коэффициенты'!E45*C64</f>
        <v>2.0586365198772354</v>
      </c>
      <c r="T59" s="306" t="s">
        <v>1435</v>
      </c>
      <c r="U59" s="307">
        <v>6785401.3499999996</v>
      </c>
      <c r="V59" s="746">
        <f>'Исп. коэффициенты'!E124</f>
        <v>2978.5</v>
      </c>
      <c r="W59" s="308">
        <v>1.3599999999999999E-2</v>
      </c>
      <c r="X59" s="292">
        <f>U59*W59</f>
        <v>92281.45835999999</v>
      </c>
      <c r="Y59" s="295">
        <f>X59/'Исп. коэффициенты'!E45*C64</f>
        <v>20.895848557760889</v>
      </c>
      <c r="Z59" s="296"/>
      <c r="AA59" s="297"/>
      <c r="AB59" s="298"/>
      <c r="AC59" s="358"/>
    </row>
    <row r="60" spans="1:29" x14ac:dyDescent="0.25">
      <c r="A60" s="1032"/>
      <c r="B60" s="309" t="s">
        <v>1178</v>
      </c>
      <c r="C60" s="310"/>
      <c r="D60" s="1034"/>
      <c r="E60" s="300" t="s">
        <v>2187</v>
      </c>
      <c r="F60" s="301" t="s">
        <v>1</v>
      </c>
      <c r="G60" s="302">
        <v>6.3E-2</v>
      </c>
      <c r="H60" s="301">
        <v>5</v>
      </c>
      <c r="I60" s="303">
        <f>G60*H60</f>
        <v>0.315</v>
      </c>
      <c r="J60" s="290" t="s">
        <v>1445</v>
      </c>
      <c r="K60" s="292">
        <v>2</v>
      </c>
      <c r="L60" s="311">
        <v>95</v>
      </c>
      <c r="M60" s="304">
        <v>2</v>
      </c>
      <c r="N60" s="433">
        <f>L60/'Исп. коэффициенты'!E45*C64</f>
        <v>2.1511424377832999E-2</v>
      </c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6"/>
      <c r="AA60" s="297"/>
      <c r="AB60" s="298"/>
      <c r="AC60" s="358"/>
    </row>
    <row r="61" spans="1:29" x14ac:dyDescent="0.25">
      <c r="A61" s="1032"/>
      <c r="B61" s="286" t="s">
        <v>1179</v>
      </c>
      <c r="C61" s="277">
        <f>C52</f>
        <v>23.142403978774023</v>
      </c>
      <c r="D61" s="1034"/>
      <c r="E61" s="300" t="s">
        <v>2112</v>
      </c>
      <c r="F61" s="301" t="s">
        <v>1</v>
      </c>
      <c r="G61" s="302">
        <v>0.47</v>
      </c>
      <c r="H61" s="302">
        <v>10</v>
      </c>
      <c r="I61" s="303">
        <f>G61*H61</f>
        <v>4.6999999999999993</v>
      </c>
      <c r="J61" s="290" t="s">
        <v>1513</v>
      </c>
      <c r="K61" s="292">
        <v>2</v>
      </c>
      <c r="L61" s="292">
        <v>25</v>
      </c>
      <c r="M61" s="304">
        <v>0.5</v>
      </c>
      <c r="N61" s="433">
        <f>L61/'Исп. коэффициенты'!E45*C64</f>
        <v>5.6609011520613152E-3</v>
      </c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6"/>
      <c r="AA61" s="297"/>
      <c r="AB61" s="298"/>
      <c r="AC61" s="358"/>
    </row>
    <row r="62" spans="1:29" x14ac:dyDescent="0.25">
      <c r="A62" s="1032"/>
      <c r="B62" s="286" t="s">
        <v>1180</v>
      </c>
      <c r="C62" s="313"/>
      <c r="D62" s="1034"/>
      <c r="E62" s="300"/>
      <c r="F62" s="301"/>
      <c r="G62" s="302"/>
      <c r="H62" s="301"/>
      <c r="I62" s="303"/>
      <c r="J62" s="290"/>
      <c r="K62" s="292"/>
      <c r="L62" s="292"/>
      <c r="M62" s="292"/>
      <c r="N62" s="292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6"/>
      <c r="AA62" s="297"/>
      <c r="AB62" s="298"/>
      <c r="AC62" s="358"/>
    </row>
    <row r="63" spans="1:29" x14ac:dyDescent="0.25">
      <c r="A63" s="1032"/>
      <c r="B63" s="309" t="s">
        <v>1178</v>
      </c>
      <c r="C63" s="314"/>
      <c r="D63" s="1034"/>
      <c r="E63" s="300"/>
      <c r="F63" s="301"/>
      <c r="G63" s="302"/>
      <c r="H63" s="301"/>
      <c r="I63" s="303"/>
      <c r="J63" s="290"/>
      <c r="K63" s="292"/>
      <c r="L63" s="292"/>
      <c r="M63" s="292"/>
      <c r="N63" s="292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6"/>
      <c r="AA63" s="297"/>
      <c r="AB63" s="298"/>
      <c r="AC63" s="358"/>
    </row>
    <row r="64" spans="1:29" x14ac:dyDescent="0.25">
      <c r="A64" s="1032"/>
      <c r="B64" s="286" t="s">
        <v>1179</v>
      </c>
      <c r="C64" s="314">
        <v>2</v>
      </c>
      <c r="D64" s="1034"/>
      <c r="E64" s="300"/>
      <c r="F64" s="301"/>
      <c r="G64" s="302"/>
      <c r="H64" s="301"/>
      <c r="I64" s="303"/>
      <c r="J64" s="290"/>
      <c r="K64" s="292"/>
      <c r="L64" s="305"/>
      <c r="M64" s="304"/>
      <c r="N64" s="292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6"/>
      <c r="AA64" s="297"/>
      <c r="AB64" s="298"/>
      <c r="AC64" s="358"/>
    </row>
    <row r="65" spans="1:29" x14ac:dyDescent="0.25">
      <c r="A65" s="1032"/>
      <c r="B65" s="315" t="s">
        <v>1181</v>
      </c>
      <c r="C65" s="277">
        <f>C60*C63+C61*C64</f>
        <v>46.284807957548047</v>
      </c>
      <c r="D65" s="1034"/>
      <c r="E65" s="300"/>
      <c r="F65" s="376"/>
      <c r="G65" s="302"/>
      <c r="H65" s="301"/>
      <c r="I65" s="303"/>
      <c r="J65" s="290"/>
      <c r="K65" s="292"/>
      <c r="L65" s="311"/>
      <c r="M65" s="304"/>
      <c r="N65" s="292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6"/>
      <c r="AA65" s="297"/>
      <c r="AB65" s="298"/>
      <c r="AC65" s="358"/>
    </row>
    <row r="66" spans="1:29" x14ac:dyDescent="0.25">
      <c r="A66" s="1033"/>
      <c r="B66" s="315"/>
      <c r="C66" s="314"/>
      <c r="D66" s="1034"/>
      <c r="E66" s="300"/>
      <c r="F66" s="301"/>
      <c r="G66" s="302"/>
      <c r="H66" s="301"/>
      <c r="I66" s="303"/>
      <c r="J66" s="290"/>
      <c r="K66" s="292"/>
      <c r="L66" s="292"/>
      <c r="M66" s="304"/>
      <c r="N66" s="292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6"/>
      <c r="AA66" s="297"/>
      <c r="AB66" s="298"/>
      <c r="AC66" s="358"/>
    </row>
    <row r="67" spans="1:29" x14ac:dyDescent="0.25">
      <c r="A67" s="1038" t="s">
        <v>1211</v>
      </c>
      <c r="B67" s="285" t="s">
        <v>1175</v>
      </c>
      <c r="C67" s="314">
        <f>C74</f>
        <v>46.284807957548047</v>
      </c>
      <c r="D67" s="1035">
        <f>C67*D3</f>
        <v>9.3495312074247057</v>
      </c>
      <c r="E67" s="286" t="s">
        <v>1176</v>
      </c>
      <c r="F67" s="356"/>
      <c r="G67" s="288"/>
      <c r="H67" s="288"/>
      <c r="I67" s="289">
        <f>SUM(I68:I75)</f>
        <v>5.0149999999999997</v>
      </c>
      <c r="J67" s="290" t="s">
        <v>1176</v>
      </c>
      <c r="K67" s="291"/>
      <c r="L67" s="291"/>
      <c r="M67" s="291"/>
      <c r="N67" s="433">
        <f>SUM(N68:N75)</f>
        <v>0.19699936009173374</v>
      </c>
      <c r="O67" s="291" t="s">
        <v>1176</v>
      </c>
      <c r="P67" s="291"/>
      <c r="Q67" s="293"/>
      <c r="R67" s="294"/>
      <c r="S67" s="295">
        <f>S68</f>
        <v>2.0586365198772354</v>
      </c>
      <c r="T67" s="292"/>
      <c r="U67" s="292"/>
      <c r="V67" s="292"/>
      <c r="W67" s="292"/>
      <c r="X67" s="292"/>
      <c r="Y67" s="433">
        <f>SUM(Y68:Y75)</f>
        <v>20.895848557760889</v>
      </c>
      <c r="Z67" s="296">
        <f>(C67+D67+I67+N67+S67+Y67)*Z3</f>
        <v>108.95679949430028</v>
      </c>
      <c r="AA67" s="297">
        <f>Z67+N67+C67+I67+D67+Y67+S67</f>
        <v>192.75762309700292</v>
      </c>
      <c r="AB67" s="298">
        <v>0.25</v>
      </c>
      <c r="AC67" s="358">
        <f>AA67*(1+AB67)</f>
        <v>240.94702887125365</v>
      </c>
    </row>
    <row r="68" spans="1:29" x14ac:dyDescent="0.25">
      <c r="A68" s="1039"/>
      <c r="B68" s="299" t="s">
        <v>1177</v>
      </c>
      <c r="C68" s="277"/>
      <c r="D68" s="1036"/>
      <c r="E68" s="300"/>
      <c r="F68" s="301"/>
      <c r="G68" s="302"/>
      <c r="H68" s="301"/>
      <c r="I68" s="303"/>
      <c r="J68" s="290" t="s">
        <v>1291</v>
      </c>
      <c r="K68" s="304">
        <v>2</v>
      </c>
      <c r="L68" s="305">
        <v>750</v>
      </c>
      <c r="M68" s="304">
        <v>2</v>
      </c>
      <c r="N68" s="433">
        <f>L68/'Исп. коэффициенты'!E45*C73</f>
        <v>0.16982703456183945</v>
      </c>
      <c r="O68" s="291" t="s">
        <v>1228</v>
      </c>
      <c r="P68" s="291">
        <v>46220</v>
      </c>
      <c r="Q68" s="291">
        <v>19.670000000000002</v>
      </c>
      <c r="R68" s="291">
        <v>9091.4699999999993</v>
      </c>
      <c r="S68" s="295">
        <f>R68/'Исп. коэффициенты'!E45*C73</f>
        <v>2.0586365198772354</v>
      </c>
      <c r="T68" s="306" t="s">
        <v>1435</v>
      </c>
      <c r="U68" s="307">
        <v>6785401.3499999996</v>
      </c>
      <c r="V68" s="746">
        <f>'Исп. коэффициенты'!E124</f>
        <v>2978.5</v>
      </c>
      <c r="W68" s="308">
        <v>1.3599999999999999E-2</v>
      </c>
      <c r="X68" s="292">
        <f>U68*W68</f>
        <v>92281.45835999999</v>
      </c>
      <c r="Y68" s="295">
        <f>X68/'Исп. коэффициенты'!E45*C73</f>
        <v>20.895848557760889</v>
      </c>
      <c r="Z68" s="296"/>
      <c r="AA68" s="297"/>
      <c r="AB68" s="298"/>
      <c r="AC68" s="358"/>
    </row>
    <row r="69" spans="1:29" x14ac:dyDescent="0.25">
      <c r="A69" s="1039"/>
      <c r="B69" s="309" t="s">
        <v>1178</v>
      </c>
      <c r="C69" s="277"/>
      <c r="D69" s="1036"/>
      <c r="E69" s="300" t="s">
        <v>2187</v>
      </c>
      <c r="F69" s="301" t="s">
        <v>1</v>
      </c>
      <c r="G69" s="302">
        <v>6.3E-2</v>
      </c>
      <c r="H69" s="301">
        <v>5</v>
      </c>
      <c r="I69" s="303">
        <f>G69*H69</f>
        <v>0.315</v>
      </c>
      <c r="J69" s="290" t="s">
        <v>1445</v>
      </c>
      <c r="K69" s="292">
        <v>2</v>
      </c>
      <c r="L69" s="311">
        <v>95</v>
      </c>
      <c r="M69" s="304">
        <v>2</v>
      </c>
      <c r="N69" s="433">
        <f>L69/'Исп. коэффициенты'!E45*C73</f>
        <v>2.1511424377832999E-2</v>
      </c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6"/>
      <c r="AA69" s="297"/>
      <c r="AB69" s="298"/>
      <c r="AC69" s="358"/>
    </row>
    <row r="70" spans="1:29" x14ac:dyDescent="0.25">
      <c r="A70" s="1039"/>
      <c r="B70" s="286" t="s">
        <v>1179</v>
      </c>
      <c r="C70" s="310">
        <f>C61</f>
        <v>23.142403978774023</v>
      </c>
      <c r="D70" s="1036"/>
      <c r="E70" s="300" t="s">
        <v>2112</v>
      </c>
      <c r="F70" s="301" t="s">
        <v>1</v>
      </c>
      <c r="G70" s="302">
        <v>0.47</v>
      </c>
      <c r="H70" s="302">
        <v>10</v>
      </c>
      <c r="I70" s="303">
        <f>G70*H70</f>
        <v>4.6999999999999993</v>
      </c>
      <c r="J70" s="290" t="s">
        <v>1513</v>
      </c>
      <c r="K70" s="292">
        <v>2</v>
      </c>
      <c r="L70" s="292">
        <v>25</v>
      </c>
      <c r="M70" s="304">
        <v>0.5</v>
      </c>
      <c r="N70" s="433">
        <f>L70/'Исп. коэффициенты'!E45*C73</f>
        <v>5.6609011520613152E-3</v>
      </c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6"/>
      <c r="AA70" s="297"/>
      <c r="AB70" s="298"/>
      <c r="AC70" s="358"/>
    </row>
    <row r="71" spans="1:29" x14ac:dyDescent="0.25">
      <c r="A71" s="1039"/>
      <c r="B71" s="286" t="s">
        <v>1180</v>
      </c>
      <c r="C71" s="277"/>
      <c r="D71" s="1036"/>
      <c r="E71" s="300"/>
      <c r="F71" s="301"/>
      <c r="G71" s="302"/>
      <c r="H71" s="301"/>
      <c r="I71" s="303"/>
      <c r="J71" s="290"/>
      <c r="K71" s="292"/>
      <c r="L71" s="292"/>
      <c r="M71" s="292"/>
      <c r="N71" s="292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6"/>
      <c r="AA71" s="297"/>
      <c r="AB71" s="298"/>
      <c r="AC71" s="358"/>
    </row>
    <row r="72" spans="1:29" x14ac:dyDescent="0.25">
      <c r="A72" s="1039"/>
      <c r="B72" s="309" t="s">
        <v>1178</v>
      </c>
      <c r="C72" s="328"/>
      <c r="D72" s="1036"/>
      <c r="E72" s="300"/>
      <c r="F72" s="301"/>
      <c r="G72" s="302"/>
      <c r="H72" s="301"/>
      <c r="I72" s="303"/>
      <c r="J72" s="290"/>
      <c r="K72" s="292"/>
      <c r="L72" s="292"/>
      <c r="M72" s="292"/>
      <c r="N72" s="292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6"/>
      <c r="AA72" s="297"/>
      <c r="AB72" s="298"/>
      <c r="AC72" s="358"/>
    </row>
    <row r="73" spans="1:29" x14ac:dyDescent="0.25">
      <c r="A73" s="1039"/>
      <c r="B73" s="286" t="s">
        <v>1179</v>
      </c>
      <c r="C73" s="314">
        <v>2</v>
      </c>
      <c r="D73" s="1036"/>
      <c r="E73" s="300"/>
      <c r="F73" s="301"/>
      <c r="G73" s="302"/>
      <c r="H73" s="301"/>
      <c r="I73" s="303"/>
      <c r="J73" s="290"/>
      <c r="K73" s="292"/>
      <c r="L73" s="305"/>
      <c r="M73" s="304"/>
      <c r="N73" s="292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6"/>
      <c r="AA73" s="297"/>
      <c r="AB73" s="298"/>
      <c r="AC73" s="358"/>
    </row>
    <row r="74" spans="1:29" x14ac:dyDescent="0.25">
      <c r="A74" s="1039"/>
      <c r="B74" s="315" t="s">
        <v>1181</v>
      </c>
      <c r="C74" s="314">
        <f>C69*C72+C70*C73</f>
        <v>46.284807957548047</v>
      </c>
      <c r="D74" s="1037"/>
      <c r="E74" s="300"/>
      <c r="F74" s="376"/>
      <c r="G74" s="302"/>
      <c r="H74" s="301"/>
      <c r="I74" s="303"/>
      <c r="J74" s="290"/>
      <c r="K74" s="292"/>
      <c r="L74" s="311"/>
      <c r="M74" s="304"/>
      <c r="N74" s="292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6"/>
      <c r="AA74" s="297"/>
      <c r="AB74" s="298"/>
      <c r="AC74" s="358"/>
    </row>
    <row r="75" spans="1:29" x14ac:dyDescent="0.25">
      <c r="A75" s="1040"/>
      <c r="B75" s="287"/>
      <c r="C75" s="277"/>
      <c r="D75" s="277"/>
      <c r="E75" s="300"/>
      <c r="F75" s="301"/>
      <c r="G75" s="302"/>
      <c r="H75" s="301"/>
      <c r="I75" s="303"/>
      <c r="J75" s="290"/>
      <c r="K75" s="292"/>
      <c r="L75" s="292"/>
      <c r="M75" s="304"/>
      <c r="N75" s="292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6"/>
      <c r="AA75" s="297"/>
      <c r="AB75" s="298"/>
      <c r="AC75" s="358"/>
    </row>
    <row r="76" spans="1:29" x14ac:dyDescent="0.25">
      <c r="A76" s="1031" t="s">
        <v>1212</v>
      </c>
      <c r="B76" s="285" t="s">
        <v>1175</v>
      </c>
      <c r="C76" s="277">
        <f>C83+C84</f>
        <v>46.284807957548047</v>
      </c>
      <c r="D76" s="1034">
        <f>C76*D3</f>
        <v>9.3495312074247057</v>
      </c>
      <c r="E76" s="286" t="s">
        <v>1176</v>
      </c>
      <c r="F76" s="356"/>
      <c r="G76" s="288"/>
      <c r="H76" s="288"/>
      <c r="I76" s="289">
        <f>SUM(I77:I84)</f>
        <v>5.0149999999999997</v>
      </c>
      <c r="J76" s="290" t="s">
        <v>1176</v>
      </c>
      <c r="K76" s="291"/>
      <c r="L76" s="291"/>
      <c r="M76" s="291"/>
      <c r="N76" s="433">
        <f>SUM(N77:N84)</f>
        <v>0.19699936009173374</v>
      </c>
      <c r="O76" s="291" t="s">
        <v>1176</v>
      </c>
      <c r="P76" s="291"/>
      <c r="Q76" s="293"/>
      <c r="R76" s="294"/>
      <c r="S76" s="295">
        <f>S77</f>
        <v>2.0586365198772354</v>
      </c>
      <c r="T76" s="292"/>
      <c r="U76" s="292"/>
      <c r="V76" s="292"/>
      <c r="W76" s="292"/>
      <c r="X76" s="292"/>
      <c r="Y76" s="433">
        <f>SUM(Y77:Y84)</f>
        <v>20.895848557760889</v>
      </c>
      <c r="Z76" s="296">
        <f>(C76+D76+I76+N76+S76+Y76)*Z3</f>
        <v>108.95679949430028</v>
      </c>
      <c r="AA76" s="297">
        <f>Z76+N76+C76+I76+D76+Y76+S76</f>
        <v>192.75762309700292</v>
      </c>
      <c r="AB76" s="298">
        <v>0.25</v>
      </c>
      <c r="AC76" s="358">
        <f>AA76*(1+AB76)</f>
        <v>240.94702887125365</v>
      </c>
    </row>
    <row r="77" spans="1:29" x14ac:dyDescent="0.25">
      <c r="A77" s="1044"/>
      <c r="B77" s="320" t="s">
        <v>1177</v>
      </c>
      <c r="C77" s="321"/>
      <c r="D77" s="1046"/>
      <c r="E77" s="300"/>
      <c r="F77" s="301"/>
      <c r="G77" s="302"/>
      <c r="H77" s="301"/>
      <c r="I77" s="303"/>
      <c r="J77" s="290" t="s">
        <v>1291</v>
      </c>
      <c r="K77" s="304">
        <v>2</v>
      </c>
      <c r="L77" s="305">
        <v>750</v>
      </c>
      <c r="M77" s="304">
        <v>2</v>
      </c>
      <c r="N77" s="433">
        <f>L77/'Исп. коэффициенты'!E45*C82</f>
        <v>0.16982703456183945</v>
      </c>
      <c r="O77" s="291" t="s">
        <v>1228</v>
      </c>
      <c r="P77" s="291">
        <v>46220</v>
      </c>
      <c r="Q77" s="291">
        <v>19.670000000000002</v>
      </c>
      <c r="R77" s="291">
        <v>9091.4699999999993</v>
      </c>
      <c r="S77" s="295">
        <f>R77/'Исп. коэффициенты'!E45*C82</f>
        <v>2.0586365198772354</v>
      </c>
      <c r="T77" s="306" t="s">
        <v>1435</v>
      </c>
      <c r="U77" s="307">
        <v>6785401.3499999996</v>
      </c>
      <c r="V77" s="746">
        <f>'Исп. коэффициенты'!E124</f>
        <v>2978.5</v>
      </c>
      <c r="W77" s="308">
        <v>1.3599999999999999E-2</v>
      </c>
      <c r="X77" s="292">
        <f>U77*W77</f>
        <v>92281.45835999999</v>
      </c>
      <c r="Y77" s="295">
        <f>X77/'Исп. коэффициенты'!E45*C82</f>
        <v>20.895848557760889</v>
      </c>
      <c r="Z77" s="296"/>
      <c r="AA77" s="297"/>
      <c r="AB77" s="298"/>
      <c r="AC77" s="358"/>
    </row>
    <row r="78" spans="1:29" x14ac:dyDescent="0.25">
      <c r="A78" s="1044"/>
      <c r="B78" s="322" t="s">
        <v>1178</v>
      </c>
      <c r="C78" s="323"/>
      <c r="D78" s="1046"/>
      <c r="E78" s="300" t="s">
        <v>2187</v>
      </c>
      <c r="F78" s="301" t="s">
        <v>1</v>
      </c>
      <c r="G78" s="302">
        <v>6.3E-2</v>
      </c>
      <c r="H78" s="301">
        <v>5</v>
      </c>
      <c r="I78" s="303">
        <f>G78*H78</f>
        <v>0.315</v>
      </c>
      <c r="J78" s="290" t="s">
        <v>1445</v>
      </c>
      <c r="K78" s="292">
        <v>2</v>
      </c>
      <c r="L78" s="311">
        <v>95</v>
      </c>
      <c r="M78" s="304">
        <v>2</v>
      </c>
      <c r="N78" s="433">
        <f>L78/'Исп. коэффициенты'!E45*C82</f>
        <v>2.1511424377832999E-2</v>
      </c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6"/>
      <c r="AA78" s="297"/>
      <c r="AB78" s="298"/>
      <c r="AC78" s="358"/>
    </row>
    <row r="79" spans="1:29" x14ac:dyDescent="0.25">
      <c r="A79" s="1044"/>
      <c r="B79" s="324" t="s">
        <v>1179</v>
      </c>
      <c r="C79" s="321">
        <f>C70</f>
        <v>23.142403978774023</v>
      </c>
      <c r="D79" s="1046"/>
      <c r="E79" s="300" t="s">
        <v>2112</v>
      </c>
      <c r="F79" s="301" t="s">
        <v>1</v>
      </c>
      <c r="G79" s="302">
        <v>0.47</v>
      </c>
      <c r="H79" s="302">
        <v>10</v>
      </c>
      <c r="I79" s="303">
        <f>G79*H79</f>
        <v>4.6999999999999993</v>
      </c>
      <c r="J79" s="290" t="s">
        <v>1513</v>
      </c>
      <c r="K79" s="292">
        <v>2</v>
      </c>
      <c r="L79" s="292">
        <v>25</v>
      </c>
      <c r="M79" s="304">
        <v>0.5</v>
      </c>
      <c r="N79" s="433">
        <f>L79/'Исп. коэффициенты'!E45*C82</f>
        <v>5.6609011520613152E-3</v>
      </c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6"/>
      <c r="AA79" s="297"/>
      <c r="AB79" s="298"/>
      <c r="AC79" s="358"/>
    </row>
    <row r="80" spans="1:29" x14ac:dyDescent="0.25">
      <c r="A80" s="1044"/>
      <c r="B80" s="324" t="s">
        <v>1180</v>
      </c>
      <c r="C80" s="325"/>
      <c r="D80" s="1046"/>
      <c r="E80" s="300"/>
      <c r="F80" s="301"/>
      <c r="G80" s="302"/>
      <c r="H80" s="301"/>
      <c r="I80" s="303"/>
      <c r="J80" s="290"/>
      <c r="K80" s="292"/>
      <c r="L80" s="292"/>
      <c r="M80" s="292"/>
      <c r="N80" s="292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6"/>
      <c r="AA80" s="297"/>
      <c r="AB80" s="298"/>
      <c r="AC80" s="358"/>
    </row>
    <row r="81" spans="1:29" x14ac:dyDescent="0.25">
      <c r="A81" s="1044"/>
      <c r="B81" s="322" t="s">
        <v>1178</v>
      </c>
      <c r="C81" s="326"/>
      <c r="D81" s="1046"/>
      <c r="E81" s="300"/>
      <c r="F81" s="301"/>
      <c r="G81" s="302"/>
      <c r="H81" s="301"/>
      <c r="I81" s="303"/>
      <c r="J81" s="290"/>
      <c r="K81" s="292"/>
      <c r="L81" s="292"/>
      <c r="M81" s="292"/>
      <c r="N81" s="292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6"/>
      <c r="AA81" s="297"/>
      <c r="AB81" s="298"/>
      <c r="AC81" s="358"/>
    </row>
    <row r="82" spans="1:29" x14ac:dyDescent="0.25">
      <c r="A82" s="1044"/>
      <c r="B82" s="324" t="s">
        <v>1179</v>
      </c>
      <c r="C82" s="326">
        <v>2</v>
      </c>
      <c r="D82" s="1046"/>
      <c r="E82" s="300"/>
      <c r="F82" s="301"/>
      <c r="G82" s="302"/>
      <c r="H82" s="301"/>
      <c r="I82" s="303"/>
      <c r="J82" s="290"/>
      <c r="K82" s="292"/>
      <c r="L82" s="305"/>
      <c r="M82" s="304"/>
      <c r="N82" s="292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6"/>
      <c r="AA82" s="297"/>
      <c r="AB82" s="298"/>
      <c r="AC82" s="358"/>
    </row>
    <row r="83" spans="1:29" x14ac:dyDescent="0.25">
      <c r="A83" s="1044"/>
      <c r="B83" s="327" t="s">
        <v>1181</v>
      </c>
      <c r="C83" s="321">
        <f>C78*C81+C79*C82</f>
        <v>46.284807957548047</v>
      </c>
      <c r="D83" s="1046"/>
      <c r="E83" s="300"/>
      <c r="F83" s="376"/>
      <c r="G83" s="302"/>
      <c r="H83" s="301"/>
      <c r="I83" s="303"/>
      <c r="J83" s="290"/>
      <c r="K83" s="292"/>
      <c r="L83" s="311"/>
      <c r="M83" s="304"/>
      <c r="N83" s="292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6"/>
      <c r="AA83" s="297"/>
      <c r="AB83" s="298"/>
      <c r="AC83" s="358"/>
    </row>
    <row r="84" spans="1:29" x14ac:dyDescent="0.25">
      <c r="A84" s="1045"/>
      <c r="B84" s="327"/>
      <c r="C84" s="326"/>
      <c r="D84" s="1046"/>
      <c r="E84" s="300"/>
      <c r="F84" s="301"/>
      <c r="G84" s="302"/>
      <c r="H84" s="301"/>
      <c r="I84" s="303"/>
      <c r="J84" s="290"/>
      <c r="K84" s="292"/>
      <c r="L84" s="292"/>
      <c r="M84" s="304"/>
      <c r="N84" s="292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6"/>
      <c r="AA84" s="297"/>
      <c r="AB84" s="298"/>
      <c r="AC84" s="358"/>
    </row>
    <row r="85" spans="1:29" x14ac:dyDescent="0.25">
      <c r="A85" s="1041" t="s">
        <v>1213</v>
      </c>
      <c r="B85" s="285" t="s">
        <v>1175</v>
      </c>
      <c r="C85" s="310">
        <f>C92</f>
        <v>46.284807957548047</v>
      </c>
      <c r="D85" s="1035">
        <f>C85*D3</f>
        <v>9.3495312074247057</v>
      </c>
      <c r="E85" s="286" t="s">
        <v>1176</v>
      </c>
      <c r="F85" s="356"/>
      <c r="G85" s="288"/>
      <c r="H85" s="288"/>
      <c r="I85" s="289">
        <f>SUM(I86:I93)</f>
        <v>5.0149999999999997</v>
      </c>
      <c r="J85" s="290" t="s">
        <v>1176</v>
      </c>
      <c r="K85" s="291"/>
      <c r="L85" s="291"/>
      <c r="M85" s="291"/>
      <c r="N85" s="433">
        <f>SUM(N86:N93)</f>
        <v>0.19699936009173374</v>
      </c>
      <c r="O85" s="291" t="s">
        <v>1176</v>
      </c>
      <c r="P85" s="291"/>
      <c r="Q85" s="293"/>
      <c r="R85" s="294"/>
      <c r="S85" s="295">
        <f>S86</f>
        <v>2.0586365198772354</v>
      </c>
      <c r="T85" s="292"/>
      <c r="U85" s="292"/>
      <c r="V85" s="292"/>
      <c r="W85" s="292"/>
      <c r="X85" s="292"/>
      <c r="Y85" s="433">
        <f>SUM(Y86:Y93)</f>
        <v>20.895848557760889</v>
      </c>
      <c r="Z85" s="296">
        <f>(C85+D85+I85+N85+S85+Y85)*Z3</f>
        <v>108.95679949430028</v>
      </c>
      <c r="AA85" s="297">
        <f>Z85+N85+C85+I85+D85+Y85+S85</f>
        <v>192.75762309700292</v>
      </c>
      <c r="AB85" s="298">
        <v>0.25</v>
      </c>
      <c r="AC85" s="358">
        <f>AA85*(1+AB85)</f>
        <v>240.94702887125365</v>
      </c>
    </row>
    <row r="86" spans="1:29" x14ac:dyDescent="0.25">
      <c r="A86" s="1041"/>
      <c r="B86" s="299" t="s">
        <v>1177</v>
      </c>
      <c r="C86" s="314"/>
      <c r="D86" s="1036"/>
      <c r="E86" s="300"/>
      <c r="F86" s="301"/>
      <c r="G86" s="302"/>
      <c r="H86" s="301"/>
      <c r="I86" s="303"/>
      <c r="J86" s="290" t="s">
        <v>1291</v>
      </c>
      <c r="K86" s="304">
        <v>2</v>
      </c>
      <c r="L86" s="305">
        <v>750</v>
      </c>
      <c r="M86" s="304">
        <v>2</v>
      </c>
      <c r="N86" s="433">
        <f>L86/'Исп. коэффициенты'!E45*C91</f>
        <v>0.16982703456183945</v>
      </c>
      <c r="O86" s="291" t="s">
        <v>1228</v>
      </c>
      <c r="P86" s="291">
        <v>46220</v>
      </c>
      <c r="Q86" s="291">
        <v>19.670000000000002</v>
      </c>
      <c r="R86" s="291">
        <v>9091.4699999999993</v>
      </c>
      <c r="S86" s="295">
        <f>R86/'Исп. коэффициенты'!E45*C91</f>
        <v>2.0586365198772354</v>
      </c>
      <c r="T86" s="306" t="s">
        <v>1435</v>
      </c>
      <c r="U86" s="307">
        <v>6785401.3499999996</v>
      </c>
      <c r="V86" s="746">
        <f>'Исп. коэффициенты'!E124</f>
        <v>2978.5</v>
      </c>
      <c r="W86" s="308">
        <v>1.3599999999999999E-2</v>
      </c>
      <c r="X86" s="292">
        <f>U86*W86</f>
        <v>92281.45835999999</v>
      </c>
      <c r="Y86" s="295">
        <f>X86/'Исп. коэффициенты'!E45*C91</f>
        <v>20.895848557760889</v>
      </c>
      <c r="Z86" s="296"/>
      <c r="AA86" s="297"/>
      <c r="AB86" s="298"/>
      <c r="AC86" s="358"/>
    </row>
    <row r="87" spans="1:29" x14ac:dyDescent="0.25">
      <c r="A87" s="1041"/>
      <c r="B87" s="309" t="s">
        <v>1178</v>
      </c>
      <c r="C87" s="310"/>
      <c r="D87" s="1036"/>
      <c r="E87" s="300" t="s">
        <v>2187</v>
      </c>
      <c r="F87" s="301" t="s">
        <v>1</v>
      </c>
      <c r="G87" s="302">
        <v>6.3E-2</v>
      </c>
      <c r="H87" s="301">
        <v>5</v>
      </c>
      <c r="I87" s="303">
        <f>G87*H87</f>
        <v>0.315</v>
      </c>
      <c r="J87" s="290" t="s">
        <v>1445</v>
      </c>
      <c r="K87" s="292">
        <v>2</v>
      </c>
      <c r="L87" s="311">
        <v>95</v>
      </c>
      <c r="M87" s="304">
        <v>2</v>
      </c>
      <c r="N87" s="433">
        <f>L87/'Исп. коэффициенты'!E45*C91</f>
        <v>2.1511424377832999E-2</v>
      </c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6"/>
      <c r="AA87" s="297"/>
      <c r="AB87" s="298"/>
      <c r="AC87" s="358"/>
    </row>
    <row r="88" spans="1:29" x14ac:dyDescent="0.25">
      <c r="A88" s="1041"/>
      <c r="B88" s="286" t="s">
        <v>1179</v>
      </c>
      <c r="C88" s="310">
        <f>C79</f>
        <v>23.142403978774023</v>
      </c>
      <c r="D88" s="1036"/>
      <c r="E88" s="300" t="s">
        <v>2112</v>
      </c>
      <c r="F88" s="301" t="s">
        <v>1</v>
      </c>
      <c r="G88" s="302">
        <v>0.47</v>
      </c>
      <c r="H88" s="302">
        <v>10</v>
      </c>
      <c r="I88" s="303">
        <f>G88*H88</f>
        <v>4.6999999999999993</v>
      </c>
      <c r="J88" s="290" t="s">
        <v>1513</v>
      </c>
      <c r="K88" s="292">
        <v>2</v>
      </c>
      <c r="L88" s="292">
        <v>25</v>
      </c>
      <c r="M88" s="304">
        <v>0.5</v>
      </c>
      <c r="N88" s="433">
        <f>L88/'Исп. коэффициенты'!E45*C91</f>
        <v>5.6609011520613152E-3</v>
      </c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6"/>
      <c r="AA88" s="297"/>
      <c r="AB88" s="298"/>
      <c r="AC88" s="358"/>
    </row>
    <row r="89" spans="1:29" x14ac:dyDescent="0.25">
      <c r="A89" s="1041"/>
      <c r="B89" s="286" t="s">
        <v>1180</v>
      </c>
      <c r="C89" s="314"/>
      <c r="D89" s="1036"/>
      <c r="E89" s="300"/>
      <c r="F89" s="301"/>
      <c r="G89" s="302"/>
      <c r="H89" s="301"/>
      <c r="I89" s="303"/>
      <c r="J89" s="290"/>
      <c r="K89" s="292"/>
      <c r="L89" s="292"/>
      <c r="M89" s="292"/>
      <c r="N89" s="292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6"/>
      <c r="AA89" s="297"/>
      <c r="AB89" s="298"/>
      <c r="AC89" s="358"/>
    </row>
    <row r="90" spans="1:29" x14ac:dyDescent="0.25">
      <c r="A90" s="1041"/>
      <c r="B90" s="309" t="s">
        <v>1178</v>
      </c>
      <c r="C90" s="314"/>
      <c r="D90" s="1036"/>
      <c r="E90" s="300"/>
      <c r="F90" s="301"/>
      <c r="G90" s="302"/>
      <c r="H90" s="301"/>
      <c r="I90" s="303"/>
      <c r="J90" s="290"/>
      <c r="K90" s="292"/>
      <c r="L90" s="292"/>
      <c r="M90" s="292"/>
      <c r="N90" s="292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6"/>
      <c r="AA90" s="297"/>
      <c r="AB90" s="298"/>
      <c r="AC90" s="358"/>
    </row>
    <row r="91" spans="1:29" x14ac:dyDescent="0.25">
      <c r="A91" s="1041"/>
      <c r="B91" s="286" t="s">
        <v>1179</v>
      </c>
      <c r="C91" s="314">
        <v>2</v>
      </c>
      <c r="D91" s="1036"/>
      <c r="E91" s="300"/>
      <c r="F91" s="301"/>
      <c r="G91" s="302"/>
      <c r="H91" s="301"/>
      <c r="I91" s="303"/>
      <c r="J91" s="290"/>
      <c r="K91" s="292"/>
      <c r="L91" s="305"/>
      <c r="M91" s="304"/>
      <c r="N91" s="292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6"/>
      <c r="AA91" s="297"/>
      <c r="AB91" s="298"/>
      <c r="AC91" s="358"/>
    </row>
    <row r="92" spans="1:29" x14ac:dyDescent="0.25">
      <c r="A92" s="1041"/>
      <c r="B92" s="315" t="s">
        <v>1181</v>
      </c>
      <c r="C92" s="310">
        <f>C87*C90+C88*C91</f>
        <v>46.284807957548047</v>
      </c>
      <c r="D92" s="1037"/>
      <c r="E92" s="300"/>
      <c r="F92" s="376"/>
      <c r="G92" s="302"/>
      <c r="H92" s="301"/>
      <c r="I92" s="303"/>
      <c r="J92" s="290"/>
      <c r="K92" s="292"/>
      <c r="L92" s="311"/>
      <c r="M92" s="304"/>
      <c r="N92" s="292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6"/>
      <c r="AA92" s="297"/>
      <c r="AB92" s="284"/>
      <c r="AC92" s="377"/>
    </row>
    <row r="93" spans="1:29" x14ac:dyDescent="0.25">
      <c r="A93" s="1041"/>
      <c r="B93" s="315"/>
      <c r="C93" s="314"/>
      <c r="D93" s="277"/>
      <c r="E93" s="300"/>
      <c r="F93" s="301"/>
      <c r="G93" s="302"/>
      <c r="H93" s="301"/>
      <c r="I93" s="303"/>
      <c r="J93" s="290"/>
      <c r="K93" s="292"/>
      <c r="L93" s="292"/>
      <c r="M93" s="304"/>
      <c r="N93" s="292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6"/>
      <c r="AA93" s="297"/>
      <c r="AB93" s="284"/>
      <c r="AC93" s="377"/>
    </row>
    <row r="94" spans="1:29" x14ac:dyDescent="0.25">
      <c r="A94" s="1031" t="s">
        <v>1214</v>
      </c>
      <c r="B94" s="286" t="s">
        <v>1175</v>
      </c>
      <c r="C94" s="277">
        <f>C101+C102</f>
        <v>46.284807957548047</v>
      </c>
      <c r="D94" s="1034">
        <f>C94*D3</f>
        <v>9.3495312074247057</v>
      </c>
      <c r="E94" s="286" t="s">
        <v>1176</v>
      </c>
      <c r="F94" s="356"/>
      <c r="G94" s="288"/>
      <c r="H94" s="288"/>
      <c r="I94" s="289">
        <f>SUM(I95:I102)</f>
        <v>5.0149999999999997</v>
      </c>
      <c r="J94" s="290" t="s">
        <v>1176</v>
      </c>
      <c r="K94" s="291"/>
      <c r="L94" s="291"/>
      <c r="M94" s="291"/>
      <c r="N94" s="433">
        <f>SUM(N95:N102)</f>
        <v>0.19699936009173374</v>
      </c>
      <c r="O94" s="291" t="s">
        <v>1176</v>
      </c>
      <c r="P94" s="291"/>
      <c r="Q94" s="293"/>
      <c r="R94" s="294"/>
      <c r="S94" s="295">
        <f>S95</f>
        <v>2.0586365198772354</v>
      </c>
      <c r="T94" s="292"/>
      <c r="U94" s="292"/>
      <c r="V94" s="292"/>
      <c r="W94" s="292"/>
      <c r="X94" s="292"/>
      <c r="Y94" s="433">
        <f>SUM(Y95:Y102)</f>
        <v>20.895848557760889</v>
      </c>
      <c r="Z94" s="296">
        <f>(C94+D94+I94+N94+S94+Y94)*Z3</f>
        <v>108.95679949430028</v>
      </c>
      <c r="AA94" s="297">
        <f>Z94+N94+C94+I94+D94+Y94+S94</f>
        <v>192.75762309700292</v>
      </c>
      <c r="AB94" s="298">
        <v>0.25</v>
      </c>
      <c r="AC94" s="358">
        <f>AA94*(1+AB94)</f>
        <v>240.94702887125365</v>
      </c>
    </row>
    <row r="95" spans="1:29" x14ac:dyDescent="0.25">
      <c r="A95" s="1032"/>
      <c r="B95" s="299" t="s">
        <v>1177</v>
      </c>
      <c r="C95" s="277"/>
      <c r="D95" s="1034"/>
      <c r="E95" s="300"/>
      <c r="F95" s="301"/>
      <c r="G95" s="302"/>
      <c r="H95" s="301"/>
      <c r="I95" s="303"/>
      <c r="J95" s="290" t="s">
        <v>1291</v>
      </c>
      <c r="K95" s="304">
        <v>2</v>
      </c>
      <c r="L95" s="305">
        <v>750</v>
      </c>
      <c r="M95" s="304">
        <v>2</v>
      </c>
      <c r="N95" s="433">
        <f>L95/'Исп. коэффициенты'!E45*C100</f>
        <v>0.16982703456183945</v>
      </c>
      <c r="O95" s="291" t="s">
        <v>1228</v>
      </c>
      <c r="P95" s="291">
        <v>46220</v>
      </c>
      <c r="Q95" s="291">
        <v>19.670000000000002</v>
      </c>
      <c r="R95" s="291">
        <v>9091.4699999999993</v>
      </c>
      <c r="S95" s="295">
        <f>R95/'Исп. коэффициенты'!E45*C100</f>
        <v>2.0586365198772354</v>
      </c>
      <c r="T95" s="306" t="s">
        <v>1435</v>
      </c>
      <c r="U95" s="307">
        <v>6785401.3499999996</v>
      </c>
      <c r="V95" s="746">
        <f>'Исп. коэффициенты'!E124</f>
        <v>2978.5</v>
      </c>
      <c r="W95" s="308">
        <v>1.3599999999999999E-2</v>
      </c>
      <c r="X95" s="292">
        <f>U95*W95</f>
        <v>92281.45835999999</v>
      </c>
      <c r="Y95" s="295">
        <f>X95/'Исп. коэффициенты'!E45*C100</f>
        <v>20.895848557760889</v>
      </c>
      <c r="Z95" s="296"/>
      <c r="AA95" s="297"/>
      <c r="AB95" s="298"/>
      <c r="AC95" s="358"/>
    </row>
    <row r="96" spans="1:29" x14ac:dyDescent="0.25">
      <c r="A96" s="1032"/>
      <c r="B96" s="309" t="s">
        <v>1178</v>
      </c>
      <c r="C96" s="310"/>
      <c r="D96" s="1034"/>
      <c r="E96" s="300" t="s">
        <v>2187</v>
      </c>
      <c r="F96" s="301" t="s">
        <v>1</v>
      </c>
      <c r="G96" s="302">
        <v>6.3E-2</v>
      </c>
      <c r="H96" s="301">
        <v>5</v>
      </c>
      <c r="I96" s="303">
        <f>G96*H96</f>
        <v>0.315</v>
      </c>
      <c r="J96" s="290" t="s">
        <v>1445</v>
      </c>
      <c r="K96" s="292">
        <v>2</v>
      </c>
      <c r="L96" s="311">
        <v>95</v>
      </c>
      <c r="M96" s="304">
        <v>2</v>
      </c>
      <c r="N96" s="433">
        <f>L96/'Исп. коэффициенты'!E45*C100</f>
        <v>2.1511424377832999E-2</v>
      </c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6"/>
      <c r="AA96" s="297"/>
      <c r="AB96" s="298"/>
      <c r="AC96" s="358"/>
    </row>
    <row r="97" spans="1:29" x14ac:dyDescent="0.25">
      <c r="A97" s="1032"/>
      <c r="B97" s="286" t="s">
        <v>1179</v>
      </c>
      <c r="C97" s="277">
        <f>C88</f>
        <v>23.142403978774023</v>
      </c>
      <c r="D97" s="1034"/>
      <c r="E97" s="300" t="s">
        <v>2112</v>
      </c>
      <c r="F97" s="301" t="s">
        <v>1</v>
      </c>
      <c r="G97" s="302">
        <v>0.47</v>
      </c>
      <c r="H97" s="302">
        <v>10</v>
      </c>
      <c r="I97" s="303">
        <f>G97*H97</f>
        <v>4.6999999999999993</v>
      </c>
      <c r="J97" s="290" t="s">
        <v>1513</v>
      </c>
      <c r="K97" s="292">
        <v>2</v>
      </c>
      <c r="L97" s="292">
        <v>25</v>
      </c>
      <c r="M97" s="304">
        <v>0.5</v>
      </c>
      <c r="N97" s="433">
        <f>L97/'Исп. коэффициенты'!E45*C100</f>
        <v>5.6609011520613152E-3</v>
      </c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6"/>
      <c r="AA97" s="297"/>
      <c r="AB97" s="298"/>
      <c r="AC97" s="358"/>
    </row>
    <row r="98" spans="1:29" x14ac:dyDescent="0.25">
      <c r="A98" s="1032"/>
      <c r="B98" s="286" t="s">
        <v>1180</v>
      </c>
      <c r="C98" s="313"/>
      <c r="D98" s="1034"/>
      <c r="E98" s="300"/>
      <c r="F98" s="301"/>
      <c r="G98" s="302"/>
      <c r="H98" s="301"/>
      <c r="I98" s="303"/>
      <c r="J98" s="290"/>
      <c r="K98" s="292"/>
      <c r="L98" s="292"/>
      <c r="M98" s="292"/>
      <c r="N98" s="292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6"/>
      <c r="AA98" s="297"/>
      <c r="AB98" s="298"/>
      <c r="AC98" s="358"/>
    </row>
    <row r="99" spans="1:29" x14ac:dyDescent="0.25">
      <c r="A99" s="1032"/>
      <c r="B99" s="309" t="s">
        <v>1178</v>
      </c>
      <c r="C99" s="314"/>
      <c r="D99" s="1034"/>
      <c r="E99" s="300"/>
      <c r="F99" s="301"/>
      <c r="G99" s="302"/>
      <c r="H99" s="301"/>
      <c r="I99" s="303"/>
      <c r="J99" s="290"/>
      <c r="K99" s="292"/>
      <c r="L99" s="292"/>
      <c r="M99" s="292"/>
      <c r="N99" s="292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6"/>
      <c r="AA99" s="297"/>
      <c r="AB99" s="298"/>
      <c r="AC99" s="358"/>
    </row>
    <row r="100" spans="1:29" x14ac:dyDescent="0.25">
      <c r="A100" s="1032"/>
      <c r="B100" s="286" t="s">
        <v>1179</v>
      </c>
      <c r="C100" s="314">
        <v>2</v>
      </c>
      <c r="D100" s="1034"/>
      <c r="E100" s="300"/>
      <c r="F100" s="301"/>
      <c r="G100" s="302"/>
      <c r="H100" s="301"/>
      <c r="I100" s="303"/>
      <c r="J100" s="290"/>
      <c r="K100" s="292"/>
      <c r="L100" s="305"/>
      <c r="M100" s="304"/>
      <c r="N100" s="292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6"/>
      <c r="AA100" s="297"/>
      <c r="AB100" s="298"/>
      <c r="AC100" s="358"/>
    </row>
    <row r="101" spans="1:29" x14ac:dyDescent="0.25">
      <c r="A101" s="1032"/>
      <c r="B101" s="315" t="s">
        <v>1181</v>
      </c>
      <c r="C101" s="277">
        <f>C96*C99+C97*C100</f>
        <v>46.284807957548047</v>
      </c>
      <c r="D101" s="1034"/>
      <c r="E101" s="300"/>
      <c r="F101" s="376"/>
      <c r="G101" s="302"/>
      <c r="H101" s="301"/>
      <c r="I101" s="303"/>
      <c r="J101" s="290"/>
      <c r="K101" s="292"/>
      <c r="L101" s="311"/>
      <c r="M101" s="304"/>
      <c r="N101" s="292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6"/>
      <c r="AA101" s="297"/>
      <c r="AB101" s="298"/>
      <c r="AC101" s="358"/>
    </row>
    <row r="102" spans="1:29" x14ac:dyDescent="0.25">
      <c r="A102" s="1033"/>
      <c r="B102" s="315"/>
      <c r="C102" s="314"/>
      <c r="D102" s="1034"/>
      <c r="E102" s="300"/>
      <c r="F102" s="301"/>
      <c r="G102" s="316"/>
      <c r="H102" s="316"/>
      <c r="I102" s="317"/>
      <c r="J102" s="290"/>
      <c r="K102" s="292"/>
      <c r="L102" s="292"/>
      <c r="M102" s="292"/>
      <c r="N102" s="292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6"/>
      <c r="AA102" s="297"/>
      <c r="AB102" s="298"/>
      <c r="AC102" s="358"/>
    </row>
    <row r="103" spans="1:29" x14ac:dyDescent="0.25">
      <c r="A103" s="1038" t="s">
        <v>1215</v>
      </c>
      <c r="B103" s="286" t="s">
        <v>1175</v>
      </c>
      <c r="C103" s="310">
        <f>C110</f>
        <v>46.284807957548047</v>
      </c>
      <c r="D103" s="1034">
        <f>C103*D3</f>
        <v>9.3495312074247057</v>
      </c>
      <c r="E103" s="286" t="s">
        <v>1176</v>
      </c>
      <c r="F103" s="356"/>
      <c r="G103" s="288"/>
      <c r="H103" s="288"/>
      <c r="I103" s="289">
        <f>SUM(I104:I111)</f>
        <v>5.0149999999999997</v>
      </c>
      <c r="J103" s="290" t="s">
        <v>1176</v>
      </c>
      <c r="K103" s="291"/>
      <c r="L103" s="291"/>
      <c r="M103" s="291"/>
      <c r="N103" s="433">
        <f>SUM(N104:N111)</f>
        <v>0.19699936009173374</v>
      </c>
      <c r="O103" s="291" t="s">
        <v>1176</v>
      </c>
      <c r="P103" s="291"/>
      <c r="Q103" s="293"/>
      <c r="R103" s="294"/>
      <c r="S103" s="295">
        <f>S104</f>
        <v>2.0586365198772354</v>
      </c>
      <c r="T103" s="292"/>
      <c r="U103" s="292"/>
      <c r="V103" s="292"/>
      <c r="W103" s="292"/>
      <c r="X103" s="292"/>
      <c r="Y103" s="433">
        <f>SUM(Y104:Y111)</f>
        <v>20.895848557760889</v>
      </c>
      <c r="Z103" s="296">
        <f>(C103+D103+I103+N103+S103+Y103)*Z3</f>
        <v>108.95679949430028</v>
      </c>
      <c r="AA103" s="297">
        <f>Z103+N103+C103+I103+D103+Y103+S103</f>
        <v>192.75762309700292</v>
      </c>
      <c r="AB103" s="298">
        <v>0.25</v>
      </c>
      <c r="AC103" s="358">
        <f>AA103*(1+AB103)</f>
        <v>240.94702887125365</v>
      </c>
    </row>
    <row r="104" spans="1:29" x14ac:dyDescent="0.25">
      <c r="A104" s="1047"/>
      <c r="B104" s="329" t="s">
        <v>1177</v>
      </c>
      <c r="C104" s="330"/>
      <c r="D104" s="1048"/>
      <c r="E104" s="300"/>
      <c r="F104" s="301"/>
      <c r="G104" s="302"/>
      <c r="H104" s="301"/>
      <c r="I104" s="303"/>
      <c r="J104" s="290" t="s">
        <v>1291</v>
      </c>
      <c r="K104" s="304">
        <v>2</v>
      </c>
      <c r="L104" s="305">
        <v>750</v>
      </c>
      <c r="M104" s="304">
        <v>2</v>
      </c>
      <c r="N104" s="433">
        <f>L104/'Исп. коэффициенты'!E45*C109</f>
        <v>0.16982703456183945</v>
      </c>
      <c r="O104" s="291" t="s">
        <v>1228</v>
      </c>
      <c r="P104" s="291">
        <v>46220</v>
      </c>
      <c r="Q104" s="291">
        <v>19.670000000000002</v>
      </c>
      <c r="R104" s="291">
        <v>9091.4699999999993</v>
      </c>
      <c r="S104" s="295">
        <f>R104/'Исп. коэффициенты'!E45*C109</f>
        <v>2.0586365198772354</v>
      </c>
      <c r="T104" s="306" t="s">
        <v>1435</v>
      </c>
      <c r="U104" s="307">
        <v>6785401.3499999996</v>
      </c>
      <c r="V104" s="746">
        <f>'Исп. коэффициенты'!E124</f>
        <v>2978.5</v>
      </c>
      <c r="W104" s="308">
        <v>1.3599999999999999E-2</v>
      </c>
      <c r="X104" s="292">
        <f>U104*W104</f>
        <v>92281.45835999999</v>
      </c>
      <c r="Y104" s="295">
        <f>X104/'Исп. коэффициенты'!E45*C109</f>
        <v>20.895848557760889</v>
      </c>
      <c r="Z104" s="296"/>
      <c r="AA104" s="297"/>
      <c r="AB104" s="298"/>
      <c r="AC104" s="358"/>
    </row>
    <row r="105" spans="1:29" x14ac:dyDescent="0.25">
      <c r="A105" s="1039"/>
      <c r="B105" s="309" t="s">
        <v>1178</v>
      </c>
      <c r="C105" s="310"/>
      <c r="D105" s="1034"/>
      <c r="E105" s="300" t="s">
        <v>2187</v>
      </c>
      <c r="F105" s="301" t="s">
        <v>1</v>
      </c>
      <c r="G105" s="302">
        <v>6.3E-2</v>
      </c>
      <c r="H105" s="301">
        <v>5</v>
      </c>
      <c r="I105" s="303">
        <f>G105*H105</f>
        <v>0.315</v>
      </c>
      <c r="J105" s="290" t="s">
        <v>1445</v>
      </c>
      <c r="K105" s="292">
        <v>2</v>
      </c>
      <c r="L105" s="311">
        <v>95</v>
      </c>
      <c r="M105" s="304">
        <v>2</v>
      </c>
      <c r="N105" s="433">
        <f>L105/'Исп. коэффициенты'!E45*C109</f>
        <v>2.1511424377832999E-2</v>
      </c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6"/>
      <c r="AA105" s="297"/>
      <c r="AB105" s="298"/>
      <c r="AC105" s="358"/>
    </row>
    <row r="106" spans="1:29" x14ac:dyDescent="0.25">
      <c r="A106" s="1039"/>
      <c r="B106" s="286" t="s">
        <v>1179</v>
      </c>
      <c r="C106" s="310">
        <f>C97</f>
        <v>23.142403978774023</v>
      </c>
      <c r="D106" s="1034"/>
      <c r="E106" s="300" t="s">
        <v>2112</v>
      </c>
      <c r="F106" s="301" t="s">
        <v>1</v>
      </c>
      <c r="G106" s="302">
        <v>0.47</v>
      </c>
      <c r="H106" s="302">
        <v>10</v>
      </c>
      <c r="I106" s="303">
        <f>G106*H106</f>
        <v>4.6999999999999993</v>
      </c>
      <c r="J106" s="290" t="s">
        <v>1513</v>
      </c>
      <c r="K106" s="292">
        <v>2</v>
      </c>
      <c r="L106" s="292">
        <v>25</v>
      </c>
      <c r="M106" s="304">
        <v>0.5</v>
      </c>
      <c r="N106" s="433">
        <f>L106/'Исп. коэффициенты'!E45*C109</f>
        <v>5.6609011520613152E-3</v>
      </c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6"/>
      <c r="AA106" s="297"/>
      <c r="AB106" s="298"/>
      <c r="AC106" s="358"/>
    </row>
    <row r="107" spans="1:29" x14ac:dyDescent="0.25">
      <c r="A107" s="1039"/>
      <c r="B107" s="286" t="s">
        <v>1180</v>
      </c>
      <c r="C107" s="310"/>
      <c r="D107" s="1034"/>
      <c r="E107" s="300"/>
      <c r="F107" s="301"/>
      <c r="G107" s="302"/>
      <c r="H107" s="301"/>
      <c r="I107" s="303"/>
      <c r="J107" s="290"/>
      <c r="K107" s="292"/>
      <c r="L107" s="292"/>
      <c r="M107" s="292"/>
      <c r="N107" s="292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6"/>
      <c r="AA107" s="297"/>
      <c r="AB107" s="298"/>
      <c r="AC107" s="358"/>
    </row>
    <row r="108" spans="1:29" x14ac:dyDescent="0.25">
      <c r="A108" s="1039"/>
      <c r="B108" s="309" t="s">
        <v>1178</v>
      </c>
      <c r="C108" s="310"/>
      <c r="D108" s="1034"/>
      <c r="E108" s="300"/>
      <c r="F108" s="301"/>
      <c r="G108" s="302"/>
      <c r="H108" s="301"/>
      <c r="I108" s="303"/>
      <c r="J108" s="290"/>
      <c r="K108" s="292"/>
      <c r="L108" s="292"/>
      <c r="M108" s="292"/>
      <c r="N108" s="292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6"/>
      <c r="AA108" s="297"/>
      <c r="AB108" s="298"/>
      <c r="AC108" s="358"/>
    </row>
    <row r="109" spans="1:29" x14ac:dyDescent="0.25">
      <c r="A109" s="1039"/>
      <c r="B109" s="286" t="s">
        <v>1179</v>
      </c>
      <c r="C109" s="310">
        <v>2</v>
      </c>
      <c r="D109" s="1034"/>
      <c r="E109" s="300"/>
      <c r="F109" s="301"/>
      <c r="G109" s="302"/>
      <c r="H109" s="301"/>
      <c r="I109" s="303"/>
      <c r="J109" s="290"/>
      <c r="K109" s="292"/>
      <c r="L109" s="305"/>
      <c r="M109" s="304"/>
      <c r="N109" s="292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6"/>
      <c r="AA109" s="297"/>
      <c r="AB109" s="298"/>
      <c r="AC109" s="358"/>
    </row>
    <row r="110" spans="1:29" x14ac:dyDescent="0.25">
      <c r="A110" s="1039"/>
      <c r="B110" s="315" t="s">
        <v>1181</v>
      </c>
      <c r="C110" s="310">
        <f>C105*C108+C106*C109</f>
        <v>46.284807957548047</v>
      </c>
      <c r="D110" s="1034"/>
      <c r="E110" s="300"/>
      <c r="F110" s="376"/>
      <c r="G110" s="302"/>
      <c r="H110" s="301"/>
      <c r="I110" s="303"/>
      <c r="J110" s="290"/>
      <c r="K110" s="292"/>
      <c r="L110" s="311"/>
      <c r="M110" s="304"/>
      <c r="N110" s="292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6"/>
      <c r="AA110" s="297"/>
      <c r="AB110" s="298"/>
      <c r="AC110" s="358"/>
    </row>
    <row r="111" spans="1:29" x14ac:dyDescent="0.25">
      <c r="A111" s="1040"/>
      <c r="B111" s="315"/>
      <c r="C111" s="314"/>
      <c r="D111" s="1034"/>
      <c r="E111" s="300"/>
      <c r="F111" s="301"/>
      <c r="G111" s="302"/>
      <c r="H111" s="301"/>
      <c r="I111" s="303"/>
      <c r="J111" s="290"/>
      <c r="K111" s="292"/>
      <c r="L111" s="292"/>
      <c r="M111" s="292"/>
      <c r="N111" s="292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6"/>
      <c r="AA111" s="297"/>
      <c r="AB111" s="298"/>
      <c r="AC111" s="358"/>
    </row>
    <row r="112" spans="1:29" x14ac:dyDescent="0.25">
      <c r="A112" s="1042" t="s">
        <v>1216</v>
      </c>
      <c r="B112" s="286" t="s">
        <v>1175</v>
      </c>
      <c r="C112" s="310">
        <f>C119</f>
        <v>46.284807957548047</v>
      </c>
      <c r="D112" s="1035">
        <f>C112*D3</f>
        <v>9.3495312074247057</v>
      </c>
      <c r="E112" s="286" t="s">
        <v>1176</v>
      </c>
      <c r="F112" s="356"/>
      <c r="G112" s="288"/>
      <c r="H112" s="288"/>
      <c r="I112" s="289">
        <f>SUM(I113:I120)</f>
        <v>5.0149999999999997</v>
      </c>
      <c r="J112" s="290" t="s">
        <v>1176</v>
      </c>
      <c r="K112" s="291"/>
      <c r="L112" s="291"/>
      <c r="M112" s="291"/>
      <c r="N112" s="433">
        <f>SUM(N113:N120)</f>
        <v>0.19699936009173374</v>
      </c>
      <c r="O112" s="291" t="s">
        <v>1176</v>
      </c>
      <c r="P112" s="291"/>
      <c r="Q112" s="293"/>
      <c r="R112" s="294"/>
      <c r="S112" s="295">
        <f>S113</f>
        <v>2.0586365198772354</v>
      </c>
      <c r="T112" s="292"/>
      <c r="U112" s="292"/>
      <c r="V112" s="292"/>
      <c r="W112" s="292"/>
      <c r="X112" s="292"/>
      <c r="Y112" s="433">
        <f>SUM(Y113:Y120)</f>
        <v>20.895848557760889</v>
      </c>
      <c r="Z112" s="296">
        <f>(C112+D112+I112+N112+S112+Y112)*Z3</f>
        <v>108.95679949430028</v>
      </c>
      <c r="AA112" s="297">
        <f>Z112+N112+C112+I112+D112+Y112+S112</f>
        <v>192.75762309700292</v>
      </c>
      <c r="AB112" s="298">
        <v>0.25</v>
      </c>
      <c r="AC112" s="358">
        <f>AA112*(1+AB112)</f>
        <v>240.94702887125365</v>
      </c>
    </row>
    <row r="113" spans="1:29" x14ac:dyDescent="0.25">
      <c r="A113" s="1042"/>
      <c r="B113" s="299" t="s">
        <v>1177</v>
      </c>
      <c r="C113" s="310"/>
      <c r="D113" s="1043"/>
      <c r="E113" s="300"/>
      <c r="F113" s="301"/>
      <c r="G113" s="302"/>
      <c r="H113" s="301"/>
      <c r="I113" s="303"/>
      <c r="J113" s="290" t="s">
        <v>1291</v>
      </c>
      <c r="K113" s="304">
        <v>2</v>
      </c>
      <c r="L113" s="305">
        <v>750</v>
      </c>
      <c r="M113" s="304">
        <v>2</v>
      </c>
      <c r="N113" s="433">
        <f>L113/'Исп. коэффициенты'!E45*C118</f>
        <v>0.16982703456183945</v>
      </c>
      <c r="O113" s="291" t="s">
        <v>1228</v>
      </c>
      <c r="P113" s="291">
        <v>46220</v>
      </c>
      <c r="Q113" s="291">
        <v>19.670000000000002</v>
      </c>
      <c r="R113" s="291">
        <v>9091.4699999999993</v>
      </c>
      <c r="S113" s="295">
        <f>R113/'Исп. коэффициенты'!E45*C118</f>
        <v>2.0586365198772354</v>
      </c>
      <c r="T113" s="306" t="s">
        <v>1435</v>
      </c>
      <c r="U113" s="307">
        <v>6785401.3499999996</v>
      </c>
      <c r="V113" s="746">
        <f>'Исп. коэффициенты'!E124</f>
        <v>2978.5</v>
      </c>
      <c r="W113" s="308">
        <v>1.3599999999999999E-2</v>
      </c>
      <c r="X113" s="292">
        <f>U113*W113</f>
        <v>92281.45835999999</v>
      </c>
      <c r="Y113" s="295">
        <f>X113/'Исп. коэффициенты'!E45*C118</f>
        <v>20.895848557760889</v>
      </c>
      <c r="Z113" s="296"/>
      <c r="AA113" s="297"/>
      <c r="AB113" s="298"/>
      <c r="AC113" s="358"/>
    </row>
    <row r="114" spans="1:29" x14ac:dyDescent="0.25">
      <c r="A114" s="1042"/>
      <c r="B114" s="309" t="s">
        <v>1178</v>
      </c>
      <c r="C114" s="310"/>
      <c r="D114" s="1043"/>
      <c r="E114" s="300" t="s">
        <v>2187</v>
      </c>
      <c r="F114" s="301" t="s">
        <v>1</v>
      </c>
      <c r="G114" s="302">
        <v>6.3E-2</v>
      </c>
      <c r="H114" s="301">
        <v>5</v>
      </c>
      <c r="I114" s="303">
        <f>G114*H114</f>
        <v>0.315</v>
      </c>
      <c r="J114" s="290" t="s">
        <v>1445</v>
      </c>
      <c r="K114" s="292">
        <v>2</v>
      </c>
      <c r="L114" s="311">
        <v>95</v>
      </c>
      <c r="M114" s="304">
        <v>2</v>
      </c>
      <c r="N114" s="433">
        <f>L114/'Исп. коэффициенты'!E45*C118</f>
        <v>2.1511424377832999E-2</v>
      </c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6"/>
      <c r="AA114" s="297"/>
      <c r="AB114" s="298"/>
      <c r="AC114" s="358"/>
    </row>
    <row r="115" spans="1:29" x14ac:dyDescent="0.25">
      <c r="A115" s="1042"/>
      <c r="B115" s="286" t="s">
        <v>1179</v>
      </c>
      <c r="C115" s="310">
        <f>C106</f>
        <v>23.142403978774023</v>
      </c>
      <c r="D115" s="1043"/>
      <c r="E115" s="300" t="s">
        <v>2112</v>
      </c>
      <c r="F115" s="301" t="s">
        <v>1</v>
      </c>
      <c r="G115" s="302">
        <v>0.47</v>
      </c>
      <c r="H115" s="302">
        <v>10</v>
      </c>
      <c r="I115" s="303">
        <f>G115*H115</f>
        <v>4.6999999999999993</v>
      </c>
      <c r="J115" s="290" t="s">
        <v>1513</v>
      </c>
      <c r="K115" s="292">
        <v>2</v>
      </c>
      <c r="L115" s="292">
        <v>25</v>
      </c>
      <c r="M115" s="304">
        <v>0.5</v>
      </c>
      <c r="N115" s="433">
        <f>L115/'Исп. коэффициенты'!E45*C118</f>
        <v>5.6609011520613152E-3</v>
      </c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6"/>
      <c r="AA115" s="297"/>
      <c r="AB115" s="298"/>
      <c r="AC115" s="358"/>
    </row>
    <row r="116" spans="1:29" x14ac:dyDescent="0.25">
      <c r="A116" s="1042"/>
      <c r="B116" s="286" t="s">
        <v>1180</v>
      </c>
      <c r="C116" s="310"/>
      <c r="D116" s="1043"/>
      <c r="E116" s="300"/>
      <c r="F116" s="301"/>
      <c r="G116" s="302"/>
      <c r="H116" s="301"/>
      <c r="I116" s="303"/>
      <c r="J116" s="290"/>
      <c r="K116" s="292"/>
      <c r="L116" s="292"/>
      <c r="M116" s="292"/>
      <c r="N116" s="292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6"/>
      <c r="AA116" s="297"/>
      <c r="AB116" s="298"/>
      <c r="AC116" s="358"/>
    </row>
    <row r="117" spans="1:29" x14ac:dyDescent="0.25">
      <c r="A117" s="1042"/>
      <c r="B117" s="309" t="s">
        <v>1178</v>
      </c>
      <c r="C117" s="310"/>
      <c r="D117" s="1043"/>
      <c r="E117" s="300"/>
      <c r="F117" s="301"/>
      <c r="G117" s="302"/>
      <c r="H117" s="301"/>
      <c r="I117" s="303"/>
      <c r="J117" s="290"/>
      <c r="K117" s="292"/>
      <c r="L117" s="292"/>
      <c r="M117" s="292"/>
      <c r="N117" s="292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6"/>
      <c r="AA117" s="297"/>
      <c r="AB117" s="298"/>
      <c r="AC117" s="358"/>
    </row>
    <row r="118" spans="1:29" x14ac:dyDescent="0.25">
      <c r="A118" s="1042"/>
      <c r="B118" s="286" t="s">
        <v>1179</v>
      </c>
      <c r="C118" s="310">
        <v>2</v>
      </c>
      <c r="D118" s="1043"/>
      <c r="E118" s="300"/>
      <c r="F118" s="301"/>
      <c r="G118" s="302"/>
      <c r="H118" s="301"/>
      <c r="I118" s="303"/>
      <c r="J118" s="290"/>
      <c r="K118" s="292"/>
      <c r="L118" s="305"/>
      <c r="M118" s="304"/>
      <c r="N118" s="292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6"/>
      <c r="AA118" s="297"/>
      <c r="AB118" s="298"/>
      <c r="AC118" s="358"/>
    </row>
    <row r="119" spans="1:29" x14ac:dyDescent="0.25">
      <c r="A119" s="1042"/>
      <c r="B119" s="315" t="s">
        <v>1181</v>
      </c>
      <c r="C119" s="310">
        <f>C114*C117+C115*C118</f>
        <v>46.284807957548047</v>
      </c>
      <c r="D119" s="1043"/>
      <c r="E119" s="300"/>
      <c r="F119" s="376"/>
      <c r="G119" s="302"/>
      <c r="H119" s="301"/>
      <c r="I119" s="303"/>
      <c r="J119" s="290"/>
      <c r="K119" s="292"/>
      <c r="L119" s="311"/>
      <c r="M119" s="304"/>
      <c r="N119" s="292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6"/>
      <c r="AA119" s="297"/>
      <c r="AB119" s="298"/>
      <c r="AC119" s="358"/>
    </row>
    <row r="120" spans="1:29" x14ac:dyDescent="0.25">
      <c r="A120" s="1042"/>
      <c r="B120" s="315"/>
      <c r="C120" s="314"/>
      <c r="D120" s="277"/>
      <c r="E120" s="300"/>
      <c r="F120" s="301"/>
      <c r="G120" s="302"/>
      <c r="H120" s="301"/>
      <c r="I120" s="303"/>
      <c r="J120" s="290"/>
      <c r="K120" s="292"/>
      <c r="L120" s="292"/>
      <c r="M120" s="292"/>
      <c r="N120" s="292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6"/>
      <c r="AA120" s="297"/>
      <c r="AB120" s="298"/>
      <c r="AC120" s="358"/>
    </row>
    <row r="121" spans="1:29" x14ac:dyDescent="0.25">
      <c r="A121" s="1038" t="s">
        <v>1217</v>
      </c>
      <c r="B121" s="286" t="s">
        <v>1175</v>
      </c>
      <c r="C121" s="310">
        <f>C128</f>
        <v>46.284807957548047</v>
      </c>
      <c r="D121" s="1035">
        <f>C120:C121*D3</f>
        <v>9.3495312074247057</v>
      </c>
      <c r="E121" s="286" t="s">
        <v>1176</v>
      </c>
      <c r="F121" s="356"/>
      <c r="G121" s="288"/>
      <c r="H121" s="288"/>
      <c r="I121" s="289">
        <f>SUM(I122:I129)</f>
        <v>5.0149999999999997</v>
      </c>
      <c r="J121" s="290" t="s">
        <v>1176</v>
      </c>
      <c r="K121" s="291"/>
      <c r="L121" s="291"/>
      <c r="M121" s="291"/>
      <c r="N121" s="433">
        <f>SUM(N122:N129)</f>
        <v>0.19699936009173374</v>
      </c>
      <c r="O121" s="291" t="s">
        <v>1176</v>
      </c>
      <c r="P121" s="291"/>
      <c r="Q121" s="293"/>
      <c r="R121" s="294"/>
      <c r="S121" s="295">
        <f>S122</f>
        <v>2.0586365198772354</v>
      </c>
      <c r="T121" s="292"/>
      <c r="U121" s="292"/>
      <c r="V121" s="292"/>
      <c r="W121" s="292"/>
      <c r="X121" s="292"/>
      <c r="Y121" s="433">
        <f>SUM(Y122:Y129)</f>
        <v>20.895848557760889</v>
      </c>
      <c r="Z121" s="296">
        <f>(C121+D121+I121+N121+S121+Y121)*Z3</f>
        <v>108.95679949430028</v>
      </c>
      <c r="AA121" s="297">
        <f>Z121+N121+C121+I121+D121+Y121+S121</f>
        <v>192.75762309700292</v>
      </c>
      <c r="AB121" s="298">
        <v>0.25</v>
      </c>
      <c r="AC121" s="358">
        <f>AA121*(1+AB121)</f>
        <v>240.94702887125365</v>
      </c>
    </row>
    <row r="122" spans="1:29" x14ac:dyDescent="0.25">
      <c r="A122" s="1039"/>
      <c r="B122" s="299" t="s">
        <v>1177</v>
      </c>
      <c r="C122" s="314"/>
      <c r="D122" s="1036"/>
      <c r="E122" s="300"/>
      <c r="F122" s="301"/>
      <c r="G122" s="302"/>
      <c r="H122" s="301"/>
      <c r="I122" s="303"/>
      <c r="J122" s="290" t="s">
        <v>1291</v>
      </c>
      <c r="K122" s="304">
        <v>2</v>
      </c>
      <c r="L122" s="305">
        <v>750</v>
      </c>
      <c r="M122" s="304">
        <v>2</v>
      </c>
      <c r="N122" s="433">
        <f>L122/'Исп. коэффициенты'!E45*C127</f>
        <v>0.16982703456183945</v>
      </c>
      <c r="O122" s="291" t="s">
        <v>1228</v>
      </c>
      <c r="P122" s="291">
        <v>46220</v>
      </c>
      <c r="Q122" s="291">
        <v>19.670000000000002</v>
      </c>
      <c r="R122" s="291">
        <v>9091.4699999999993</v>
      </c>
      <c r="S122" s="295">
        <f>R122/'Исп. коэффициенты'!E45*C127</f>
        <v>2.0586365198772354</v>
      </c>
      <c r="T122" s="306" t="s">
        <v>1435</v>
      </c>
      <c r="U122" s="307">
        <v>6785401.3499999996</v>
      </c>
      <c r="V122" s="746">
        <f>'Исп. коэффициенты'!E124</f>
        <v>2978.5</v>
      </c>
      <c r="W122" s="308">
        <v>1.3599999999999999E-2</v>
      </c>
      <c r="X122" s="292">
        <f>U122*W122</f>
        <v>92281.45835999999</v>
      </c>
      <c r="Y122" s="295">
        <f>X122/'Исп. коэффициенты'!E45*C127</f>
        <v>20.895848557760889</v>
      </c>
      <c r="Z122" s="296"/>
      <c r="AA122" s="297"/>
      <c r="AB122" s="298"/>
      <c r="AC122" s="358"/>
    </row>
    <row r="123" spans="1:29" x14ac:dyDescent="0.25">
      <c r="A123" s="1039"/>
      <c r="B123" s="309" t="s">
        <v>1178</v>
      </c>
      <c r="C123" s="310"/>
      <c r="D123" s="1036"/>
      <c r="E123" s="300" t="s">
        <v>2187</v>
      </c>
      <c r="F123" s="301" t="s">
        <v>1</v>
      </c>
      <c r="G123" s="302">
        <v>6.3E-2</v>
      </c>
      <c r="H123" s="301">
        <v>5</v>
      </c>
      <c r="I123" s="303">
        <f>G123*H123</f>
        <v>0.315</v>
      </c>
      <c r="J123" s="290" t="s">
        <v>1445</v>
      </c>
      <c r="K123" s="292">
        <v>2</v>
      </c>
      <c r="L123" s="311">
        <v>95</v>
      </c>
      <c r="M123" s="304">
        <v>2</v>
      </c>
      <c r="N123" s="433">
        <f>L123/'Исп. коэффициенты'!E45*C127</f>
        <v>2.1511424377832999E-2</v>
      </c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6"/>
      <c r="AA123" s="297"/>
      <c r="AB123" s="298"/>
      <c r="AC123" s="358"/>
    </row>
    <row r="124" spans="1:29" x14ac:dyDescent="0.25">
      <c r="A124" s="1039"/>
      <c r="B124" s="286" t="s">
        <v>1179</v>
      </c>
      <c r="C124" s="310">
        <f>C115</f>
        <v>23.142403978774023</v>
      </c>
      <c r="D124" s="1036"/>
      <c r="E124" s="300" t="s">
        <v>2112</v>
      </c>
      <c r="F124" s="301" t="s">
        <v>1</v>
      </c>
      <c r="G124" s="302">
        <v>0.47</v>
      </c>
      <c r="H124" s="302">
        <v>10</v>
      </c>
      <c r="I124" s="303">
        <f>G124*H124</f>
        <v>4.6999999999999993</v>
      </c>
      <c r="J124" s="290" t="s">
        <v>1513</v>
      </c>
      <c r="K124" s="292">
        <v>2</v>
      </c>
      <c r="L124" s="292">
        <v>25</v>
      </c>
      <c r="M124" s="304">
        <v>0.5</v>
      </c>
      <c r="N124" s="433">
        <f>L124/'Исп. коэффициенты'!E45*C127</f>
        <v>5.6609011520613152E-3</v>
      </c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6"/>
      <c r="AA124" s="297"/>
      <c r="AB124" s="298"/>
      <c r="AC124" s="358"/>
    </row>
    <row r="125" spans="1:29" x14ac:dyDescent="0.25">
      <c r="A125" s="1039"/>
      <c r="B125" s="286" t="s">
        <v>1180</v>
      </c>
      <c r="C125" s="314"/>
      <c r="D125" s="1036"/>
      <c r="E125" s="300"/>
      <c r="F125" s="301"/>
      <c r="G125" s="302"/>
      <c r="H125" s="301"/>
      <c r="I125" s="303"/>
      <c r="J125" s="290"/>
      <c r="K125" s="292"/>
      <c r="L125" s="292"/>
      <c r="M125" s="292"/>
      <c r="N125" s="292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6"/>
      <c r="AA125" s="297"/>
      <c r="AB125" s="298"/>
      <c r="AC125" s="358"/>
    </row>
    <row r="126" spans="1:29" x14ac:dyDescent="0.25">
      <c r="A126" s="1039"/>
      <c r="B126" s="309" t="s">
        <v>1178</v>
      </c>
      <c r="C126" s="314"/>
      <c r="D126" s="1036"/>
      <c r="E126" s="300"/>
      <c r="F126" s="301"/>
      <c r="G126" s="302"/>
      <c r="H126" s="301"/>
      <c r="I126" s="303"/>
      <c r="J126" s="290"/>
      <c r="K126" s="292"/>
      <c r="L126" s="292"/>
      <c r="M126" s="292"/>
      <c r="N126" s="292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6"/>
      <c r="AA126" s="297"/>
      <c r="AB126" s="298"/>
      <c r="AC126" s="358"/>
    </row>
    <row r="127" spans="1:29" x14ac:dyDescent="0.25">
      <c r="A127" s="1039"/>
      <c r="B127" s="286" t="s">
        <v>1179</v>
      </c>
      <c r="C127" s="314">
        <v>2</v>
      </c>
      <c r="D127" s="1036"/>
      <c r="E127" s="300"/>
      <c r="F127" s="301"/>
      <c r="G127" s="302"/>
      <c r="H127" s="301"/>
      <c r="I127" s="303"/>
      <c r="J127" s="290"/>
      <c r="K127" s="292"/>
      <c r="L127" s="305"/>
      <c r="M127" s="304"/>
      <c r="N127" s="292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6"/>
      <c r="AA127" s="297"/>
      <c r="AB127" s="298"/>
      <c r="AC127" s="358"/>
    </row>
    <row r="128" spans="1:29" x14ac:dyDescent="0.25">
      <c r="A128" s="1039"/>
      <c r="B128" s="315" t="s">
        <v>1181</v>
      </c>
      <c r="C128" s="314">
        <f>C123*C126+C124*C127</f>
        <v>46.284807957548047</v>
      </c>
      <c r="D128" s="1037"/>
      <c r="E128" s="300"/>
      <c r="F128" s="376"/>
      <c r="G128" s="302"/>
      <c r="H128" s="301"/>
      <c r="I128" s="303"/>
      <c r="J128" s="290"/>
      <c r="K128" s="292"/>
      <c r="L128" s="311"/>
      <c r="M128" s="304"/>
      <c r="N128" s="292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6"/>
      <c r="AA128" s="297"/>
      <c r="AB128" s="298"/>
      <c r="AC128" s="358"/>
    </row>
    <row r="129" spans="1:29" x14ac:dyDescent="0.25">
      <c r="A129" s="1040"/>
      <c r="B129" s="315"/>
      <c r="C129" s="314"/>
      <c r="D129" s="277"/>
      <c r="E129" s="300"/>
      <c r="F129" s="301"/>
      <c r="G129" s="302"/>
      <c r="H129" s="301"/>
      <c r="I129" s="303"/>
      <c r="J129" s="290"/>
      <c r="K129" s="292"/>
      <c r="L129" s="292"/>
      <c r="M129" s="292"/>
      <c r="N129" s="292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6"/>
      <c r="AA129" s="297"/>
      <c r="AB129" s="298"/>
      <c r="AC129" s="358"/>
    </row>
    <row r="130" spans="1:29" x14ac:dyDescent="0.25">
      <c r="A130" s="1042" t="s">
        <v>1218</v>
      </c>
      <c r="B130" s="286" t="s">
        <v>1175</v>
      </c>
      <c r="C130" s="277">
        <f>C137</f>
        <v>46.284807957548047</v>
      </c>
      <c r="D130" s="1035">
        <f>C130*D3</f>
        <v>9.3495312074247057</v>
      </c>
      <c r="E130" s="286" t="s">
        <v>1176</v>
      </c>
      <c r="F130" s="356"/>
      <c r="G130" s="288"/>
      <c r="H130" s="288"/>
      <c r="I130" s="289">
        <f>SUM(I131:I138)</f>
        <v>5.0149999999999997</v>
      </c>
      <c r="J130" s="290" t="s">
        <v>1176</v>
      </c>
      <c r="K130" s="291"/>
      <c r="L130" s="291"/>
      <c r="M130" s="291"/>
      <c r="N130" s="433">
        <f>SUM(N131:N138)</f>
        <v>0.19699936009173374</v>
      </c>
      <c r="O130" s="291" t="s">
        <v>1176</v>
      </c>
      <c r="P130" s="291"/>
      <c r="Q130" s="293"/>
      <c r="R130" s="294"/>
      <c r="S130" s="295">
        <f>S131</f>
        <v>2.0586365198772354</v>
      </c>
      <c r="T130" s="292"/>
      <c r="U130" s="292"/>
      <c r="V130" s="292"/>
      <c r="W130" s="292"/>
      <c r="X130" s="292"/>
      <c r="Y130" s="433">
        <f>SUM(Y131:Y138)</f>
        <v>20.895848557760889</v>
      </c>
      <c r="Z130" s="296">
        <f>(C130+D130+I130+N130+S130+Y130)*Z3</f>
        <v>108.95679949430028</v>
      </c>
      <c r="AA130" s="297">
        <f>Z130+N130+C130+I130+D130+Y130+S130</f>
        <v>192.75762309700292</v>
      </c>
      <c r="AB130" s="298">
        <v>0.25</v>
      </c>
      <c r="AC130" s="358">
        <f>AA130*(1+AB130)</f>
        <v>240.94702887125365</v>
      </c>
    </row>
    <row r="131" spans="1:29" x14ac:dyDescent="0.25">
      <c r="A131" s="1042"/>
      <c r="B131" s="299" t="s">
        <v>1177</v>
      </c>
      <c r="C131" s="278"/>
      <c r="D131" s="1036"/>
      <c r="E131" s="300"/>
      <c r="F131" s="301"/>
      <c r="G131" s="302"/>
      <c r="H131" s="301"/>
      <c r="I131" s="303"/>
      <c r="J131" s="290" t="s">
        <v>1291</v>
      </c>
      <c r="K131" s="304">
        <v>2</v>
      </c>
      <c r="L131" s="305">
        <v>750</v>
      </c>
      <c r="M131" s="304">
        <v>2</v>
      </c>
      <c r="N131" s="433">
        <f>L131/'Исп. коэффициенты'!E45*C136</f>
        <v>0.16982703456183945</v>
      </c>
      <c r="O131" s="291" t="s">
        <v>1228</v>
      </c>
      <c r="P131" s="291">
        <v>46220</v>
      </c>
      <c r="Q131" s="291">
        <v>19.670000000000002</v>
      </c>
      <c r="R131" s="291">
        <v>9091.4699999999993</v>
      </c>
      <c r="S131" s="295">
        <f>R131/'Исп. коэффициенты'!E45*C136</f>
        <v>2.0586365198772354</v>
      </c>
      <c r="T131" s="306" t="s">
        <v>1435</v>
      </c>
      <c r="U131" s="307">
        <v>6785401.3499999996</v>
      </c>
      <c r="V131" s="746">
        <f>'Исп. коэффициенты'!E124</f>
        <v>2978.5</v>
      </c>
      <c r="W131" s="308">
        <v>1.3599999999999999E-2</v>
      </c>
      <c r="X131" s="292">
        <f>U131*W131</f>
        <v>92281.45835999999</v>
      </c>
      <c r="Y131" s="295">
        <f>X131/'Исп. коэффициенты'!E45*C136</f>
        <v>20.895848557760889</v>
      </c>
      <c r="Z131" s="296"/>
      <c r="AA131" s="297"/>
      <c r="AB131" s="298"/>
      <c r="AC131" s="358"/>
    </row>
    <row r="132" spans="1:29" x14ac:dyDescent="0.25">
      <c r="A132" s="1042"/>
      <c r="B132" s="309" t="s">
        <v>1178</v>
      </c>
      <c r="C132" s="278"/>
      <c r="D132" s="1036"/>
      <c r="E132" s="300" t="s">
        <v>2187</v>
      </c>
      <c r="F132" s="301" t="s">
        <v>1</v>
      </c>
      <c r="G132" s="302">
        <v>6.3E-2</v>
      </c>
      <c r="H132" s="301">
        <v>5</v>
      </c>
      <c r="I132" s="303">
        <f>G132*H132</f>
        <v>0.315</v>
      </c>
      <c r="J132" s="290" t="s">
        <v>1445</v>
      </c>
      <c r="K132" s="292">
        <v>2</v>
      </c>
      <c r="L132" s="311">
        <v>95</v>
      </c>
      <c r="M132" s="304">
        <v>2</v>
      </c>
      <c r="N132" s="433">
        <f>L132/'Исп. коэффициенты'!E45*C136</f>
        <v>2.1511424377832999E-2</v>
      </c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6"/>
      <c r="AA132" s="297"/>
      <c r="AB132" s="298"/>
      <c r="AC132" s="358"/>
    </row>
    <row r="133" spans="1:29" x14ac:dyDescent="0.25">
      <c r="A133" s="1042"/>
      <c r="B133" s="286" t="s">
        <v>1179</v>
      </c>
      <c r="C133" s="277">
        <f>C124</f>
        <v>23.142403978774023</v>
      </c>
      <c r="D133" s="1036"/>
      <c r="E133" s="300" t="s">
        <v>2112</v>
      </c>
      <c r="F133" s="301" t="s">
        <v>1</v>
      </c>
      <c r="G133" s="302">
        <v>0.47</v>
      </c>
      <c r="H133" s="302">
        <v>10</v>
      </c>
      <c r="I133" s="303">
        <f>G133*H133</f>
        <v>4.6999999999999993</v>
      </c>
      <c r="J133" s="290" t="s">
        <v>1513</v>
      </c>
      <c r="K133" s="292">
        <v>2</v>
      </c>
      <c r="L133" s="292">
        <v>25</v>
      </c>
      <c r="M133" s="304">
        <v>0.5</v>
      </c>
      <c r="N133" s="433">
        <f>L133/'Исп. коэффициенты'!E45*C136</f>
        <v>5.6609011520613152E-3</v>
      </c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6"/>
      <c r="AA133" s="297"/>
      <c r="AB133" s="298"/>
      <c r="AC133" s="358"/>
    </row>
    <row r="134" spans="1:29" x14ac:dyDescent="0.25">
      <c r="A134" s="1042"/>
      <c r="B134" s="286" t="s">
        <v>1180</v>
      </c>
      <c r="C134" s="278"/>
      <c r="D134" s="1036"/>
      <c r="E134" s="300"/>
      <c r="F134" s="301"/>
      <c r="G134" s="302"/>
      <c r="H134" s="301"/>
      <c r="I134" s="303"/>
      <c r="J134" s="290"/>
      <c r="K134" s="292"/>
      <c r="L134" s="292"/>
      <c r="M134" s="292"/>
      <c r="N134" s="292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6"/>
      <c r="AA134" s="297"/>
      <c r="AB134" s="298"/>
      <c r="AC134" s="358"/>
    </row>
    <row r="135" spans="1:29" x14ac:dyDescent="0.25">
      <c r="A135" s="1042"/>
      <c r="B135" s="309" t="s">
        <v>1178</v>
      </c>
      <c r="C135" s="328"/>
      <c r="D135" s="1036"/>
      <c r="E135" s="300"/>
      <c r="F135" s="301"/>
      <c r="G135" s="302"/>
      <c r="H135" s="301"/>
      <c r="I135" s="303"/>
      <c r="J135" s="290"/>
      <c r="K135" s="292"/>
      <c r="L135" s="292"/>
      <c r="M135" s="292"/>
      <c r="N135" s="292"/>
      <c r="O135" s="291"/>
      <c r="P135" s="291"/>
      <c r="Q135" s="291"/>
      <c r="R135" s="291"/>
      <c r="S135" s="291"/>
      <c r="T135" s="291"/>
      <c r="U135" s="291"/>
      <c r="V135" s="291"/>
      <c r="W135" s="291"/>
      <c r="X135" s="291"/>
      <c r="Y135" s="291"/>
      <c r="Z135" s="296"/>
      <c r="AA135" s="297"/>
      <c r="AB135" s="298"/>
      <c r="AC135" s="358"/>
    </row>
    <row r="136" spans="1:29" x14ac:dyDescent="0.25">
      <c r="A136" s="1042"/>
      <c r="B136" s="286" t="s">
        <v>1179</v>
      </c>
      <c r="C136" s="328">
        <v>2</v>
      </c>
      <c r="D136" s="1036"/>
      <c r="E136" s="300"/>
      <c r="F136" s="301"/>
      <c r="G136" s="302"/>
      <c r="H136" s="301"/>
      <c r="I136" s="303"/>
      <c r="J136" s="290"/>
      <c r="K136" s="292"/>
      <c r="L136" s="305"/>
      <c r="M136" s="304"/>
      <c r="N136" s="292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6"/>
      <c r="AA136" s="297"/>
      <c r="AB136" s="298"/>
      <c r="AC136" s="358"/>
    </row>
    <row r="137" spans="1:29" x14ac:dyDescent="0.25">
      <c r="A137" s="1042"/>
      <c r="B137" s="315" t="s">
        <v>1181</v>
      </c>
      <c r="C137" s="328">
        <f>C133*C136</f>
        <v>46.284807957548047</v>
      </c>
      <c r="D137" s="1037"/>
      <c r="E137" s="300"/>
      <c r="F137" s="376"/>
      <c r="G137" s="302"/>
      <c r="H137" s="301"/>
      <c r="I137" s="303"/>
      <c r="J137" s="290"/>
      <c r="K137" s="292"/>
      <c r="L137" s="311"/>
      <c r="M137" s="304"/>
      <c r="N137" s="292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6"/>
      <c r="AA137" s="297"/>
      <c r="AB137" s="298"/>
      <c r="AC137" s="358"/>
    </row>
    <row r="138" spans="1:29" x14ac:dyDescent="0.25">
      <c r="A138" s="1042"/>
      <c r="B138" s="286"/>
      <c r="C138" s="278"/>
      <c r="D138" s="287"/>
      <c r="E138" s="286"/>
      <c r="F138" s="287"/>
      <c r="G138" s="288"/>
      <c r="H138" s="288"/>
      <c r="I138" s="287"/>
      <c r="J138" s="290"/>
      <c r="K138" s="291"/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6"/>
      <c r="AA138" s="297"/>
      <c r="AB138" s="298"/>
      <c r="AC138" s="358"/>
    </row>
    <row r="139" spans="1:29" x14ac:dyDescent="0.25">
      <c r="A139" s="1042" t="s">
        <v>1219</v>
      </c>
      <c r="B139" s="286" t="s">
        <v>1175</v>
      </c>
      <c r="C139" s="277">
        <f>C146</f>
        <v>46.284807957548047</v>
      </c>
      <c r="D139" s="1035">
        <f>C139*D3</f>
        <v>9.3495312074247057</v>
      </c>
      <c r="E139" s="286" t="s">
        <v>1176</v>
      </c>
      <c r="F139" s="356"/>
      <c r="G139" s="288"/>
      <c r="H139" s="288"/>
      <c r="I139" s="289">
        <f>SUM(I140:I147)</f>
        <v>5.0149999999999997</v>
      </c>
      <c r="J139" s="290" t="s">
        <v>1176</v>
      </c>
      <c r="K139" s="291"/>
      <c r="L139" s="291"/>
      <c r="M139" s="291"/>
      <c r="N139" s="433">
        <f>SUM(N140:N147)</f>
        <v>0.19699936009173374</v>
      </c>
      <c r="O139" s="291" t="s">
        <v>1176</v>
      </c>
      <c r="P139" s="291"/>
      <c r="Q139" s="293"/>
      <c r="R139" s="294"/>
      <c r="S139" s="295">
        <f>S140</f>
        <v>2.0586365198772354</v>
      </c>
      <c r="T139" s="292"/>
      <c r="U139" s="292"/>
      <c r="V139" s="292"/>
      <c r="W139" s="292"/>
      <c r="X139" s="292"/>
      <c r="Y139" s="433">
        <f>SUM(Y140:Y147)</f>
        <v>20.895848557760889</v>
      </c>
      <c r="Z139" s="296">
        <f>(C139+D139+I139+N139+S139+Y139)*Z3</f>
        <v>108.95679949430028</v>
      </c>
      <c r="AA139" s="297">
        <f>Z139+N139+C139+I139+D139+Y139+S139</f>
        <v>192.75762309700292</v>
      </c>
      <c r="AB139" s="298">
        <v>0.25</v>
      </c>
      <c r="AC139" s="358">
        <f>AA139*(1+AB139)</f>
        <v>240.94702887125365</v>
      </c>
    </row>
    <row r="140" spans="1:29" x14ac:dyDescent="0.25">
      <c r="A140" s="1042"/>
      <c r="B140" s="299" t="s">
        <v>1177</v>
      </c>
      <c r="C140" s="278"/>
      <c r="D140" s="1036"/>
      <c r="E140" s="300"/>
      <c r="F140" s="301"/>
      <c r="G140" s="302"/>
      <c r="H140" s="301"/>
      <c r="I140" s="303"/>
      <c r="J140" s="290" t="s">
        <v>1291</v>
      </c>
      <c r="K140" s="304">
        <v>2</v>
      </c>
      <c r="L140" s="305">
        <v>750</v>
      </c>
      <c r="M140" s="304">
        <v>2</v>
      </c>
      <c r="N140" s="433">
        <f>L140/'Исп. коэффициенты'!E45*C145</f>
        <v>0.16982703456183945</v>
      </c>
      <c r="O140" s="291" t="s">
        <v>1228</v>
      </c>
      <c r="P140" s="291">
        <v>46220</v>
      </c>
      <c r="Q140" s="291">
        <v>19.670000000000002</v>
      </c>
      <c r="R140" s="291">
        <v>9091.4699999999993</v>
      </c>
      <c r="S140" s="295">
        <f>R140/'Исп. коэффициенты'!E45*C145</f>
        <v>2.0586365198772354</v>
      </c>
      <c r="T140" s="306" t="s">
        <v>1435</v>
      </c>
      <c r="U140" s="307">
        <v>6785401.3499999996</v>
      </c>
      <c r="V140" s="746">
        <f>'Исп. коэффициенты'!E124</f>
        <v>2978.5</v>
      </c>
      <c r="W140" s="308">
        <v>1.3599999999999999E-2</v>
      </c>
      <c r="X140" s="292">
        <f>U140*W140</f>
        <v>92281.45835999999</v>
      </c>
      <c r="Y140" s="295">
        <f>X140/'Исп. коэффициенты'!E45*C145</f>
        <v>20.895848557760889</v>
      </c>
      <c r="Z140" s="296"/>
      <c r="AA140" s="297"/>
      <c r="AB140" s="298"/>
      <c r="AC140" s="358"/>
    </row>
    <row r="141" spans="1:29" x14ac:dyDescent="0.25">
      <c r="A141" s="1042"/>
      <c r="B141" s="309" t="s">
        <v>1178</v>
      </c>
      <c r="C141" s="277"/>
      <c r="D141" s="1036"/>
      <c r="E141" s="300" t="s">
        <v>2187</v>
      </c>
      <c r="F141" s="301" t="s">
        <v>1</v>
      </c>
      <c r="G141" s="302">
        <v>6.3E-2</v>
      </c>
      <c r="H141" s="301">
        <v>5</v>
      </c>
      <c r="I141" s="303">
        <f>G141*H141</f>
        <v>0.315</v>
      </c>
      <c r="J141" s="290" t="s">
        <v>1445</v>
      </c>
      <c r="K141" s="292">
        <v>2</v>
      </c>
      <c r="L141" s="311">
        <v>95</v>
      </c>
      <c r="M141" s="304">
        <v>2</v>
      </c>
      <c r="N141" s="433">
        <f>L141/'Исп. коэффициенты'!E45*C145</f>
        <v>2.1511424377832999E-2</v>
      </c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6"/>
      <c r="AA141" s="297"/>
      <c r="AB141" s="298"/>
      <c r="AC141" s="358"/>
    </row>
    <row r="142" spans="1:29" x14ac:dyDescent="0.25">
      <c r="A142" s="1042"/>
      <c r="B142" s="286" t="s">
        <v>1179</v>
      </c>
      <c r="C142" s="277">
        <f xml:space="preserve"> C133</f>
        <v>23.142403978774023</v>
      </c>
      <c r="D142" s="1036"/>
      <c r="E142" s="300" t="s">
        <v>2112</v>
      </c>
      <c r="F142" s="301" t="s">
        <v>1</v>
      </c>
      <c r="G142" s="302">
        <v>0.47</v>
      </c>
      <c r="H142" s="302">
        <v>10</v>
      </c>
      <c r="I142" s="303">
        <f>G142*H142</f>
        <v>4.6999999999999993</v>
      </c>
      <c r="J142" s="290" t="s">
        <v>1513</v>
      </c>
      <c r="K142" s="292">
        <v>2</v>
      </c>
      <c r="L142" s="292">
        <v>25</v>
      </c>
      <c r="M142" s="304">
        <v>0.5</v>
      </c>
      <c r="N142" s="433">
        <f>L142/'Исп. коэффициенты'!E45*C145</f>
        <v>5.6609011520613152E-3</v>
      </c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6"/>
      <c r="AA142" s="297"/>
      <c r="AB142" s="298"/>
      <c r="AC142" s="358"/>
    </row>
    <row r="143" spans="1:29" x14ac:dyDescent="0.25">
      <c r="A143" s="1042"/>
      <c r="B143" s="286" t="s">
        <v>1180</v>
      </c>
      <c r="C143" s="278"/>
      <c r="D143" s="1036"/>
      <c r="E143" s="300"/>
      <c r="F143" s="301"/>
      <c r="G143" s="302"/>
      <c r="H143" s="301"/>
      <c r="I143" s="303"/>
      <c r="J143" s="290"/>
      <c r="K143" s="292"/>
      <c r="L143" s="292"/>
      <c r="M143" s="292"/>
      <c r="N143" s="292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6"/>
      <c r="AA143" s="297"/>
      <c r="AB143" s="298"/>
      <c r="AC143" s="358"/>
    </row>
    <row r="144" spans="1:29" x14ac:dyDescent="0.25">
      <c r="A144" s="1042"/>
      <c r="B144" s="309" t="s">
        <v>1178</v>
      </c>
      <c r="C144" s="328"/>
      <c r="D144" s="1036"/>
      <c r="E144" s="300"/>
      <c r="F144" s="301"/>
      <c r="G144" s="302"/>
      <c r="H144" s="301"/>
      <c r="I144" s="303"/>
      <c r="J144" s="290"/>
      <c r="K144" s="292"/>
      <c r="L144" s="292"/>
      <c r="M144" s="292"/>
      <c r="N144" s="292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6"/>
      <c r="AA144" s="297"/>
      <c r="AB144" s="298"/>
      <c r="AC144" s="358"/>
    </row>
    <row r="145" spans="1:29" x14ac:dyDescent="0.25">
      <c r="A145" s="1042"/>
      <c r="B145" s="286" t="s">
        <v>1179</v>
      </c>
      <c r="C145" s="328">
        <v>2</v>
      </c>
      <c r="D145" s="1036"/>
      <c r="E145" s="300"/>
      <c r="F145" s="301"/>
      <c r="G145" s="302"/>
      <c r="H145" s="301"/>
      <c r="I145" s="303"/>
      <c r="J145" s="290"/>
      <c r="K145" s="292"/>
      <c r="L145" s="305"/>
      <c r="M145" s="304"/>
      <c r="N145" s="292"/>
      <c r="O145" s="291"/>
      <c r="P145" s="291"/>
      <c r="Q145" s="291"/>
      <c r="R145" s="291"/>
      <c r="S145" s="291"/>
      <c r="T145" s="291"/>
      <c r="U145" s="291"/>
      <c r="V145" s="291"/>
      <c r="W145" s="291"/>
      <c r="X145" s="291"/>
      <c r="Y145" s="291"/>
      <c r="Z145" s="296"/>
      <c r="AA145" s="297"/>
      <c r="AB145" s="298"/>
      <c r="AC145" s="358"/>
    </row>
    <row r="146" spans="1:29" x14ac:dyDescent="0.25">
      <c r="A146" s="1042"/>
      <c r="B146" s="315" t="s">
        <v>1181</v>
      </c>
      <c r="C146" s="277">
        <f>C141*C144+C142*C145</f>
        <v>46.284807957548047</v>
      </c>
      <c r="D146" s="1037"/>
      <c r="E146" s="300"/>
      <c r="F146" s="376"/>
      <c r="G146" s="302"/>
      <c r="H146" s="301"/>
      <c r="I146" s="303"/>
      <c r="J146" s="290"/>
      <c r="K146" s="292"/>
      <c r="L146" s="311"/>
      <c r="M146" s="304"/>
      <c r="N146" s="292"/>
      <c r="O146" s="291"/>
      <c r="P146" s="291"/>
      <c r="Q146" s="291"/>
      <c r="R146" s="291"/>
      <c r="S146" s="291"/>
      <c r="T146" s="291"/>
      <c r="U146" s="291"/>
      <c r="V146" s="291"/>
      <c r="W146" s="291"/>
      <c r="X146" s="291"/>
      <c r="Y146" s="291"/>
      <c r="Z146" s="296"/>
      <c r="AA146" s="297"/>
      <c r="AB146" s="298"/>
      <c r="AC146" s="358"/>
    </row>
    <row r="147" spans="1:29" x14ac:dyDescent="0.25">
      <c r="A147" s="1042"/>
      <c r="B147" s="286"/>
      <c r="C147" s="278"/>
      <c r="D147" s="287"/>
      <c r="E147" s="286"/>
      <c r="F147" s="287"/>
      <c r="G147" s="288"/>
      <c r="H147" s="288"/>
      <c r="I147" s="287"/>
      <c r="J147" s="290"/>
      <c r="K147" s="291"/>
      <c r="L147" s="291"/>
      <c r="M147" s="291"/>
      <c r="N147" s="291"/>
      <c r="O147" s="291"/>
      <c r="P147" s="291"/>
      <c r="Q147" s="291"/>
      <c r="R147" s="291"/>
      <c r="S147" s="291"/>
      <c r="T147" s="291"/>
      <c r="U147" s="291"/>
      <c r="V147" s="291"/>
      <c r="W147" s="291"/>
      <c r="X147" s="291"/>
      <c r="Y147" s="291"/>
      <c r="Z147" s="296"/>
      <c r="AA147" s="297"/>
      <c r="AB147" s="298"/>
      <c r="AC147" s="358"/>
    </row>
    <row r="148" spans="1:29" x14ac:dyDescent="0.25">
      <c r="A148" s="1042" t="s">
        <v>1220</v>
      </c>
      <c r="B148" s="286" t="s">
        <v>1175</v>
      </c>
      <c r="C148" s="277">
        <f>C155</f>
        <v>46.284807957548047</v>
      </c>
      <c r="D148" s="1035">
        <f>C148*D3</f>
        <v>9.3495312074247057</v>
      </c>
      <c r="E148" s="286" t="s">
        <v>1176</v>
      </c>
      <c r="F148" s="356"/>
      <c r="G148" s="288"/>
      <c r="H148" s="288"/>
      <c r="I148" s="289">
        <f>SUM(I149:I156)</f>
        <v>5.0149999999999997</v>
      </c>
      <c r="J148" s="290" t="s">
        <v>1176</v>
      </c>
      <c r="K148" s="291"/>
      <c r="L148" s="291"/>
      <c r="M148" s="291"/>
      <c r="N148" s="433">
        <f>SUM(N149:N156)</f>
        <v>0.19699936009173374</v>
      </c>
      <c r="O148" s="291" t="s">
        <v>1176</v>
      </c>
      <c r="P148" s="291"/>
      <c r="Q148" s="293"/>
      <c r="R148" s="294"/>
      <c r="S148" s="295">
        <f>S149</f>
        <v>2.0586365198772354</v>
      </c>
      <c r="T148" s="292"/>
      <c r="U148" s="292"/>
      <c r="V148" s="292"/>
      <c r="W148" s="292"/>
      <c r="X148" s="292"/>
      <c r="Y148" s="433">
        <f>SUM(Y149:Y156)</f>
        <v>20.895848557760889</v>
      </c>
      <c r="Z148" s="296">
        <f>(C148+D148+I148+N148+S148+Y148)*Z3</f>
        <v>108.95679949430028</v>
      </c>
      <c r="AA148" s="297">
        <f>Z148+N148+C148+I148+D148+Y148+S148</f>
        <v>192.75762309700292</v>
      </c>
      <c r="AB148" s="298">
        <v>0.25</v>
      </c>
      <c r="AC148" s="358">
        <f>AA148*(1+AB148)</f>
        <v>240.94702887125365</v>
      </c>
    </row>
    <row r="149" spans="1:29" x14ac:dyDescent="0.25">
      <c r="A149" s="1042"/>
      <c r="B149" s="299" t="s">
        <v>1177</v>
      </c>
      <c r="C149" s="278"/>
      <c r="D149" s="1036"/>
      <c r="E149" s="300"/>
      <c r="F149" s="301"/>
      <c r="G149" s="302"/>
      <c r="H149" s="301"/>
      <c r="I149" s="303"/>
      <c r="J149" s="290" t="s">
        <v>1291</v>
      </c>
      <c r="K149" s="304">
        <v>2</v>
      </c>
      <c r="L149" s="305">
        <v>750</v>
      </c>
      <c r="M149" s="304">
        <v>2</v>
      </c>
      <c r="N149" s="433">
        <f>L149/'Исп. коэффициенты'!E45*C154</f>
        <v>0.16982703456183945</v>
      </c>
      <c r="O149" s="291" t="s">
        <v>1228</v>
      </c>
      <c r="P149" s="291">
        <v>46220</v>
      </c>
      <c r="Q149" s="291">
        <v>19.670000000000002</v>
      </c>
      <c r="R149" s="291">
        <v>9091.4699999999993</v>
      </c>
      <c r="S149" s="295">
        <f>R149/'Исп. коэффициенты'!E45*C154</f>
        <v>2.0586365198772354</v>
      </c>
      <c r="T149" s="306" t="s">
        <v>1435</v>
      </c>
      <c r="U149" s="307">
        <v>6785401.3499999996</v>
      </c>
      <c r="V149" s="746">
        <f>'Исп. коэффициенты'!E124</f>
        <v>2978.5</v>
      </c>
      <c r="W149" s="308">
        <v>1.3599999999999999E-2</v>
      </c>
      <c r="X149" s="292">
        <f>U149*W149</f>
        <v>92281.45835999999</v>
      </c>
      <c r="Y149" s="295">
        <f>X149/'Исп. коэффициенты'!E45*C154</f>
        <v>20.895848557760889</v>
      </c>
      <c r="Z149" s="296"/>
      <c r="AA149" s="297"/>
      <c r="AB149" s="298"/>
      <c r="AC149" s="358"/>
    </row>
    <row r="150" spans="1:29" x14ac:dyDescent="0.25">
      <c r="A150" s="1042"/>
      <c r="B150" s="309" t="s">
        <v>1178</v>
      </c>
      <c r="C150" s="278"/>
      <c r="D150" s="1036"/>
      <c r="E150" s="300" t="s">
        <v>2187</v>
      </c>
      <c r="F150" s="301" t="s">
        <v>1</v>
      </c>
      <c r="G150" s="302">
        <v>6.3E-2</v>
      </c>
      <c r="H150" s="301">
        <v>5</v>
      </c>
      <c r="I150" s="303">
        <f>G150*H150</f>
        <v>0.315</v>
      </c>
      <c r="J150" s="290" t="s">
        <v>1445</v>
      </c>
      <c r="K150" s="292">
        <v>2</v>
      </c>
      <c r="L150" s="311">
        <v>95</v>
      </c>
      <c r="M150" s="304">
        <v>2</v>
      </c>
      <c r="N150" s="433">
        <f>L150/'Исп. коэффициенты'!E45*C154</f>
        <v>2.1511424377832999E-2</v>
      </c>
      <c r="O150" s="291"/>
      <c r="P150" s="291"/>
      <c r="Q150" s="291"/>
      <c r="R150" s="291"/>
      <c r="S150" s="291"/>
      <c r="T150" s="291"/>
      <c r="U150" s="291"/>
      <c r="V150" s="291"/>
      <c r="W150" s="291"/>
      <c r="X150" s="291"/>
      <c r="Y150" s="291"/>
      <c r="Z150" s="296"/>
      <c r="AA150" s="297"/>
      <c r="AB150" s="298"/>
      <c r="AC150" s="358"/>
    </row>
    <row r="151" spans="1:29" x14ac:dyDescent="0.25">
      <c r="A151" s="1042"/>
      <c r="B151" s="286" t="s">
        <v>1179</v>
      </c>
      <c r="C151" s="277">
        <f>C142</f>
        <v>23.142403978774023</v>
      </c>
      <c r="D151" s="1036"/>
      <c r="E151" s="300" t="s">
        <v>2112</v>
      </c>
      <c r="F151" s="301" t="s">
        <v>1</v>
      </c>
      <c r="G151" s="302">
        <v>0.47</v>
      </c>
      <c r="H151" s="302">
        <v>10</v>
      </c>
      <c r="I151" s="303">
        <f>G151*H151</f>
        <v>4.6999999999999993</v>
      </c>
      <c r="J151" s="290" t="s">
        <v>1513</v>
      </c>
      <c r="K151" s="292">
        <v>2</v>
      </c>
      <c r="L151" s="292">
        <v>25</v>
      </c>
      <c r="M151" s="304">
        <v>0.5</v>
      </c>
      <c r="N151" s="433">
        <f>L151/'Исп. коэффициенты'!E45*C154</f>
        <v>5.6609011520613152E-3</v>
      </c>
      <c r="O151" s="291"/>
      <c r="P151" s="291"/>
      <c r="Q151" s="291"/>
      <c r="R151" s="291"/>
      <c r="S151" s="291"/>
      <c r="T151" s="291"/>
      <c r="U151" s="291"/>
      <c r="V151" s="291"/>
      <c r="W151" s="291"/>
      <c r="X151" s="291"/>
      <c r="Y151" s="291"/>
      <c r="Z151" s="296"/>
      <c r="AA151" s="297"/>
      <c r="AB151" s="298"/>
      <c r="AC151" s="358"/>
    </row>
    <row r="152" spans="1:29" x14ac:dyDescent="0.25">
      <c r="A152" s="1042"/>
      <c r="B152" s="286" t="s">
        <v>1180</v>
      </c>
      <c r="C152" s="278"/>
      <c r="D152" s="1036"/>
      <c r="E152" s="300"/>
      <c r="F152" s="301"/>
      <c r="G152" s="302"/>
      <c r="H152" s="301"/>
      <c r="I152" s="303"/>
      <c r="J152" s="290"/>
      <c r="K152" s="292"/>
      <c r="L152" s="292"/>
      <c r="M152" s="292"/>
      <c r="N152" s="292"/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6"/>
      <c r="AA152" s="297"/>
      <c r="AB152" s="298"/>
      <c r="AC152" s="358"/>
    </row>
    <row r="153" spans="1:29" x14ac:dyDescent="0.25">
      <c r="A153" s="1042"/>
      <c r="B153" s="309" t="s">
        <v>1178</v>
      </c>
      <c r="C153" s="328"/>
      <c r="D153" s="1036"/>
      <c r="E153" s="300"/>
      <c r="F153" s="301"/>
      <c r="G153" s="302"/>
      <c r="H153" s="301"/>
      <c r="I153" s="303"/>
      <c r="J153" s="290"/>
      <c r="K153" s="292"/>
      <c r="L153" s="292"/>
      <c r="M153" s="292"/>
      <c r="N153" s="292"/>
      <c r="O153" s="291"/>
      <c r="P153" s="291"/>
      <c r="Q153" s="291"/>
      <c r="R153" s="291"/>
      <c r="S153" s="291"/>
      <c r="T153" s="291"/>
      <c r="U153" s="291"/>
      <c r="V153" s="291"/>
      <c r="W153" s="291"/>
      <c r="X153" s="291"/>
      <c r="Y153" s="291"/>
      <c r="Z153" s="296"/>
      <c r="AA153" s="297"/>
      <c r="AB153" s="298"/>
      <c r="AC153" s="358"/>
    </row>
    <row r="154" spans="1:29" x14ac:dyDescent="0.25">
      <c r="A154" s="1042"/>
      <c r="B154" s="286" t="s">
        <v>1179</v>
      </c>
      <c r="C154" s="328">
        <v>2</v>
      </c>
      <c r="D154" s="1036"/>
      <c r="E154" s="300"/>
      <c r="F154" s="301"/>
      <c r="G154" s="302"/>
      <c r="H154" s="301"/>
      <c r="I154" s="303"/>
      <c r="J154" s="290"/>
      <c r="K154" s="292"/>
      <c r="L154" s="305"/>
      <c r="M154" s="304"/>
      <c r="N154" s="292"/>
      <c r="O154" s="291"/>
      <c r="P154" s="291"/>
      <c r="Q154" s="291"/>
      <c r="R154" s="291"/>
      <c r="S154" s="291"/>
      <c r="T154" s="291"/>
      <c r="U154" s="291"/>
      <c r="V154" s="291"/>
      <c r="W154" s="291"/>
      <c r="X154" s="291"/>
      <c r="Y154" s="291"/>
      <c r="Z154" s="296"/>
      <c r="AA154" s="297"/>
      <c r="AB154" s="298"/>
      <c r="AC154" s="358"/>
    </row>
    <row r="155" spans="1:29" x14ac:dyDescent="0.25">
      <c r="A155" s="1042"/>
      <c r="B155" s="315" t="s">
        <v>1181</v>
      </c>
      <c r="C155" s="277">
        <f>C150*C153+C151*C154</f>
        <v>46.284807957548047</v>
      </c>
      <c r="D155" s="1037"/>
      <c r="E155" s="300"/>
      <c r="F155" s="376"/>
      <c r="G155" s="302"/>
      <c r="H155" s="301"/>
      <c r="I155" s="303"/>
      <c r="J155" s="290"/>
      <c r="K155" s="292"/>
      <c r="L155" s="311"/>
      <c r="M155" s="304"/>
      <c r="N155" s="292"/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6"/>
      <c r="AA155" s="297"/>
      <c r="AB155" s="298"/>
      <c r="AC155" s="358"/>
    </row>
    <row r="156" spans="1:29" x14ac:dyDescent="0.25">
      <c r="A156" s="1042"/>
      <c r="B156" s="286"/>
      <c r="C156" s="278"/>
      <c r="D156" s="287"/>
      <c r="E156" s="286"/>
      <c r="F156" s="287"/>
      <c r="G156" s="288"/>
      <c r="H156" s="288"/>
      <c r="I156" s="287"/>
      <c r="J156" s="290"/>
      <c r="K156" s="291"/>
      <c r="L156" s="291"/>
      <c r="M156" s="291"/>
      <c r="N156" s="291"/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6"/>
      <c r="AA156" s="297"/>
      <c r="AB156" s="298"/>
      <c r="AC156" s="358"/>
    </row>
    <row r="157" spans="1:29" x14ac:dyDescent="0.25">
      <c r="A157" s="1042" t="s">
        <v>1221</v>
      </c>
      <c r="B157" s="286" t="s">
        <v>1175</v>
      </c>
      <c r="C157" s="277">
        <f>C164</f>
        <v>46.284807957548047</v>
      </c>
      <c r="D157" s="1035">
        <f>C157*D3</f>
        <v>9.3495312074247057</v>
      </c>
      <c r="E157" s="286" t="s">
        <v>1176</v>
      </c>
      <c r="F157" s="356"/>
      <c r="G157" s="288"/>
      <c r="H157" s="288"/>
      <c r="I157" s="289">
        <f>SUM(I158:I165)</f>
        <v>5.0149999999999997</v>
      </c>
      <c r="J157" s="290" t="s">
        <v>1176</v>
      </c>
      <c r="K157" s="291"/>
      <c r="L157" s="291"/>
      <c r="M157" s="291"/>
      <c r="N157" s="433">
        <f>SUM(N158:N165)</f>
        <v>0.19699936009173374</v>
      </c>
      <c r="O157" s="291" t="s">
        <v>1176</v>
      </c>
      <c r="P157" s="291"/>
      <c r="Q157" s="293"/>
      <c r="R157" s="294"/>
      <c r="S157" s="295">
        <f>S158</f>
        <v>2.0586365198772354</v>
      </c>
      <c r="T157" s="292"/>
      <c r="U157" s="292"/>
      <c r="V157" s="292"/>
      <c r="W157" s="292"/>
      <c r="X157" s="292"/>
      <c r="Y157" s="433">
        <f>SUM(Y158:Y165)</f>
        <v>20.895848557760889</v>
      </c>
      <c r="Z157" s="296">
        <f>(C157+D157+I157+N157+S157+Y157)*Z3</f>
        <v>108.95679949430028</v>
      </c>
      <c r="AA157" s="297">
        <f>Z157+N157+C157+I157+D157+Y157+S157</f>
        <v>192.75762309700292</v>
      </c>
      <c r="AB157" s="298">
        <v>0.25</v>
      </c>
      <c r="AC157" s="358">
        <f>AA157*(1+AB157)</f>
        <v>240.94702887125365</v>
      </c>
    </row>
    <row r="158" spans="1:29" x14ac:dyDescent="0.25">
      <c r="A158" s="1042"/>
      <c r="B158" s="299" t="s">
        <v>1177</v>
      </c>
      <c r="C158" s="278"/>
      <c r="D158" s="1036"/>
      <c r="E158" s="300"/>
      <c r="F158" s="301"/>
      <c r="G158" s="302"/>
      <c r="H158" s="301"/>
      <c r="I158" s="303"/>
      <c r="J158" s="290" t="s">
        <v>1291</v>
      </c>
      <c r="K158" s="304">
        <v>2</v>
      </c>
      <c r="L158" s="305">
        <v>750</v>
      </c>
      <c r="M158" s="304">
        <v>2</v>
      </c>
      <c r="N158" s="433">
        <f>L158/'Исп. коэффициенты'!E45*C163</f>
        <v>0.16982703456183945</v>
      </c>
      <c r="O158" s="291" t="s">
        <v>1228</v>
      </c>
      <c r="P158" s="291">
        <v>46220</v>
      </c>
      <c r="Q158" s="291">
        <v>19.670000000000002</v>
      </c>
      <c r="R158" s="291">
        <v>9091.4699999999993</v>
      </c>
      <c r="S158" s="295">
        <f>R158/'Исп. коэффициенты'!E45*C163</f>
        <v>2.0586365198772354</v>
      </c>
      <c r="T158" s="306" t="s">
        <v>1435</v>
      </c>
      <c r="U158" s="307">
        <v>6785401.3499999996</v>
      </c>
      <c r="V158" s="746">
        <f>'Исп. коэффициенты'!E124</f>
        <v>2978.5</v>
      </c>
      <c r="W158" s="308">
        <v>1.3599999999999999E-2</v>
      </c>
      <c r="X158" s="292">
        <f>U158*W158</f>
        <v>92281.45835999999</v>
      </c>
      <c r="Y158" s="295">
        <f>X158/'Исп. коэффициенты'!E45*C163</f>
        <v>20.895848557760889</v>
      </c>
      <c r="Z158" s="296"/>
      <c r="AA158" s="297"/>
      <c r="AB158" s="298"/>
      <c r="AC158" s="358"/>
    </row>
    <row r="159" spans="1:29" x14ac:dyDescent="0.25">
      <c r="A159" s="1042"/>
      <c r="B159" s="309" t="s">
        <v>1178</v>
      </c>
      <c r="C159" s="278"/>
      <c r="D159" s="1036"/>
      <c r="E159" s="300" t="s">
        <v>2187</v>
      </c>
      <c r="F159" s="301" t="s">
        <v>1</v>
      </c>
      <c r="G159" s="302">
        <v>6.3E-2</v>
      </c>
      <c r="H159" s="301">
        <v>5</v>
      </c>
      <c r="I159" s="303">
        <f>G159*H159</f>
        <v>0.315</v>
      </c>
      <c r="J159" s="290" t="s">
        <v>1445</v>
      </c>
      <c r="K159" s="292">
        <v>2</v>
      </c>
      <c r="L159" s="311">
        <v>95</v>
      </c>
      <c r="M159" s="304">
        <v>2</v>
      </c>
      <c r="N159" s="433">
        <f>L159/'Исп. коэффициенты'!E45*C163</f>
        <v>2.1511424377832999E-2</v>
      </c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6"/>
      <c r="AA159" s="297"/>
      <c r="AB159" s="298"/>
      <c r="AC159" s="358"/>
    </row>
    <row r="160" spans="1:29" x14ac:dyDescent="0.25">
      <c r="A160" s="1042"/>
      <c r="B160" s="286" t="s">
        <v>1179</v>
      </c>
      <c r="C160" s="277">
        <f>C151</f>
        <v>23.142403978774023</v>
      </c>
      <c r="D160" s="1036"/>
      <c r="E160" s="300" t="s">
        <v>2112</v>
      </c>
      <c r="F160" s="301" t="s">
        <v>1</v>
      </c>
      <c r="G160" s="302">
        <v>0.47</v>
      </c>
      <c r="H160" s="302">
        <v>10</v>
      </c>
      <c r="I160" s="303">
        <f>G160*H160</f>
        <v>4.6999999999999993</v>
      </c>
      <c r="J160" s="290" t="s">
        <v>1513</v>
      </c>
      <c r="K160" s="292">
        <v>2</v>
      </c>
      <c r="L160" s="292">
        <v>25</v>
      </c>
      <c r="M160" s="304">
        <v>0.5</v>
      </c>
      <c r="N160" s="433">
        <f>L160/'Исп. коэффициенты'!E45*C163</f>
        <v>5.6609011520613152E-3</v>
      </c>
      <c r="O160" s="291"/>
      <c r="P160" s="291"/>
      <c r="Q160" s="291"/>
      <c r="R160" s="291"/>
      <c r="S160" s="291"/>
      <c r="T160" s="291"/>
      <c r="U160" s="291"/>
      <c r="V160" s="291"/>
      <c r="W160" s="291"/>
      <c r="X160" s="291"/>
      <c r="Y160" s="291"/>
      <c r="Z160" s="296"/>
      <c r="AA160" s="297"/>
      <c r="AB160" s="298"/>
      <c r="AC160" s="358"/>
    </row>
    <row r="161" spans="1:29" x14ac:dyDescent="0.25">
      <c r="A161" s="1042"/>
      <c r="B161" s="286" t="s">
        <v>1180</v>
      </c>
      <c r="C161" s="278"/>
      <c r="D161" s="1036"/>
      <c r="E161" s="300"/>
      <c r="F161" s="301"/>
      <c r="G161" s="302"/>
      <c r="H161" s="301"/>
      <c r="I161" s="303"/>
      <c r="J161" s="290"/>
      <c r="K161" s="292"/>
      <c r="L161" s="292"/>
      <c r="M161" s="292"/>
      <c r="N161" s="292"/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6"/>
      <c r="AA161" s="297"/>
      <c r="AB161" s="298"/>
      <c r="AC161" s="358"/>
    </row>
    <row r="162" spans="1:29" x14ac:dyDescent="0.25">
      <c r="A162" s="1042"/>
      <c r="B162" s="309" t="s">
        <v>1178</v>
      </c>
      <c r="C162" s="328"/>
      <c r="D162" s="1036"/>
      <c r="E162" s="300"/>
      <c r="F162" s="301"/>
      <c r="G162" s="302"/>
      <c r="H162" s="301"/>
      <c r="I162" s="303"/>
      <c r="J162" s="290"/>
      <c r="K162" s="292"/>
      <c r="L162" s="292"/>
      <c r="M162" s="292"/>
      <c r="N162" s="292"/>
      <c r="O162" s="291"/>
      <c r="P162" s="291"/>
      <c r="Q162" s="291"/>
      <c r="R162" s="291"/>
      <c r="S162" s="291"/>
      <c r="T162" s="291"/>
      <c r="U162" s="291"/>
      <c r="V162" s="291"/>
      <c r="W162" s="291"/>
      <c r="X162" s="291"/>
      <c r="Y162" s="291"/>
      <c r="Z162" s="296"/>
      <c r="AA162" s="297"/>
      <c r="AB162" s="298"/>
      <c r="AC162" s="358"/>
    </row>
    <row r="163" spans="1:29" x14ac:dyDescent="0.25">
      <c r="A163" s="1042"/>
      <c r="B163" s="286" t="s">
        <v>1179</v>
      </c>
      <c r="C163" s="328">
        <v>2</v>
      </c>
      <c r="D163" s="1036"/>
      <c r="E163" s="300"/>
      <c r="F163" s="301"/>
      <c r="G163" s="302"/>
      <c r="H163" s="301"/>
      <c r="I163" s="303"/>
      <c r="J163" s="290"/>
      <c r="K163" s="292"/>
      <c r="L163" s="305"/>
      <c r="M163" s="304"/>
      <c r="N163" s="292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1"/>
      <c r="Z163" s="296"/>
      <c r="AA163" s="297"/>
      <c r="AB163" s="298"/>
      <c r="AC163" s="358"/>
    </row>
    <row r="164" spans="1:29" x14ac:dyDescent="0.25">
      <c r="A164" s="1042"/>
      <c r="B164" s="315" t="s">
        <v>1181</v>
      </c>
      <c r="C164" s="277">
        <f>C159*C162+C160*C163</f>
        <v>46.284807957548047</v>
      </c>
      <c r="D164" s="1037"/>
      <c r="E164" s="300"/>
      <c r="F164" s="376"/>
      <c r="G164" s="302"/>
      <c r="H164" s="301"/>
      <c r="I164" s="303"/>
      <c r="J164" s="290"/>
      <c r="K164" s="292"/>
      <c r="L164" s="311"/>
      <c r="M164" s="304"/>
      <c r="N164" s="292"/>
      <c r="O164" s="291"/>
      <c r="P164" s="291"/>
      <c r="Q164" s="291"/>
      <c r="R164" s="291"/>
      <c r="S164" s="291"/>
      <c r="T164" s="291"/>
      <c r="U164" s="291"/>
      <c r="V164" s="291"/>
      <c r="W164" s="291"/>
      <c r="X164" s="291"/>
      <c r="Y164" s="291"/>
      <c r="Z164" s="296"/>
      <c r="AA164" s="297"/>
      <c r="AB164" s="298"/>
      <c r="AC164" s="358"/>
    </row>
    <row r="165" spans="1:29" x14ac:dyDescent="0.25">
      <c r="A165" s="1042"/>
      <c r="B165" s="286"/>
      <c r="C165" s="278"/>
      <c r="D165" s="287"/>
      <c r="E165" s="286"/>
      <c r="F165" s="287"/>
      <c r="G165" s="288"/>
      <c r="H165" s="288"/>
      <c r="I165" s="287"/>
      <c r="J165" s="290"/>
      <c r="K165" s="291"/>
      <c r="L165" s="291"/>
      <c r="M165" s="291"/>
      <c r="N165" s="291"/>
      <c r="O165" s="291"/>
      <c r="P165" s="291"/>
      <c r="Q165" s="291"/>
      <c r="R165" s="291"/>
      <c r="S165" s="291"/>
      <c r="T165" s="291"/>
      <c r="U165" s="291"/>
      <c r="V165" s="291"/>
      <c r="W165" s="291"/>
      <c r="X165" s="291"/>
      <c r="Y165" s="291"/>
      <c r="Z165" s="296"/>
      <c r="AA165" s="297"/>
      <c r="AB165" s="298"/>
      <c r="AC165" s="358"/>
    </row>
    <row r="166" spans="1:29" x14ac:dyDescent="0.25">
      <c r="A166" s="1042" t="s">
        <v>1222</v>
      </c>
      <c r="B166" s="286" t="s">
        <v>1175</v>
      </c>
      <c r="C166" s="277">
        <f>C173</f>
        <v>46.284807957548047</v>
      </c>
      <c r="D166" s="1035">
        <f>C166*D3</f>
        <v>9.3495312074247057</v>
      </c>
      <c r="E166" s="286" t="s">
        <v>1176</v>
      </c>
      <c r="F166" s="356"/>
      <c r="G166" s="288"/>
      <c r="H166" s="288"/>
      <c r="I166" s="289">
        <f>SUM(I167:I174)</f>
        <v>5.0149999999999997</v>
      </c>
      <c r="J166" s="290" t="s">
        <v>1176</v>
      </c>
      <c r="K166" s="291"/>
      <c r="L166" s="291"/>
      <c r="M166" s="291"/>
      <c r="N166" s="433">
        <f>SUM(N167:N174)</f>
        <v>0.19699936009173374</v>
      </c>
      <c r="O166" s="291" t="s">
        <v>1176</v>
      </c>
      <c r="P166" s="291"/>
      <c r="Q166" s="293"/>
      <c r="R166" s="294"/>
      <c r="S166" s="295">
        <f>S167</f>
        <v>2.0586365198772354</v>
      </c>
      <c r="T166" s="292"/>
      <c r="U166" s="292"/>
      <c r="V166" s="292"/>
      <c r="W166" s="292"/>
      <c r="X166" s="292"/>
      <c r="Y166" s="433">
        <f>SUM(Y167:Y174)</f>
        <v>20.895848557760889</v>
      </c>
      <c r="Z166" s="296">
        <f>(C166+D166+I166+N166+S166+Y166)*Z3</f>
        <v>108.95679949430028</v>
      </c>
      <c r="AA166" s="297">
        <f>Z166+N166+C166+I166+D166+Y166+S166</f>
        <v>192.75762309700292</v>
      </c>
      <c r="AB166" s="298">
        <v>0.25</v>
      </c>
      <c r="AC166" s="358">
        <f>AA166*(1+AB166)</f>
        <v>240.94702887125365</v>
      </c>
    </row>
    <row r="167" spans="1:29" x14ac:dyDescent="0.25">
      <c r="A167" s="1042"/>
      <c r="B167" s="299" t="s">
        <v>1177</v>
      </c>
      <c r="C167" s="278"/>
      <c r="D167" s="1036"/>
      <c r="E167" s="300"/>
      <c r="F167" s="301"/>
      <c r="G167" s="302"/>
      <c r="H167" s="301"/>
      <c r="I167" s="303"/>
      <c r="J167" s="290" t="s">
        <v>1291</v>
      </c>
      <c r="K167" s="304">
        <v>2</v>
      </c>
      <c r="L167" s="305">
        <v>750</v>
      </c>
      <c r="M167" s="304">
        <v>2</v>
      </c>
      <c r="N167" s="433">
        <f>L167/'Исп. коэффициенты'!E45*C172</f>
        <v>0.16982703456183945</v>
      </c>
      <c r="O167" s="291" t="s">
        <v>1228</v>
      </c>
      <c r="P167" s="291">
        <v>46220</v>
      </c>
      <c r="Q167" s="291">
        <v>19.670000000000002</v>
      </c>
      <c r="R167" s="291">
        <v>9091.4699999999993</v>
      </c>
      <c r="S167" s="295">
        <f>R167/'Исп. коэффициенты'!E45*C172</f>
        <v>2.0586365198772354</v>
      </c>
      <c r="T167" s="306" t="s">
        <v>1435</v>
      </c>
      <c r="U167" s="307">
        <v>6785401.3499999996</v>
      </c>
      <c r="V167" s="746">
        <f>'Исп. коэффициенты'!E124</f>
        <v>2978.5</v>
      </c>
      <c r="W167" s="308">
        <v>1.3599999999999999E-2</v>
      </c>
      <c r="X167" s="292">
        <f>U167*W167</f>
        <v>92281.45835999999</v>
      </c>
      <c r="Y167" s="295">
        <f>X167/'Исп. коэффициенты'!E45*C172</f>
        <v>20.895848557760889</v>
      </c>
      <c r="Z167" s="296"/>
      <c r="AA167" s="297"/>
      <c r="AB167" s="298"/>
      <c r="AC167" s="358"/>
    </row>
    <row r="168" spans="1:29" x14ac:dyDescent="0.25">
      <c r="A168" s="1042"/>
      <c r="B168" s="309" t="s">
        <v>1178</v>
      </c>
      <c r="C168" s="278"/>
      <c r="D168" s="1036"/>
      <c r="E168" s="300" t="s">
        <v>2187</v>
      </c>
      <c r="F168" s="301" t="s">
        <v>1</v>
      </c>
      <c r="G168" s="302">
        <v>6.3E-2</v>
      </c>
      <c r="H168" s="301">
        <v>5</v>
      </c>
      <c r="I168" s="303">
        <f>G168*H168</f>
        <v>0.315</v>
      </c>
      <c r="J168" s="290" t="s">
        <v>1445</v>
      </c>
      <c r="K168" s="292">
        <v>2</v>
      </c>
      <c r="L168" s="311">
        <v>95</v>
      </c>
      <c r="M168" s="304">
        <v>2</v>
      </c>
      <c r="N168" s="433">
        <f>L168/'Исп. коэффициенты'!E45*C172</f>
        <v>2.1511424377832999E-2</v>
      </c>
      <c r="O168" s="291"/>
      <c r="P168" s="291"/>
      <c r="Q168" s="291"/>
      <c r="R168" s="291"/>
      <c r="S168" s="291"/>
      <c r="T168" s="291"/>
      <c r="U168" s="291"/>
      <c r="V168" s="291"/>
      <c r="W168" s="291"/>
      <c r="X168" s="291"/>
      <c r="Y168" s="291"/>
      <c r="Z168" s="296"/>
      <c r="AA168" s="297"/>
      <c r="AB168" s="298"/>
      <c r="AC168" s="358"/>
    </row>
    <row r="169" spans="1:29" x14ac:dyDescent="0.25">
      <c r="A169" s="1042"/>
      <c r="B169" s="286" t="s">
        <v>1179</v>
      </c>
      <c r="C169" s="277">
        <f>C160</f>
        <v>23.142403978774023</v>
      </c>
      <c r="D169" s="1036"/>
      <c r="E169" s="300" t="s">
        <v>2112</v>
      </c>
      <c r="F169" s="301" t="s">
        <v>1</v>
      </c>
      <c r="G169" s="302">
        <v>0.47</v>
      </c>
      <c r="H169" s="302">
        <v>10</v>
      </c>
      <c r="I169" s="303">
        <f>G169*H169</f>
        <v>4.6999999999999993</v>
      </c>
      <c r="J169" s="290" t="s">
        <v>1513</v>
      </c>
      <c r="K169" s="292">
        <v>2</v>
      </c>
      <c r="L169" s="292">
        <v>25</v>
      </c>
      <c r="M169" s="304">
        <v>0.5</v>
      </c>
      <c r="N169" s="433">
        <f>L169/'Исп. коэффициенты'!E45*C172</f>
        <v>5.6609011520613152E-3</v>
      </c>
      <c r="O169" s="291"/>
      <c r="P169" s="291"/>
      <c r="Q169" s="291"/>
      <c r="R169" s="291"/>
      <c r="S169" s="291"/>
      <c r="T169" s="291"/>
      <c r="U169" s="291"/>
      <c r="V169" s="291"/>
      <c r="W169" s="291"/>
      <c r="X169" s="291"/>
      <c r="Y169" s="291"/>
      <c r="Z169" s="296"/>
      <c r="AA169" s="297"/>
      <c r="AB169" s="298"/>
      <c r="AC169" s="358"/>
    </row>
    <row r="170" spans="1:29" x14ac:dyDescent="0.25">
      <c r="A170" s="1042"/>
      <c r="B170" s="286" t="s">
        <v>1180</v>
      </c>
      <c r="C170" s="278"/>
      <c r="D170" s="1036"/>
      <c r="E170" s="300"/>
      <c r="F170" s="301"/>
      <c r="G170" s="302"/>
      <c r="H170" s="301"/>
      <c r="I170" s="303"/>
      <c r="J170" s="290"/>
      <c r="K170" s="292"/>
      <c r="L170" s="292"/>
      <c r="M170" s="292"/>
      <c r="N170" s="292"/>
      <c r="O170" s="291"/>
      <c r="P170" s="291"/>
      <c r="Q170" s="291"/>
      <c r="R170" s="291"/>
      <c r="S170" s="291"/>
      <c r="T170" s="291"/>
      <c r="U170" s="291"/>
      <c r="V170" s="291"/>
      <c r="W170" s="291"/>
      <c r="X170" s="291"/>
      <c r="Y170" s="291"/>
      <c r="Z170" s="296"/>
      <c r="AA170" s="297"/>
      <c r="AB170" s="298"/>
      <c r="AC170" s="358"/>
    </row>
    <row r="171" spans="1:29" x14ac:dyDescent="0.25">
      <c r="A171" s="1042"/>
      <c r="B171" s="309" t="s">
        <v>1178</v>
      </c>
      <c r="C171" s="328"/>
      <c r="D171" s="1036"/>
      <c r="E171" s="300"/>
      <c r="F171" s="301"/>
      <c r="G171" s="302"/>
      <c r="H171" s="301"/>
      <c r="I171" s="303"/>
      <c r="J171" s="290"/>
      <c r="K171" s="292"/>
      <c r="L171" s="292"/>
      <c r="M171" s="292"/>
      <c r="N171" s="292"/>
      <c r="O171" s="291"/>
      <c r="P171" s="291"/>
      <c r="Q171" s="291"/>
      <c r="R171" s="291"/>
      <c r="S171" s="291"/>
      <c r="T171" s="291"/>
      <c r="U171" s="291"/>
      <c r="V171" s="291"/>
      <c r="W171" s="291"/>
      <c r="X171" s="291"/>
      <c r="Y171" s="291"/>
      <c r="Z171" s="296"/>
      <c r="AA171" s="297"/>
      <c r="AB171" s="298"/>
      <c r="AC171" s="358"/>
    </row>
    <row r="172" spans="1:29" x14ac:dyDescent="0.25">
      <c r="A172" s="1042"/>
      <c r="B172" s="286" t="s">
        <v>1179</v>
      </c>
      <c r="C172" s="328">
        <v>2</v>
      </c>
      <c r="D172" s="1036"/>
      <c r="E172" s="300"/>
      <c r="F172" s="301"/>
      <c r="G172" s="302"/>
      <c r="H172" s="301"/>
      <c r="I172" s="303"/>
      <c r="J172" s="290"/>
      <c r="K172" s="292"/>
      <c r="L172" s="305"/>
      <c r="M172" s="304"/>
      <c r="N172" s="292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6"/>
      <c r="AA172" s="297"/>
      <c r="AB172" s="298"/>
      <c r="AC172" s="358"/>
    </row>
    <row r="173" spans="1:29" x14ac:dyDescent="0.25">
      <c r="A173" s="1042"/>
      <c r="B173" s="315" t="s">
        <v>1181</v>
      </c>
      <c r="C173" s="277">
        <f>C168*C171+C169*C172</f>
        <v>46.284807957548047</v>
      </c>
      <c r="D173" s="1037"/>
      <c r="E173" s="300"/>
      <c r="F173" s="376"/>
      <c r="G173" s="302"/>
      <c r="H173" s="301"/>
      <c r="I173" s="303"/>
      <c r="J173" s="290"/>
      <c r="K173" s="292"/>
      <c r="L173" s="311"/>
      <c r="M173" s="304"/>
      <c r="N173" s="292"/>
      <c r="O173" s="291"/>
      <c r="P173" s="291"/>
      <c r="Q173" s="291"/>
      <c r="R173" s="291"/>
      <c r="S173" s="291"/>
      <c r="T173" s="291"/>
      <c r="U173" s="291"/>
      <c r="V173" s="291"/>
      <c r="W173" s="291"/>
      <c r="X173" s="291"/>
      <c r="Y173" s="291"/>
      <c r="Z173" s="296"/>
      <c r="AA173" s="297"/>
      <c r="AB173" s="298"/>
      <c r="AC173" s="358"/>
    </row>
    <row r="174" spans="1:29" x14ac:dyDescent="0.25">
      <c r="A174" s="1042"/>
      <c r="B174" s="286"/>
      <c r="C174" s="278"/>
      <c r="D174" s="287"/>
      <c r="E174" s="286"/>
      <c r="F174" s="287"/>
      <c r="G174" s="288"/>
      <c r="H174" s="288"/>
      <c r="I174" s="287"/>
      <c r="J174" s="290"/>
      <c r="K174" s="291"/>
      <c r="L174" s="291"/>
      <c r="M174" s="291"/>
      <c r="N174" s="291"/>
      <c r="O174" s="291"/>
      <c r="P174" s="291"/>
      <c r="Q174" s="291"/>
      <c r="R174" s="291"/>
      <c r="S174" s="291"/>
      <c r="T174" s="291"/>
      <c r="U174" s="291"/>
      <c r="V174" s="291"/>
      <c r="W174" s="291"/>
      <c r="X174" s="291"/>
      <c r="Y174" s="291"/>
      <c r="Z174" s="296"/>
      <c r="AA174" s="297"/>
      <c r="AB174" s="298"/>
      <c r="AC174" s="358"/>
    </row>
    <row r="175" spans="1:29" x14ac:dyDescent="0.25">
      <c r="A175" s="1042" t="s">
        <v>1223</v>
      </c>
      <c r="B175" s="286" t="s">
        <v>1175</v>
      </c>
      <c r="C175" s="277">
        <f>C182</f>
        <v>46.284807957548047</v>
      </c>
      <c r="D175" s="1035">
        <f>C175*D3</f>
        <v>9.3495312074247057</v>
      </c>
      <c r="E175" s="286" t="s">
        <v>1176</v>
      </c>
      <c r="F175" s="356"/>
      <c r="G175" s="288"/>
      <c r="H175" s="288"/>
      <c r="I175" s="289">
        <f>SUM(I176:I183)</f>
        <v>5.0149999999999997</v>
      </c>
      <c r="J175" s="290" t="s">
        <v>1176</v>
      </c>
      <c r="K175" s="291"/>
      <c r="L175" s="291"/>
      <c r="M175" s="291"/>
      <c r="N175" s="433">
        <f>SUM(N176:N183)</f>
        <v>0.19699936009173374</v>
      </c>
      <c r="O175" s="291" t="s">
        <v>1176</v>
      </c>
      <c r="P175" s="291"/>
      <c r="Q175" s="293"/>
      <c r="R175" s="294"/>
      <c r="S175" s="295">
        <f>S176</f>
        <v>2.0586365198772354</v>
      </c>
      <c r="T175" s="292"/>
      <c r="U175" s="292"/>
      <c r="V175" s="292"/>
      <c r="W175" s="292"/>
      <c r="X175" s="292"/>
      <c r="Y175" s="433">
        <f>SUM(Y176:Y183)</f>
        <v>20.895848557760889</v>
      </c>
      <c r="Z175" s="296">
        <f>(C175+D175+I175+N175+S175+Y175)*Z3</f>
        <v>108.95679949430028</v>
      </c>
      <c r="AA175" s="297">
        <f>Z175+N175+C175+I175+D175+Y175+S175</f>
        <v>192.75762309700292</v>
      </c>
      <c r="AB175" s="298">
        <v>0.25</v>
      </c>
      <c r="AC175" s="358">
        <f>AA175*(1+AB175)</f>
        <v>240.94702887125365</v>
      </c>
    </row>
    <row r="176" spans="1:29" x14ac:dyDescent="0.25">
      <c r="A176" s="1042"/>
      <c r="B176" s="299" t="s">
        <v>1177</v>
      </c>
      <c r="C176" s="278"/>
      <c r="D176" s="1036"/>
      <c r="E176" s="300"/>
      <c r="F176" s="301"/>
      <c r="G176" s="302"/>
      <c r="H176" s="301"/>
      <c r="I176" s="303"/>
      <c r="J176" s="290" t="s">
        <v>1291</v>
      </c>
      <c r="K176" s="304">
        <v>2</v>
      </c>
      <c r="L176" s="305">
        <v>750</v>
      </c>
      <c r="M176" s="304">
        <v>2</v>
      </c>
      <c r="N176" s="433">
        <f>L176/'Исп. коэффициенты'!E45*C181</f>
        <v>0.16982703456183945</v>
      </c>
      <c r="O176" s="291" t="s">
        <v>1228</v>
      </c>
      <c r="P176" s="291">
        <v>46220</v>
      </c>
      <c r="Q176" s="291">
        <v>19.670000000000002</v>
      </c>
      <c r="R176" s="291">
        <v>9091.4699999999993</v>
      </c>
      <c r="S176" s="295">
        <f>R176/'Исп. коэффициенты'!E45*C181</f>
        <v>2.0586365198772354</v>
      </c>
      <c r="T176" s="306" t="s">
        <v>1435</v>
      </c>
      <c r="U176" s="307">
        <v>6785401.3499999996</v>
      </c>
      <c r="V176" s="746">
        <f>'Исп. коэффициенты'!E124</f>
        <v>2978.5</v>
      </c>
      <c r="W176" s="308">
        <v>1.3599999999999999E-2</v>
      </c>
      <c r="X176" s="292">
        <f>U176*W176</f>
        <v>92281.45835999999</v>
      </c>
      <c r="Y176" s="295">
        <f>X176/'Исп. коэффициенты'!E45*C181</f>
        <v>20.895848557760889</v>
      </c>
      <c r="Z176" s="296"/>
      <c r="AA176" s="297"/>
      <c r="AB176" s="298"/>
      <c r="AC176" s="358"/>
    </row>
    <row r="177" spans="1:29" x14ac:dyDescent="0.25">
      <c r="A177" s="1042"/>
      <c r="B177" s="309" t="s">
        <v>1178</v>
      </c>
      <c r="C177" s="278"/>
      <c r="D177" s="1036"/>
      <c r="E177" s="300" t="s">
        <v>2187</v>
      </c>
      <c r="F177" s="301" t="s">
        <v>1</v>
      </c>
      <c r="G177" s="302">
        <v>6.3E-2</v>
      </c>
      <c r="H177" s="301">
        <v>5</v>
      </c>
      <c r="I177" s="303">
        <f>G177*H177</f>
        <v>0.315</v>
      </c>
      <c r="J177" s="290" t="s">
        <v>1445</v>
      </c>
      <c r="K177" s="292">
        <v>2</v>
      </c>
      <c r="L177" s="311">
        <v>95</v>
      </c>
      <c r="M177" s="304">
        <v>2</v>
      </c>
      <c r="N177" s="433">
        <f>L177/'Исп. коэффициенты'!E45*C181</f>
        <v>2.1511424377832999E-2</v>
      </c>
      <c r="O177" s="291"/>
      <c r="P177" s="291"/>
      <c r="Q177" s="291"/>
      <c r="R177" s="291"/>
      <c r="S177" s="291"/>
      <c r="T177" s="291"/>
      <c r="U177" s="291"/>
      <c r="V177" s="291"/>
      <c r="W177" s="291"/>
      <c r="X177" s="291"/>
      <c r="Y177" s="291"/>
      <c r="Z177" s="296"/>
      <c r="AA177" s="297"/>
      <c r="AB177" s="298"/>
      <c r="AC177" s="358"/>
    </row>
    <row r="178" spans="1:29" x14ac:dyDescent="0.25">
      <c r="A178" s="1042"/>
      <c r="B178" s="286" t="s">
        <v>1179</v>
      </c>
      <c r="C178" s="277">
        <f>C169</f>
        <v>23.142403978774023</v>
      </c>
      <c r="D178" s="1036"/>
      <c r="E178" s="300" t="s">
        <v>2112</v>
      </c>
      <c r="F178" s="301" t="s">
        <v>1</v>
      </c>
      <c r="G178" s="302">
        <v>0.47</v>
      </c>
      <c r="H178" s="302">
        <v>10</v>
      </c>
      <c r="I178" s="303">
        <f>G178*H178</f>
        <v>4.6999999999999993</v>
      </c>
      <c r="J178" s="290" t="s">
        <v>1513</v>
      </c>
      <c r="K178" s="292">
        <v>2</v>
      </c>
      <c r="L178" s="292">
        <v>25</v>
      </c>
      <c r="M178" s="304">
        <v>0.5</v>
      </c>
      <c r="N178" s="433">
        <f>L178/'Исп. коэффициенты'!E45*C181</f>
        <v>5.6609011520613152E-3</v>
      </c>
      <c r="O178" s="291"/>
      <c r="P178" s="291"/>
      <c r="Q178" s="291"/>
      <c r="R178" s="291"/>
      <c r="S178" s="291"/>
      <c r="T178" s="291"/>
      <c r="U178" s="291"/>
      <c r="V178" s="291"/>
      <c r="W178" s="291"/>
      <c r="X178" s="291"/>
      <c r="Y178" s="291"/>
      <c r="Z178" s="296"/>
      <c r="AA178" s="297"/>
      <c r="AB178" s="298"/>
      <c r="AC178" s="358"/>
    </row>
    <row r="179" spans="1:29" x14ac:dyDescent="0.25">
      <c r="A179" s="1042"/>
      <c r="B179" s="286" t="s">
        <v>1180</v>
      </c>
      <c r="C179" s="278"/>
      <c r="D179" s="1036"/>
      <c r="E179" s="300"/>
      <c r="F179" s="301"/>
      <c r="G179" s="302"/>
      <c r="H179" s="301"/>
      <c r="I179" s="303"/>
      <c r="J179" s="290"/>
      <c r="K179" s="292"/>
      <c r="L179" s="292"/>
      <c r="M179" s="292"/>
      <c r="N179" s="292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6"/>
      <c r="AA179" s="297"/>
      <c r="AB179" s="298"/>
      <c r="AC179" s="358"/>
    </row>
    <row r="180" spans="1:29" x14ac:dyDescent="0.25">
      <c r="A180" s="1042"/>
      <c r="B180" s="309" t="s">
        <v>1178</v>
      </c>
      <c r="C180" s="328"/>
      <c r="D180" s="1036"/>
      <c r="E180" s="300"/>
      <c r="F180" s="301"/>
      <c r="G180" s="302"/>
      <c r="H180" s="301"/>
      <c r="I180" s="303"/>
      <c r="J180" s="290"/>
      <c r="K180" s="292"/>
      <c r="L180" s="292"/>
      <c r="M180" s="292"/>
      <c r="N180" s="292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6"/>
      <c r="AA180" s="297"/>
      <c r="AB180" s="298"/>
      <c r="AC180" s="358"/>
    </row>
    <row r="181" spans="1:29" x14ac:dyDescent="0.25">
      <c r="A181" s="1042"/>
      <c r="B181" s="286" t="s">
        <v>1179</v>
      </c>
      <c r="C181" s="328">
        <v>2</v>
      </c>
      <c r="D181" s="1036"/>
      <c r="E181" s="300"/>
      <c r="F181" s="301"/>
      <c r="G181" s="302"/>
      <c r="H181" s="301"/>
      <c r="I181" s="303"/>
      <c r="J181" s="290"/>
      <c r="K181" s="292"/>
      <c r="L181" s="305"/>
      <c r="M181" s="304"/>
      <c r="N181" s="292"/>
      <c r="O181" s="291"/>
      <c r="P181" s="291"/>
      <c r="Q181" s="291"/>
      <c r="R181" s="291"/>
      <c r="S181" s="291"/>
      <c r="T181" s="291"/>
      <c r="U181" s="291"/>
      <c r="V181" s="291"/>
      <c r="W181" s="291"/>
      <c r="X181" s="291"/>
      <c r="Y181" s="291"/>
      <c r="Z181" s="296"/>
      <c r="AA181" s="297"/>
      <c r="AB181" s="298"/>
      <c r="AC181" s="358"/>
    </row>
    <row r="182" spans="1:29" x14ac:dyDescent="0.25">
      <c r="A182" s="1042"/>
      <c r="B182" s="315" t="s">
        <v>1181</v>
      </c>
      <c r="C182" s="277">
        <f>C177*C180+C178*C181</f>
        <v>46.284807957548047</v>
      </c>
      <c r="D182" s="1037"/>
      <c r="E182" s="300"/>
      <c r="F182" s="376"/>
      <c r="G182" s="302"/>
      <c r="H182" s="301"/>
      <c r="I182" s="303"/>
      <c r="J182" s="290"/>
      <c r="K182" s="292"/>
      <c r="L182" s="311"/>
      <c r="M182" s="304"/>
      <c r="N182" s="292"/>
      <c r="O182" s="291"/>
      <c r="P182" s="291"/>
      <c r="Q182" s="291"/>
      <c r="R182" s="291"/>
      <c r="S182" s="291"/>
      <c r="T182" s="291"/>
      <c r="U182" s="291"/>
      <c r="V182" s="291"/>
      <c r="W182" s="291"/>
      <c r="X182" s="291"/>
      <c r="Y182" s="291"/>
      <c r="Z182" s="296"/>
      <c r="AA182" s="297"/>
      <c r="AB182" s="298"/>
      <c r="AC182" s="358"/>
    </row>
    <row r="183" spans="1:29" x14ac:dyDescent="0.25">
      <c r="A183" s="1042"/>
      <c r="B183" s="286"/>
      <c r="C183" s="278"/>
      <c r="D183" s="287"/>
      <c r="E183" s="286"/>
      <c r="F183" s="287"/>
      <c r="G183" s="288"/>
      <c r="H183" s="288"/>
      <c r="I183" s="287"/>
      <c r="J183" s="290"/>
      <c r="K183" s="291"/>
      <c r="L183" s="291"/>
      <c r="M183" s="291"/>
      <c r="N183" s="291"/>
      <c r="O183" s="291"/>
      <c r="P183" s="291"/>
      <c r="Q183" s="291"/>
      <c r="R183" s="291"/>
      <c r="S183" s="291"/>
      <c r="T183" s="291"/>
      <c r="U183" s="291"/>
      <c r="V183" s="291"/>
      <c r="W183" s="291"/>
      <c r="X183" s="291"/>
      <c r="Y183" s="291"/>
      <c r="Z183" s="296"/>
      <c r="AA183" s="297"/>
      <c r="AB183" s="298"/>
      <c r="AC183" s="358"/>
    </row>
    <row r="184" spans="1:29" x14ac:dyDescent="0.25">
      <c r="A184" s="1042" t="s">
        <v>1224</v>
      </c>
      <c r="B184" s="286" t="s">
        <v>1175</v>
      </c>
      <c r="C184" s="277">
        <f>C191</f>
        <v>46.284807957548047</v>
      </c>
      <c r="D184" s="1035">
        <f>C184*D3</f>
        <v>9.3495312074247057</v>
      </c>
      <c r="E184" s="286" t="s">
        <v>1176</v>
      </c>
      <c r="F184" s="356"/>
      <c r="G184" s="288"/>
      <c r="H184" s="288"/>
      <c r="I184" s="289">
        <f>SUM(I185:I192)</f>
        <v>5.0149999999999997</v>
      </c>
      <c r="J184" s="290" t="s">
        <v>1176</v>
      </c>
      <c r="K184" s="291"/>
      <c r="L184" s="291"/>
      <c r="M184" s="291"/>
      <c r="N184" s="433">
        <f>SUM(N185:N192)</f>
        <v>0.19699936009173374</v>
      </c>
      <c r="O184" s="291" t="s">
        <v>1176</v>
      </c>
      <c r="P184" s="291"/>
      <c r="Q184" s="293"/>
      <c r="R184" s="294"/>
      <c r="S184" s="295">
        <f>S185</f>
        <v>2.0586365198772354</v>
      </c>
      <c r="T184" s="292"/>
      <c r="U184" s="292"/>
      <c r="V184" s="292"/>
      <c r="W184" s="292"/>
      <c r="X184" s="292"/>
      <c r="Y184" s="433">
        <f>SUM(Y185:Y192)</f>
        <v>20.895848557760889</v>
      </c>
      <c r="Z184" s="296">
        <f>(C184+D184+I184+N184+S184+Y184)*Z3</f>
        <v>108.95679949430028</v>
      </c>
      <c r="AA184" s="297">
        <f>Z184+N184+C184+I184+D184+Y184+S184</f>
        <v>192.75762309700292</v>
      </c>
      <c r="AB184" s="298">
        <v>0.25</v>
      </c>
      <c r="AC184" s="358">
        <f>AA184*(1+AB184)</f>
        <v>240.94702887125365</v>
      </c>
    </row>
    <row r="185" spans="1:29" x14ac:dyDescent="0.25">
      <c r="A185" s="1042"/>
      <c r="B185" s="299" t="s">
        <v>1177</v>
      </c>
      <c r="C185" s="278"/>
      <c r="D185" s="1036"/>
      <c r="E185" s="300"/>
      <c r="F185" s="301"/>
      <c r="G185" s="302"/>
      <c r="H185" s="301"/>
      <c r="I185" s="303"/>
      <c r="J185" s="290" t="s">
        <v>1291</v>
      </c>
      <c r="K185" s="304">
        <v>2</v>
      </c>
      <c r="L185" s="305">
        <v>750</v>
      </c>
      <c r="M185" s="304">
        <v>2</v>
      </c>
      <c r="N185" s="433">
        <f>L185/'Исп. коэффициенты'!E45*C190</f>
        <v>0.16982703456183945</v>
      </c>
      <c r="O185" s="291" t="s">
        <v>1228</v>
      </c>
      <c r="P185" s="291">
        <v>46220</v>
      </c>
      <c r="Q185" s="291">
        <v>19.670000000000002</v>
      </c>
      <c r="R185" s="291">
        <v>9091.4699999999993</v>
      </c>
      <c r="S185" s="295">
        <f>R185/'Исп. коэффициенты'!E45*C190</f>
        <v>2.0586365198772354</v>
      </c>
      <c r="T185" s="306" t="s">
        <v>1435</v>
      </c>
      <c r="U185" s="307">
        <v>6785401.3499999996</v>
      </c>
      <c r="V185" s="746">
        <f>'Исп. коэффициенты'!E124</f>
        <v>2978.5</v>
      </c>
      <c r="W185" s="308">
        <v>1.3599999999999999E-2</v>
      </c>
      <c r="X185" s="292">
        <f>U185*W185</f>
        <v>92281.45835999999</v>
      </c>
      <c r="Y185" s="295">
        <f>X185/'Исп. коэффициенты'!E45*C190</f>
        <v>20.895848557760889</v>
      </c>
      <c r="Z185" s="296"/>
      <c r="AA185" s="297"/>
      <c r="AB185" s="298"/>
      <c r="AC185" s="358"/>
    </row>
    <row r="186" spans="1:29" x14ac:dyDescent="0.25">
      <c r="A186" s="1042"/>
      <c r="B186" s="309" t="s">
        <v>1178</v>
      </c>
      <c r="C186" s="278"/>
      <c r="D186" s="1036"/>
      <c r="E186" s="300" t="s">
        <v>2187</v>
      </c>
      <c r="F186" s="301" t="s">
        <v>1</v>
      </c>
      <c r="G186" s="302">
        <v>6.3E-2</v>
      </c>
      <c r="H186" s="301">
        <v>5</v>
      </c>
      <c r="I186" s="303">
        <f>G186*H186</f>
        <v>0.315</v>
      </c>
      <c r="J186" s="290" t="s">
        <v>1445</v>
      </c>
      <c r="K186" s="292">
        <v>2</v>
      </c>
      <c r="L186" s="311">
        <v>95</v>
      </c>
      <c r="M186" s="304">
        <v>2</v>
      </c>
      <c r="N186" s="433">
        <f>L186/'Исп. коэффициенты'!E45*C190</f>
        <v>2.1511424377832999E-2</v>
      </c>
      <c r="O186" s="291"/>
      <c r="P186" s="291"/>
      <c r="Q186" s="291"/>
      <c r="R186" s="291"/>
      <c r="S186" s="291"/>
      <c r="T186" s="291"/>
      <c r="U186" s="291"/>
      <c r="V186" s="291"/>
      <c r="W186" s="291"/>
      <c r="X186" s="291"/>
      <c r="Y186" s="291"/>
      <c r="Z186" s="296"/>
      <c r="AA186" s="297"/>
      <c r="AB186" s="298"/>
      <c r="AC186" s="358"/>
    </row>
    <row r="187" spans="1:29" x14ac:dyDescent="0.25">
      <c r="A187" s="1042"/>
      <c r="B187" s="286" t="s">
        <v>1179</v>
      </c>
      <c r="C187" s="277">
        <f>C178</f>
        <v>23.142403978774023</v>
      </c>
      <c r="D187" s="1036"/>
      <c r="E187" s="300" t="s">
        <v>2112</v>
      </c>
      <c r="F187" s="301" t="s">
        <v>1</v>
      </c>
      <c r="G187" s="302">
        <v>0.47</v>
      </c>
      <c r="H187" s="302">
        <v>10</v>
      </c>
      <c r="I187" s="303">
        <f>G187*H187</f>
        <v>4.6999999999999993</v>
      </c>
      <c r="J187" s="290" t="s">
        <v>1513</v>
      </c>
      <c r="K187" s="292">
        <v>2</v>
      </c>
      <c r="L187" s="292">
        <v>25</v>
      </c>
      <c r="M187" s="304">
        <v>0.5</v>
      </c>
      <c r="N187" s="433">
        <f>L187/'Исп. коэффициенты'!E45*C190</f>
        <v>5.6609011520613152E-3</v>
      </c>
      <c r="O187" s="291"/>
      <c r="P187" s="291"/>
      <c r="Q187" s="291"/>
      <c r="R187" s="291"/>
      <c r="S187" s="291"/>
      <c r="T187" s="291"/>
      <c r="U187" s="291"/>
      <c r="V187" s="291"/>
      <c r="W187" s="291"/>
      <c r="X187" s="291"/>
      <c r="Y187" s="291"/>
      <c r="Z187" s="296"/>
      <c r="AA187" s="297"/>
      <c r="AB187" s="298"/>
      <c r="AC187" s="358"/>
    </row>
    <row r="188" spans="1:29" x14ac:dyDescent="0.25">
      <c r="A188" s="1042"/>
      <c r="B188" s="286" t="s">
        <v>1180</v>
      </c>
      <c r="C188" s="278"/>
      <c r="D188" s="1036"/>
      <c r="E188" s="300"/>
      <c r="F188" s="301"/>
      <c r="G188" s="302"/>
      <c r="H188" s="301"/>
      <c r="I188" s="303"/>
      <c r="J188" s="290"/>
      <c r="K188" s="292"/>
      <c r="L188" s="292"/>
      <c r="M188" s="292"/>
      <c r="N188" s="292"/>
      <c r="O188" s="291"/>
      <c r="P188" s="291"/>
      <c r="Q188" s="291"/>
      <c r="R188" s="291"/>
      <c r="S188" s="291"/>
      <c r="T188" s="291"/>
      <c r="U188" s="291"/>
      <c r="V188" s="291"/>
      <c r="W188" s="291"/>
      <c r="X188" s="291"/>
      <c r="Y188" s="291"/>
      <c r="Z188" s="296"/>
      <c r="AA188" s="297"/>
      <c r="AB188" s="298"/>
      <c r="AC188" s="358"/>
    </row>
    <row r="189" spans="1:29" x14ac:dyDescent="0.25">
      <c r="A189" s="1042"/>
      <c r="B189" s="309" t="s">
        <v>1178</v>
      </c>
      <c r="C189" s="328"/>
      <c r="D189" s="1036"/>
      <c r="E189" s="300"/>
      <c r="F189" s="301"/>
      <c r="G189" s="302"/>
      <c r="H189" s="301"/>
      <c r="I189" s="303"/>
      <c r="J189" s="290"/>
      <c r="K189" s="292"/>
      <c r="L189" s="292"/>
      <c r="M189" s="292"/>
      <c r="N189" s="292"/>
      <c r="O189" s="291"/>
      <c r="P189" s="291"/>
      <c r="Q189" s="291"/>
      <c r="R189" s="291"/>
      <c r="S189" s="291"/>
      <c r="T189" s="291"/>
      <c r="U189" s="291"/>
      <c r="V189" s="291"/>
      <c r="W189" s="291"/>
      <c r="X189" s="291"/>
      <c r="Y189" s="291"/>
      <c r="Z189" s="296"/>
      <c r="AA189" s="297"/>
      <c r="AB189" s="298"/>
      <c r="AC189" s="358"/>
    </row>
    <row r="190" spans="1:29" x14ac:dyDescent="0.25">
      <c r="A190" s="1042"/>
      <c r="B190" s="286" t="s">
        <v>1179</v>
      </c>
      <c r="C190" s="328">
        <v>2</v>
      </c>
      <c r="D190" s="1036"/>
      <c r="E190" s="300"/>
      <c r="F190" s="301"/>
      <c r="G190" s="302"/>
      <c r="H190" s="301"/>
      <c r="I190" s="303"/>
      <c r="J190" s="290"/>
      <c r="K190" s="292"/>
      <c r="L190" s="305"/>
      <c r="M190" s="304"/>
      <c r="N190" s="292"/>
      <c r="O190" s="291"/>
      <c r="P190" s="291"/>
      <c r="Q190" s="291"/>
      <c r="R190" s="291"/>
      <c r="S190" s="291"/>
      <c r="T190" s="291"/>
      <c r="U190" s="291"/>
      <c r="V190" s="291"/>
      <c r="W190" s="291"/>
      <c r="X190" s="291"/>
      <c r="Y190" s="291"/>
      <c r="Z190" s="296"/>
      <c r="AA190" s="297"/>
      <c r="AB190" s="298"/>
      <c r="AC190" s="358"/>
    </row>
    <row r="191" spans="1:29" x14ac:dyDescent="0.25">
      <c r="A191" s="1042"/>
      <c r="B191" s="315" t="s">
        <v>1181</v>
      </c>
      <c r="C191" s="277">
        <f>C186*C189+C187*C190</f>
        <v>46.284807957548047</v>
      </c>
      <c r="D191" s="1037"/>
      <c r="E191" s="300"/>
      <c r="F191" s="376"/>
      <c r="G191" s="302"/>
      <c r="H191" s="301"/>
      <c r="I191" s="303"/>
      <c r="J191" s="290"/>
      <c r="K191" s="292"/>
      <c r="L191" s="311"/>
      <c r="M191" s="304"/>
      <c r="N191" s="292"/>
      <c r="O191" s="291"/>
      <c r="P191" s="291"/>
      <c r="Q191" s="291"/>
      <c r="R191" s="291"/>
      <c r="S191" s="291"/>
      <c r="T191" s="291"/>
      <c r="U191" s="291"/>
      <c r="V191" s="291"/>
      <c r="W191" s="291"/>
      <c r="X191" s="291"/>
      <c r="Y191" s="291"/>
      <c r="Z191" s="296"/>
      <c r="AA191" s="297"/>
      <c r="AB191" s="298"/>
      <c r="AC191" s="358"/>
    </row>
    <row r="192" spans="1:29" x14ac:dyDescent="0.25">
      <c r="A192" s="1042"/>
      <c r="B192" s="286"/>
      <c r="C192" s="278"/>
      <c r="D192" s="287"/>
      <c r="E192" s="286"/>
      <c r="F192" s="287"/>
      <c r="G192" s="288"/>
      <c r="H192" s="288"/>
      <c r="I192" s="287"/>
      <c r="J192" s="290"/>
      <c r="K192" s="291"/>
      <c r="L192" s="291"/>
      <c r="M192" s="291"/>
      <c r="N192" s="291"/>
      <c r="O192" s="291"/>
      <c r="P192" s="291"/>
      <c r="Q192" s="291"/>
      <c r="R192" s="291"/>
      <c r="S192" s="291"/>
      <c r="T192" s="291"/>
      <c r="U192" s="291"/>
      <c r="V192" s="291"/>
      <c r="W192" s="291"/>
      <c r="X192" s="291"/>
      <c r="Y192" s="291"/>
      <c r="Z192" s="296"/>
      <c r="AA192" s="297"/>
      <c r="AB192" s="298"/>
      <c r="AC192" s="358"/>
    </row>
    <row r="193" spans="1:29" x14ac:dyDescent="0.25">
      <c r="A193" s="1041" t="s">
        <v>1225</v>
      </c>
      <c r="B193" s="286" t="s">
        <v>1175</v>
      </c>
      <c r="C193" s="277">
        <f>C200</f>
        <v>69.427211936322067</v>
      </c>
      <c r="D193" s="1035">
        <f>C193*D3</f>
        <v>14.024296811137058</v>
      </c>
      <c r="E193" s="286" t="s">
        <v>1176</v>
      </c>
      <c r="F193" s="356"/>
      <c r="G193" s="288"/>
      <c r="H193" s="288"/>
      <c r="I193" s="289">
        <f>SUM(I194:I201)</f>
        <v>5.0149999999999997</v>
      </c>
      <c r="J193" s="290" t="s">
        <v>1176</v>
      </c>
      <c r="K193" s="291"/>
      <c r="L193" s="291"/>
      <c r="M193" s="291"/>
      <c r="N193" s="433">
        <f>SUM(N194:N201)</f>
        <v>0.29549904013760064</v>
      </c>
      <c r="O193" s="291" t="s">
        <v>1176</v>
      </c>
      <c r="P193" s="291"/>
      <c r="Q193" s="293"/>
      <c r="R193" s="294"/>
      <c r="S193" s="295">
        <f>S194</f>
        <v>3.0879547798158531</v>
      </c>
      <c r="T193" s="292"/>
      <c r="U193" s="292"/>
      <c r="V193" s="292"/>
      <c r="W193" s="292"/>
      <c r="X193" s="292"/>
      <c r="Y193" s="433">
        <f>SUM(Y194:Y201)</f>
        <v>31.343772836641335</v>
      </c>
      <c r="Z193" s="296">
        <f>(C193+D193+I193+N193+S193+Y193)*Z3</f>
        <v>160.17497860176752</v>
      </c>
      <c r="AA193" s="297">
        <f>Z193+N193+C193+I193+D193+Y193+S193</f>
        <v>283.3687140058214</v>
      </c>
      <c r="AB193" s="298">
        <v>0.25</v>
      </c>
      <c r="AC193" s="358">
        <f>AA193*(1+AB193)</f>
        <v>354.21089250727675</v>
      </c>
    </row>
    <row r="194" spans="1:29" x14ac:dyDescent="0.25">
      <c r="A194" s="1041"/>
      <c r="B194" s="299" t="s">
        <v>1177</v>
      </c>
      <c r="C194" s="278"/>
      <c r="D194" s="1036"/>
      <c r="E194" s="300"/>
      <c r="F194" s="301"/>
      <c r="G194" s="302"/>
      <c r="H194" s="301"/>
      <c r="I194" s="303"/>
      <c r="J194" s="290" t="s">
        <v>1291</v>
      </c>
      <c r="K194" s="304">
        <v>2</v>
      </c>
      <c r="L194" s="305">
        <v>750</v>
      </c>
      <c r="M194" s="304">
        <v>2</v>
      </c>
      <c r="N194" s="433">
        <f>L194/'Исп. коэффициенты'!E45*C199</f>
        <v>0.25474055184275918</v>
      </c>
      <c r="O194" s="291" t="s">
        <v>1228</v>
      </c>
      <c r="P194" s="291">
        <v>46220</v>
      </c>
      <c r="Q194" s="291">
        <v>19.670000000000002</v>
      </c>
      <c r="R194" s="291">
        <v>9091.4699999999993</v>
      </c>
      <c r="S194" s="295">
        <f>R194/'Исп. коэффициенты'!E45*C199</f>
        <v>3.0879547798158531</v>
      </c>
      <c r="T194" s="306" t="s">
        <v>1435</v>
      </c>
      <c r="U194" s="307">
        <v>6785401.3499999996</v>
      </c>
      <c r="V194" s="746">
        <f>'Исп. коэффициенты'!E124</f>
        <v>2978.5</v>
      </c>
      <c r="W194" s="308">
        <v>1.3599999999999999E-2</v>
      </c>
      <c r="X194" s="292">
        <f>U194*W194</f>
        <v>92281.45835999999</v>
      </c>
      <c r="Y194" s="295">
        <f>X194/'Исп. коэффициенты'!E45*C199</f>
        <v>31.343772836641335</v>
      </c>
      <c r="Z194" s="296"/>
      <c r="AA194" s="297"/>
      <c r="AB194" s="298"/>
      <c r="AC194" s="358"/>
    </row>
    <row r="195" spans="1:29" x14ac:dyDescent="0.25">
      <c r="A195" s="1041"/>
      <c r="B195" s="309" t="s">
        <v>1178</v>
      </c>
      <c r="C195" s="278"/>
      <c r="D195" s="1036"/>
      <c r="E195" s="300" t="s">
        <v>2187</v>
      </c>
      <c r="F195" s="301" t="s">
        <v>1</v>
      </c>
      <c r="G195" s="302">
        <v>6.3E-2</v>
      </c>
      <c r="H195" s="301">
        <v>5</v>
      </c>
      <c r="I195" s="303">
        <f>G195*H195</f>
        <v>0.315</v>
      </c>
      <c r="J195" s="290" t="s">
        <v>1445</v>
      </c>
      <c r="K195" s="292">
        <v>2</v>
      </c>
      <c r="L195" s="311">
        <v>95</v>
      </c>
      <c r="M195" s="304">
        <v>2</v>
      </c>
      <c r="N195" s="433">
        <f>L195/'Исп. коэффициенты'!E45*C199</f>
        <v>3.2267136566749496E-2</v>
      </c>
      <c r="O195" s="291"/>
      <c r="P195" s="291"/>
      <c r="Q195" s="291"/>
      <c r="R195" s="291"/>
      <c r="S195" s="291"/>
      <c r="T195" s="291"/>
      <c r="U195" s="291"/>
      <c r="V195" s="291"/>
      <c r="W195" s="291"/>
      <c r="X195" s="291"/>
      <c r="Y195" s="291"/>
      <c r="Z195" s="296"/>
      <c r="AA195" s="297"/>
      <c r="AB195" s="298"/>
      <c r="AC195" s="358"/>
    </row>
    <row r="196" spans="1:29" x14ac:dyDescent="0.25">
      <c r="A196" s="1041"/>
      <c r="B196" s="286" t="s">
        <v>1179</v>
      </c>
      <c r="C196" s="277">
        <f>C187</f>
        <v>23.142403978774023</v>
      </c>
      <c r="D196" s="1036"/>
      <c r="E196" s="300" t="s">
        <v>2112</v>
      </c>
      <c r="F196" s="301" t="s">
        <v>1</v>
      </c>
      <c r="G196" s="302">
        <v>0.47</v>
      </c>
      <c r="H196" s="302">
        <v>10</v>
      </c>
      <c r="I196" s="303">
        <f>G196*H196</f>
        <v>4.6999999999999993</v>
      </c>
      <c r="J196" s="290" t="s">
        <v>1513</v>
      </c>
      <c r="K196" s="292">
        <v>2</v>
      </c>
      <c r="L196" s="292">
        <v>25</v>
      </c>
      <c r="M196" s="304">
        <v>0.5</v>
      </c>
      <c r="N196" s="433">
        <f>L196/'Исп. коэффициенты'!E45*C199</f>
        <v>8.4913517280919733E-3</v>
      </c>
      <c r="O196" s="291"/>
      <c r="P196" s="291"/>
      <c r="Q196" s="291"/>
      <c r="R196" s="291"/>
      <c r="S196" s="291"/>
      <c r="T196" s="291"/>
      <c r="U196" s="291"/>
      <c r="V196" s="291"/>
      <c r="W196" s="291"/>
      <c r="X196" s="291"/>
      <c r="Y196" s="291"/>
      <c r="Z196" s="296"/>
      <c r="AA196" s="297"/>
      <c r="AB196" s="298"/>
      <c r="AC196" s="358"/>
    </row>
    <row r="197" spans="1:29" x14ac:dyDescent="0.25">
      <c r="A197" s="1041"/>
      <c r="B197" s="286" t="s">
        <v>1180</v>
      </c>
      <c r="C197" s="278"/>
      <c r="D197" s="1036"/>
      <c r="E197" s="300"/>
      <c r="F197" s="301"/>
      <c r="G197" s="302"/>
      <c r="H197" s="301"/>
      <c r="I197" s="303"/>
      <c r="J197" s="290"/>
      <c r="K197" s="292"/>
      <c r="L197" s="292"/>
      <c r="M197" s="292"/>
      <c r="N197" s="292"/>
      <c r="O197" s="291"/>
      <c r="P197" s="291"/>
      <c r="Q197" s="291"/>
      <c r="R197" s="291"/>
      <c r="S197" s="291"/>
      <c r="T197" s="291"/>
      <c r="U197" s="291"/>
      <c r="V197" s="291"/>
      <c r="W197" s="291"/>
      <c r="X197" s="291"/>
      <c r="Y197" s="291"/>
      <c r="Z197" s="296"/>
      <c r="AA197" s="297"/>
      <c r="AB197" s="298"/>
      <c r="AC197" s="358"/>
    </row>
    <row r="198" spans="1:29" x14ac:dyDescent="0.25">
      <c r="A198" s="1041"/>
      <c r="B198" s="309" t="s">
        <v>1178</v>
      </c>
      <c r="C198" s="328"/>
      <c r="D198" s="1036"/>
      <c r="E198" s="300"/>
      <c r="F198" s="301"/>
      <c r="G198" s="302"/>
      <c r="H198" s="301"/>
      <c r="I198" s="303"/>
      <c r="J198" s="290"/>
      <c r="K198" s="292"/>
      <c r="L198" s="292"/>
      <c r="M198" s="292"/>
      <c r="N198" s="292"/>
      <c r="O198" s="291"/>
      <c r="P198" s="291"/>
      <c r="Q198" s="291"/>
      <c r="R198" s="291"/>
      <c r="S198" s="291"/>
      <c r="T198" s="291"/>
      <c r="U198" s="291"/>
      <c r="V198" s="291"/>
      <c r="W198" s="291"/>
      <c r="X198" s="291"/>
      <c r="Y198" s="291"/>
      <c r="Z198" s="296"/>
      <c r="AA198" s="297"/>
      <c r="AB198" s="298"/>
      <c r="AC198" s="358"/>
    </row>
    <row r="199" spans="1:29" x14ac:dyDescent="0.25">
      <c r="A199" s="1041"/>
      <c r="B199" s="286" t="s">
        <v>1179</v>
      </c>
      <c r="C199" s="328">
        <v>3</v>
      </c>
      <c r="D199" s="1036"/>
      <c r="E199" s="300"/>
      <c r="F199" s="301"/>
      <c r="G199" s="302"/>
      <c r="H199" s="301"/>
      <c r="I199" s="303"/>
      <c r="J199" s="290"/>
      <c r="K199" s="292"/>
      <c r="L199" s="305"/>
      <c r="M199" s="304"/>
      <c r="N199" s="292"/>
      <c r="O199" s="291"/>
      <c r="P199" s="291"/>
      <c r="Q199" s="291"/>
      <c r="R199" s="291"/>
      <c r="S199" s="291"/>
      <c r="T199" s="291"/>
      <c r="U199" s="291"/>
      <c r="V199" s="291"/>
      <c r="W199" s="291"/>
      <c r="X199" s="291"/>
      <c r="Y199" s="291"/>
      <c r="Z199" s="296"/>
      <c r="AA199" s="297"/>
      <c r="AB199" s="298"/>
      <c r="AC199" s="358"/>
    </row>
    <row r="200" spans="1:29" x14ac:dyDescent="0.25">
      <c r="A200" s="1041"/>
      <c r="B200" s="315" t="s">
        <v>1181</v>
      </c>
      <c r="C200" s="277">
        <f>C195*C198+C196*C199</f>
        <v>69.427211936322067</v>
      </c>
      <c r="D200" s="1037"/>
      <c r="E200" s="300"/>
      <c r="F200" s="376"/>
      <c r="G200" s="302"/>
      <c r="H200" s="301"/>
      <c r="I200" s="303"/>
      <c r="J200" s="290"/>
      <c r="K200" s="292"/>
      <c r="L200" s="311"/>
      <c r="M200" s="304"/>
      <c r="N200" s="292"/>
      <c r="O200" s="291"/>
      <c r="P200" s="291"/>
      <c r="Q200" s="291"/>
      <c r="R200" s="291"/>
      <c r="S200" s="291"/>
      <c r="T200" s="291"/>
      <c r="U200" s="291"/>
      <c r="V200" s="291"/>
      <c r="W200" s="291"/>
      <c r="X200" s="291"/>
      <c r="Y200" s="291"/>
      <c r="Z200" s="296"/>
      <c r="AA200" s="297"/>
      <c r="AB200" s="298"/>
      <c r="AC200" s="358"/>
    </row>
    <row r="201" spans="1:29" x14ac:dyDescent="0.25">
      <c r="A201" s="1041"/>
      <c r="B201" s="286"/>
      <c r="C201" s="278"/>
      <c r="D201" s="287"/>
      <c r="E201" s="286"/>
      <c r="F201" s="287"/>
      <c r="G201" s="288"/>
      <c r="H201" s="288"/>
      <c r="I201" s="287"/>
      <c r="J201" s="290"/>
      <c r="K201" s="291"/>
      <c r="L201" s="291"/>
      <c r="M201" s="291"/>
      <c r="N201" s="291"/>
      <c r="O201" s="291"/>
      <c r="P201" s="291"/>
      <c r="Q201" s="291"/>
      <c r="R201" s="291"/>
      <c r="S201" s="291"/>
      <c r="T201" s="291"/>
      <c r="U201" s="291"/>
      <c r="V201" s="291"/>
      <c r="W201" s="291"/>
      <c r="X201" s="291"/>
      <c r="Y201" s="291"/>
      <c r="Z201" s="296"/>
      <c r="AA201" s="297"/>
      <c r="AB201" s="298"/>
      <c r="AC201" s="358"/>
    </row>
    <row r="202" spans="1:29" x14ac:dyDescent="0.25">
      <c r="A202" s="1041" t="s">
        <v>1226</v>
      </c>
      <c r="B202" s="286" t="s">
        <v>1175</v>
      </c>
      <c r="C202" s="277">
        <f>C209</f>
        <v>46.284807957548047</v>
      </c>
      <c r="D202" s="1035">
        <f>C202*D3</f>
        <v>9.3495312074247057</v>
      </c>
      <c r="E202" s="286" t="s">
        <v>1176</v>
      </c>
      <c r="F202" s="356"/>
      <c r="G202" s="288"/>
      <c r="H202" s="288"/>
      <c r="I202" s="289">
        <f>SUM(I203:I210)</f>
        <v>5.0149999999999997</v>
      </c>
      <c r="J202" s="290" t="s">
        <v>1176</v>
      </c>
      <c r="K202" s="291"/>
      <c r="L202" s="291"/>
      <c r="M202" s="291"/>
      <c r="N202" s="433">
        <f>SUM(N203:N210)</f>
        <v>0.19699936009173374</v>
      </c>
      <c r="O202" s="291" t="s">
        <v>1176</v>
      </c>
      <c r="P202" s="291"/>
      <c r="Q202" s="293"/>
      <c r="R202" s="294"/>
      <c r="S202" s="295">
        <f>S203</f>
        <v>2.0586365198772354</v>
      </c>
      <c r="T202" s="292"/>
      <c r="U202" s="292"/>
      <c r="V202" s="292"/>
      <c r="W202" s="292"/>
      <c r="X202" s="292"/>
      <c r="Y202" s="433">
        <f>SUM(Y203:Y210)</f>
        <v>20.895848557760889</v>
      </c>
      <c r="Z202" s="296">
        <f>(C202+D202+I202+N202+S202+Y202)*Z3</f>
        <v>108.95679949430028</v>
      </c>
      <c r="AA202" s="297">
        <f>Z202+N202+C202+I202+D202+Y202+S202</f>
        <v>192.75762309700292</v>
      </c>
      <c r="AB202" s="298">
        <v>0.25</v>
      </c>
      <c r="AC202" s="358">
        <f>AA202*(1+AB202)</f>
        <v>240.94702887125365</v>
      </c>
    </row>
    <row r="203" spans="1:29" x14ac:dyDescent="0.25">
      <c r="A203" s="1041"/>
      <c r="B203" s="299" t="s">
        <v>1177</v>
      </c>
      <c r="C203" s="278"/>
      <c r="D203" s="1036"/>
      <c r="E203" s="300"/>
      <c r="F203" s="301"/>
      <c r="G203" s="302"/>
      <c r="H203" s="301"/>
      <c r="I203" s="303"/>
      <c r="J203" s="290" t="s">
        <v>1291</v>
      </c>
      <c r="K203" s="304">
        <v>2</v>
      </c>
      <c r="L203" s="305">
        <v>750</v>
      </c>
      <c r="M203" s="304">
        <v>2</v>
      </c>
      <c r="N203" s="433">
        <f>L203/'Исп. коэффициенты'!E45*C208</f>
        <v>0.16982703456183945</v>
      </c>
      <c r="O203" s="291" t="s">
        <v>1228</v>
      </c>
      <c r="P203" s="291">
        <v>46220</v>
      </c>
      <c r="Q203" s="291">
        <v>19.670000000000002</v>
      </c>
      <c r="R203" s="291">
        <v>9091.4699999999993</v>
      </c>
      <c r="S203" s="295">
        <f>R203/'Исп. коэффициенты'!E45*C208</f>
        <v>2.0586365198772354</v>
      </c>
      <c r="T203" s="306" t="s">
        <v>1435</v>
      </c>
      <c r="U203" s="307">
        <v>6785401.3499999996</v>
      </c>
      <c r="V203" s="746">
        <f>'Исп. коэффициенты'!E124</f>
        <v>2978.5</v>
      </c>
      <c r="W203" s="308">
        <v>1.3599999999999999E-2</v>
      </c>
      <c r="X203" s="292">
        <f>U203*W203</f>
        <v>92281.45835999999</v>
      </c>
      <c r="Y203" s="295">
        <f>X203/'Исп. коэффициенты'!E45*C208</f>
        <v>20.895848557760889</v>
      </c>
      <c r="Z203" s="296"/>
      <c r="AA203" s="297"/>
      <c r="AB203" s="298"/>
      <c r="AC203" s="358"/>
    </row>
    <row r="204" spans="1:29" x14ac:dyDescent="0.25">
      <c r="A204" s="1041"/>
      <c r="B204" s="309" t="s">
        <v>1178</v>
      </c>
      <c r="C204" s="278"/>
      <c r="D204" s="1036"/>
      <c r="E204" s="300" t="s">
        <v>2187</v>
      </c>
      <c r="F204" s="301" t="s">
        <v>1</v>
      </c>
      <c r="G204" s="302">
        <v>6.3E-2</v>
      </c>
      <c r="H204" s="301">
        <v>5</v>
      </c>
      <c r="I204" s="303">
        <f>G204*H204</f>
        <v>0.315</v>
      </c>
      <c r="J204" s="290" t="s">
        <v>1445</v>
      </c>
      <c r="K204" s="292">
        <v>2</v>
      </c>
      <c r="L204" s="311">
        <v>95</v>
      </c>
      <c r="M204" s="304">
        <v>2</v>
      </c>
      <c r="N204" s="433">
        <f>L204/'Исп. коэффициенты'!E45*C208</f>
        <v>2.1511424377832999E-2</v>
      </c>
      <c r="O204" s="291"/>
      <c r="P204" s="291"/>
      <c r="Q204" s="291"/>
      <c r="R204" s="291"/>
      <c r="S204" s="291"/>
      <c r="T204" s="291"/>
      <c r="U204" s="291"/>
      <c r="V204" s="291"/>
      <c r="W204" s="291"/>
      <c r="X204" s="291"/>
      <c r="Y204" s="291"/>
      <c r="Z204" s="296"/>
      <c r="AA204" s="297"/>
      <c r="AB204" s="298"/>
      <c r="AC204" s="358"/>
    </row>
    <row r="205" spans="1:29" x14ac:dyDescent="0.25">
      <c r="A205" s="1041"/>
      <c r="B205" s="286" t="s">
        <v>1179</v>
      </c>
      <c r="C205" s="277">
        <f>C196</f>
        <v>23.142403978774023</v>
      </c>
      <c r="D205" s="1036"/>
      <c r="E205" s="300" t="s">
        <v>2112</v>
      </c>
      <c r="F205" s="301" t="s">
        <v>1</v>
      </c>
      <c r="G205" s="302">
        <v>0.47</v>
      </c>
      <c r="H205" s="302">
        <v>10</v>
      </c>
      <c r="I205" s="303">
        <f>G205*H205</f>
        <v>4.6999999999999993</v>
      </c>
      <c r="J205" s="290" t="s">
        <v>1513</v>
      </c>
      <c r="K205" s="292">
        <v>2</v>
      </c>
      <c r="L205" s="292">
        <v>25</v>
      </c>
      <c r="M205" s="304">
        <v>0.5</v>
      </c>
      <c r="N205" s="433">
        <f>L205/'Исп. коэффициенты'!E45*C208</f>
        <v>5.6609011520613152E-3</v>
      </c>
      <c r="O205" s="291"/>
      <c r="P205" s="291"/>
      <c r="Q205" s="291"/>
      <c r="R205" s="291"/>
      <c r="S205" s="291"/>
      <c r="T205" s="291"/>
      <c r="U205" s="291"/>
      <c r="V205" s="291"/>
      <c r="W205" s="291"/>
      <c r="X205" s="291"/>
      <c r="Y205" s="291"/>
      <c r="Z205" s="296"/>
      <c r="AA205" s="297"/>
      <c r="AB205" s="298"/>
      <c r="AC205" s="358"/>
    </row>
    <row r="206" spans="1:29" x14ac:dyDescent="0.25">
      <c r="A206" s="1041"/>
      <c r="B206" s="286" t="s">
        <v>1180</v>
      </c>
      <c r="C206" s="278"/>
      <c r="D206" s="1036"/>
      <c r="E206" s="300"/>
      <c r="F206" s="301"/>
      <c r="G206" s="302"/>
      <c r="H206" s="301"/>
      <c r="I206" s="303"/>
      <c r="J206" s="290"/>
      <c r="K206" s="292"/>
      <c r="L206" s="292"/>
      <c r="M206" s="292"/>
      <c r="N206" s="292"/>
      <c r="O206" s="291"/>
      <c r="P206" s="291"/>
      <c r="Q206" s="291"/>
      <c r="R206" s="291"/>
      <c r="S206" s="291"/>
      <c r="T206" s="291"/>
      <c r="U206" s="291"/>
      <c r="V206" s="291"/>
      <c r="W206" s="291"/>
      <c r="X206" s="291"/>
      <c r="Y206" s="291"/>
      <c r="Z206" s="296"/>
      <c r="AA206" s="297"/>
      <c r="AB206" s="298"/>
      <c r="AC206" s="358"/>
    </row>
    <row r="207" spans="1:29" x14ac:dyDescent="0.25">
      <c r="A207" s="1041"/>
      <c r="B207" s="309" t="s">
        <v>1178</v>
      </c>
      <c r="C207" s="328"/>
      <c r="D207" s="1036"/>
      <c r="E207" s="300"/>
      <c r="F207" s="301"/>
      <c r="G207" s="302"/>
      <c r="H207" s="301"/>
      <c r="I207" s="303"/>
      <c r="J207" s="290"/>
      <c r="K207" s="292"/>
      <c r="L207" s="292"/>
      <c r="M207" s="292"/>
      <c r="N207" s="292"/>
      <c r="O207" s="291"/>
      <c r="P207" s="291"/>
      <c r="Q207" s="291"/>
      <c r="R207" s="291"/>
      <c r="S207" s="291"/>
      <c r="T207" s="291"/>
      <c r="U207" s="291"/>
      <c r="V207" s="291"/>
      <c r="W207" s="291"/>
      <c r="X207" s="291"/>
      <c r="Y207" s="291"/>
      <c r="Z207" s="296"/>
      <c r="AA207" s="297"/>
      <c r="AB207" s="298"/>
      <c r="AC207" s="358"/>
    </row>
    <row r="208" spans="1:29" x14ac:dyDescent="0.25">
      <c r="A208" s="1041"/>
      <c r="B208" s="286" t="s">
        <v>1179</v>
      </c>
      <c r="C208" s="328">
        <v>2</v>
      </c>
      <c r="D208" s="1036"/>
      <c r="E208" s="300"/>
      <c r="F208" s="301"/>
      <c r="G208" s="302"/>
      <c r="H208" s="301"/>
      <c r="I208" s="303"/>
      <c r="J208" s="290"/>
      <c r="K208" s="292"/>
      <c r="L208" s="305"/>
      <c r="M208" s="304"/>
      <c r="N208" s="292"/>
      <c r="O208" s="291"/>
      <c r="P208" s="291"/>
      <c r="Q208" s="291"/>
      <c r="R208" s="291"/>
      <c r="S208" s="291"/>
      <c r="T208" s="291"/>
      <c r="U208" s="291"/>
      <c r="V208" s="291"/>
      <c r="W208" s="291"/>
      <c r="X208" s="291"/>
      <c r="Y208" s="291"/>
      <c r="Z208" s="296"/>
      <c r="AA208" s="297"/>
      <c r="AB208" s="298"/>
      <c r="AC208" s="358"/>
    </row>
    <row r="209" spans="1:29" x14ac:dyDescent="0.25">
      <c r="A209" s="1041"/>
      <c r="B209" s="315" t="s">
        <v>1181</v>
      </c>
      <c r="C209" s="277">
        <f>C204*C207+C205*C208</f>
        <v>46.284807957548047</v>
      </c>
      <c r="D209" s="1037"/>
      <c r="E209" s="300"/>
      <c r="F209" s="376"/>
      <c r="G209" s="302"/>
      <c r="H209" s="301"/>
      <c r="I209" s="303"/>
      <c r="J209" s="290"/>
      <c r="K209" s="292"/>
      <c r="L209" s="311"/>
      <c r="M209" s="304"/>
      <c r="N209" s="292"/>
      <c r="O209" s="291"/>
      <c r="P209" s="291"/>
      <c r="Q209" s="291"/>
      <c r="R209" s="291"/>
      <c r="S209" s="291"/>
      <c r="T209" s="291"/>
      <c r="U209" s="291"/>
      <c r="V209" s="291"/>
      <c r="W209" s="291"/>
      <c r="X209" s="291"/>
      <c r="Y209" s="291"/>
      <c r="Z209" s="296"/>
      <c r="AA209" s="297"/>
      <c r="AB209" s="298"/>
      <c r="AC209" s="358"/>
    </row>
    <row r="210" spans="1:29" x14ac:dyDescent="0.25">
      <c r="A210" s="1041"/>
      <c r="B210" s="286"/>
      <c r="C210" s="278"/>
      <c r="D210" s="287"/>
      <c r="E210" s="286"/>
      <c r="F210" s="287"/>
      <c r="G210" s="288"/>
      <c r="H210" s="288"/>
      <c r="I210" s="287"/>
      <c r="J210" s="290"/>
      <c r="K210" s="291"/>
      <c r="L210" s="291"/>
      <c r="M210" s="291"/>
      <c r="N210" s="291"/>
      <c r="O210" s="291"/>
      <c r="P210" s="291"/>
      <c r="Q210" s="291"/>
      <c r="R210" s="291"/>
      <c r="S210" s="291"/>
      <c r="T210" s="291"/>
      <c r="U210" s="291"/>
      <c r="V210" s="291"/>
      <c r="W210" s="291"/>
      <c r="X210" s="291"/>
      <c r="Y210" s="291"/>
      <c r="Z210" s="296"/>
      <c r="AA210" s="297"/>
      <c r="AB210" s="298"/>
      <c r="AC210" s="358"/>
    </row>
  </sheetData>
  <mergeCells count="56">
    <mergeCell ref="AC2:AC3"/>
    <mergeCell ref="A4:Z4"/>
    <mergeCell ref="A5:A14"/>
    <mergeCell ref="D6:D14"/>
    <mergeCell ref="A15:A22"/>
    <mergeCell ref="D15:D22"/>
    <mergeCell ref="O2:S3"/>
    <mergeCell ref="T2:Y3"/>
    <mergeCell ref="AA2:AA3"/>
    <mergeCell ref="AB2:AB3"/>
    <mergeCell ref="B1:N1"/>
    <mergeCell ref="B2:C2"/>
    <mergeCell ref="E2:I3"/>
    <mergeCell ref="J2:N3"/>
    <mergeCell ref="A23:A31"/>
    <mergeCell ref="D23:D31"/>
    <mergeCell ref="A112:A120"/>
    <mergeCell ref="D112:D119"/>
    <mergeCell ref="A76:A84"/>
    <mergeCell ref="D76:D84"/>
    <mergeCell ref="A85:A93"/>
    <mergeCell ref="D85:D92"/>
    <mergeCell ref="A103:A111"/>
    <mergeCell ref="D103:D111"/>
    <mergeCell ref="A166:A174"/>
    <mergeCell ref="D166:D173"/>
    <mergeCell ref="A139:A147"/>
    <mergeCell ref="D139:D146"/>
    <mergeCell ref="A121:A129"/>
    <mergeCell ref="D121:D128"/>
    <mergeCell ref="A130:A138"/>
    <mergeCell ref="D130:D137"/>
    <mergeCell ref="A67:A75"/>
    <mergeCell ref="D67:D74"/>
    <mergeCell ref="A94:A102"/>
    <mergeCell ref="D94:D102"/>
    <mergeCell ref="A202:A210"/>
    <mergeCell ref="D202:D209"/>
    <mergeCell ref="A184:A192"/>
    <mergeCell ref="D184:D191"/>
    <mergeCell ref="A193:A201"/>
    <mergeCell ref="D193:D200"/>
    <mergeCell ref="A148:A156"/>
    <mergeCell ref="D148:D155"/>
    <mergeCell ref="A175:A183"/>
    <mergeCell ref="D175:D182"/>
    <mergeCell ref="A157:A165"/>
    <mergeCell ref="D157:D164"/>
    <mergeCell ref="A58:A66"/>
    <mergeCell ref="D58:D66"/>
    <mergeCell ref="A32:A39"/>
    <mergeCell ref="D32:D39"/>
    <mergeCell ref="A40:A48"/>
    <mergeCell ref="D40:D47"/>
    <mergeCell ref="A49:A57"/>
    <mergeCell ref="D49:D57"/>
  </mergeCells>
  <phoneticPr fontId="2" type="noConversion"/>
  <pageMargins left="0.75" right="0.75" top="1" bottom="1" header="0.5" footer="0.5"/>
  <pageSetup paperSize="9" scale="52" orientation="landscape" verticalDpi="200" r:id="rId1"/>
  <headerFooter alignWithMargins="0"/>
  <rowBreaks count="3" manualBreakCount="3">
    <brk id="48" max="16383" man="1"/>
    <brk id="102" max="16383" man="1"/>
    <brk id="16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A125"/>
  <sheetViews>
    <sheetView topLeftCell="M19" workbookViewId="0">
      <selection activeCell="O45" sqref="O45"/>
    </sheetView>
  </sheetViews>
  <sheetFormatPr defaultRowHeight="13.2" x14ac:dyDescent="0.25"/>
  <cols>
    <col min="2" max="2" width="16" customWidth="1"/>
    <col min="3" max="3" width="7.6640625" customWidth="1"/>
    <col min="4" max="4" width="9.33203125" bestFit="1" customWidth="1"/>
    <col min="5" max="5" width="17.109375" customWidth="1"/>
    <col min="9" max="9" width="9.33203125" bestFit="1" customWidth="1"/>
    <col min="10" max="10" width="14.6640625" customWidth="1"/>
    <col min="14" max="14" width="11.5546875" bestFit="1" customWidth="1"/>
    <col min="15" max="15" width="22.109375" customWidth="1"/>
    <col min="19" max="19" width="9.5546875" bestFit="1" customWidth="1"/>
    <col min="25" max="25" width="13.5546875" customWidth="1"/>
    <col min="26" max="26" width="10.44140625" customWidth="1"/>
    <col min="27" max="27" width="9.5546875" hidden="1" customWidth="1"/>
    <col min="28" max="28" width="0" hidden="1" customWidth="1"/>
    <col min="29" max="29" width="11.44140625" hidden="1" customWidth="1"/>
  </cols>
  <sheetData>
    <row r="1" spans="1:53" s="3" customFormat="1" ht="22.5" customHeight="1" x14ac:dyDescent="0.3">
      <c r="A1" s="1072" t="s">
        <v>593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F1" s="81"/>
      <c r="AG1" s="56"/>
      <c r="AH1" s="125"/>
      <c r="AI1" s="126"/>
      <c r="AJ1" s="125"/>
      <c r="AK1" s="125"/>
      <c r="AL1" s="127"/>
      <c r="AM1" s="125"/>
      <c r="AN1" s="125"/>
      <c r="AO1" s="128"/>
      <c r="AP1" s="125"/>
      <c r="AQ1" s="125"/>
      <c r="AR1" s="128"/>
      <c r="AS1" s="128"/>
      <c r="AT1" s="125"/>
      <c r="AU1" s="125"/>
      <c r="AV1" s="128"/>
      <c r="AW1" s="56"/>
      <c r="AX1" s="56"/>
      <c r="AY1" s="56"/>
      <c r="AZ1" s="56"/>
      <c r="BA1" s="56"/>
    </row>
    <row r="2" spans="1:53" s="3" customFormat="1" ht="12.75" customHeight="1" x14ac:dyDescent="0.25">
      <c r="A2" s="39"/>
      <c r="B2" s="36"/>
      <c r="C2" s="35"/>
      <c r="E2" s="36"/>
      <c r="F2" s="164"/>
      <c r="G2" s="37"/>
      <c r="H2" s="37"/>
      <c r="J2" s="40"/>
      <c r="K2" s="16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F2" s="81"/>
      <c r="AG2" s="56"/>
      <c r="AH2" s="125"/>
      <c r="AI2" s="125"/>
      <c r="AJ2" s="125"/>
      <c r="AK2" s="125"/>
      <c r="AL2" s="127"/>
      <c r="AM2" s="125"/>
      <c r="AN2" s="125"/>
      <c r="AO2" s="128"/>
      <c r="AP2" s="125"/>
      <c r="AQ2" s="125"/>
      <c r="AR2" s="128"/>
      <c r="AS2" s="128"/>
      <c r="AT2" s="125"/>
      <c r="AU2" s="125"/>
      <c r="AV2" s="128"/>
      <c r="AW2" s="56"/>
      <c r="AX2" s="56"/>
      <c r="AY2" s="56"/>
      <c r="AZ2" s="56"/>
      <c r="BA2" s="56"/>
    </row>
    <row r="3" spans="1:53" s="3" customFormat="1" ht="12.75" customHeight="1" x14ac:dyDescent="0.25">
      <c r="A3" s="34"/>
      <c r="B3" s="36"/>
      <c r="C3" s="35"/>
      <c r="E3" s="36"/>
      <c r="F3" s="164"/>
      <c r="G3" s="37"/>
      <c r="H3" s="37"/>
      <c r="J3" s="40"/>
      <c r="K3" s="16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F3" s="81"/>
      <c r="AG3" s="56"/>
      <c r="AH3" s="125"/>
      <c r="AI3" s="125"/>
      <c r="AJ3" s="125"/>
      <c r="AK3" s="125"/>
      <c r="AL3" s="127"/>
      <c r="AM3" s="125"/>
      <c r="AN3" s="125"/>
      <c r="AO3" s="128"/>
      <c r="AP3" s="125"/>
      <c r="AQ3" s="125"/>
      <c r="AR3" s="128"/>
      <c r="AS3" s="128"/>
      <c r="AT3" s="125"/>
      <c r="AU3" s="125"/>
      <c r="AV3" s="128"/>
      <c r="AW3" s="56"/>
      <c r="AX3" s="56"/>
      <c r="AY3" s="56"/>
      <c r="AZ3" s="56"/>
      <c r="BA3" s="56"/>
    </row>
    <row r="4" spans="1:53" s="44" customFormat="1" ht="59.25" customHeight="1" x14ac:dyDescent="0.25">
      <c r="A4" s="41"/>
      <c r="B4" s="1073" t="s">
        <v>487</v>
      </c>
      <c r="C4" s="1073"/>
      <c r="D4" s="42" t="s">
        <v>491</v>
      </c>
      <c r="E4" s="1074" t="s">
        <v>1164</v>
      </c>
      <c r="F4" s="1075"/>
      <c r="G4" s="1075"/>
      <c r="H4" s="1075"/>
      <c r="I4" s="1064"/>
      <c r="J4" s="1066" t="s">
        <v>1165</v>
      </c>
      <c r="K4" s="1067"/>
      <c r="L4" s="1067"/>
      <c r="M4" s="1067"/>
      <c r="N4" s="1070"/>
      <c r="O4" s="1066" t="s">
        <v>492</v>
      </c>
      <c r="P4" s="1067"/>
      <c r="Q4" s="1067"/>
      <c r="R4" s="1067"/>
      <c r="S4" s="1067"/>
      <c r="T4" s="1066" t="s">
        <v>840</v>
      </c>
      <c r="U4" s="1067"/>
      <c r="V4" s="1067"/>
      <c r="W4" s="1067"/>
      <c r="X4" s="1067"/>
      <c r="Y4" s="1070"/>
      <c r="Z4" s="156" t="s">
        <v>1166</v>
      </c>
      <c r="AA4" s="1064" t="s">
        <v>827</v>
      </c>
      <c r="AB4" s="1062" t="s">
        <v>1167</v>
      </c>
      <c r="AC4" s="1062" t="s">
        <v>1168</v>
      </c>
      <c r="AD4" s="43"/>
      <c r="AF4" s="149"/>
      <c r="AG4" s="152"/>
      <c r="AH4" s="152"/>
      <c r="AI4" s="129"/>
      <c r="AJ4" s="130"/>
      <c r="AK4" s="129"/>
      <c r="AL4" s="131"/>
      <c r="AM4" s="129"/>
      <c r="AN4" s="129"/>
      <c r="AO4" s="132"/>
      <c r="AP4" s="132"/>
      <c r="AQ4" s="132"/>
      <c r="AR4" s="132"/>
      <c r="AS4" s="132"/>
      <c r="AT4" s="132"/>
      <c r="AU4" s="129"/>
      <c r="AV4" s="129"/>
      <c r="AW4" s="133"/>
      <c r="AX4" s="133"/>
      <c r="AY4" s="133"/>
      <c r="AZ4" s="133"/>
      <c r="BA4" s="133"/>
    </row>
    <row r="5" spans="1:53" s="35" customFormat="1" ht="13.5" customHeight="1" x14ac:dyDescent="0.25">
      <c r="A5" s="45"/>
      <c r="B5" s="46" t="s">
        <v>488</v>
      </c>
      <c r="C5" s="46" t="s">
        <v>1169</v>
      </c>
      <c r="D5" s="230">
        <v>0.20200000000000001</v>
      </c>
      <c r="E5" s="1076"/>
      <c r="F5" s="1077"/>
      <c r="G5" s="1077"/>
      <c r="H5" s="1077"/>
      <c r="I5" s="1065"/>
      <c r="J5" s="1068"/>
      <c r="K5" s="1069"/>
      <c r="L5" s="1069"/>
      <c r="M5" s="1069"/>
      <c r="N5" s="1071"/>
      <c r="O5" s="1068"/>
      <c r="P5" s="1069"/>
      <c r="Q5" s="1069"/>
      <c r="R5" s="1069"/>
      <c r="S5" s="1069"/>
      <c r="T5" s="1068"/>
      <c r="U5" s="1069"/>
      <c r="V5" s="1069"/>
      <c r="W5" s="1069"/>
      <c r="X5" s="1069"/>
      <c r="Y5" s="1071"/>
      <c r="Z5" s="157">
        <f>'Исп. коэффициенты'!C91</f>
        <v>1.3001876927947804</v>
      </c>
      <c r="AA5" s="1065"/>
      <c r="AB5" s="1063"/>
      <c r="AC5" s="1063"/>
      <c r="AD5" s="48"/>
      <c r="AE5" s="49"/>
      <c r="AF5" s="150"/>
      <c r="AG5" s="81"/>
      <c r="AH5" s="134"/>
      <c r="AI5" s="135"/>
      <c r="AJ5" s="136"/>
      <c r="AK5" s="134"/>
      <c r="AL5" s="137"/>
      <c r="AM5" s="129"/>
      <c r="AN5" s="129"/>
      <c r="AO5" s="132"/>
      <c r="AP5" s="132"/>
      <c r="AQ5" s="138"/>
      <c r="AR5" s="138"/>
      <c r="AS5" s="138"/>
      <c r="AT5" s="132"/>
      <c r="AU5" s="129"/>
      <c r="AV5" s="130"/>
      <c r="AW5" s="81"/>
      <c r="AX5" s="81"/>
      <c r="AY5" s="81"/>
      <c r="AZ5" s="81"/>
      <c r="BA5" s="81"/>
    </row>
    <row r="6" spans="1:53" s="35" customFormat="1" ht="17.25" customHeight="1" x14ac:dyDescent="0.25">
      <c r="A6" s="1059" t="s">
        <v>823</v>
      </c>
      <c r="B6" s="1060"/>
      <c r="C6" s="106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  <c r="P6" s="1060"/>
      <c r="Q6" s="1060"/>
      <c r="R6" s="1060"/>
      <c r="S6" s="1060"/>
      <c r="T6" s="1060"/>
      <c r="U6" s="1060"/>
      <c r="V6" s="1060"/>
      <c r="W6" s="1060"/>
      <c r="X6" s="1060"/>
      <c r="Y6" s="1060"/>
      <c r="Z6" s="1060"/>
      <c r="AA6" s="1060"/>
      <c r="AB6" s="1060"/>
      <c r="AC6" s="1061"/>
      <c r="AD6" s="48"/>
      <c r="AE6" s="49"/>
      <c r="AF6" s="150"/>
      <c r="AG6" s="81"/>
      <c r="AH6" s="134"/>
      <c r="AI6" s="135"/>
      <c r="AJ6" s="136"/>
      <c r="AK6" s="134"/>
      <c r="AL6" s="137"/>
      <c r="AM6" s="129"/>
      <c r="AN6" s="129"/>
      <c r="AO6" s="132"/>
      <c r="AP6" s="132"/>
      <c r="AQ6" s="138"/>
      <c r="AR6" s="138"/>
      <c r="AS6" s="138"/>
      <c r="AT6" s="132"/>
      <c r="AU6" s="129"/>
      <c r="AV6" s="130"/>
      <c r="AW6" s="81"/>
      <c r="AX6" s="81"/>
      <c r="AY6" s="81"/>
      <c r="AZ6" s="81"/>
      <c r="BA6" s="81"/>
    </row>
    <row r="7" spans="1:53" s="261" customFormat="1" ht="56.25" customHeight="1" x14ac:dyDescent="0.25">
      <c r="A7" s="1012" t="s">
        <v>1436</v>
      </c>
      <c r="B7" s="353"/>
      <c r="C7" s="277"/>
      <c r="D7" s="287"/>
      <c r="E7" s="278" t="s">
        <v>488</v>
      </c>
      <c r="F7" s="279" t="s">
        <v>837</v>
      </c>
      <c r="G7" s="277" t="s">
        <v>489</v>
      </c>
      <c r="H7" s="278" t="s">
        <v>1170</v>
      </c>
      <c r="I7" s="279" t="s">
        <v>838</v>
      </c>
      <c r="J7" s="280" t="s">
        <v>1171</v>
      </c>
      <c r="K7" s="280" t="s">
        <v>490</v>
      </c>
      <c r="L7" s="281" t="s">
        <v>489</v>
      </c>
      <c r="M7" s="280" t="s">
        <v>1172</v>
      </c>
      <c r="N7" s="354" t="s">
        <v>838</v>
      </c>
      <c r="O7" s="280" t="s">
        <v>1171</v>
      </c>
      <c r="P7" s="280" t="s">
        <v>826</v>
      </c>
      <c r="Q7" s="282" t="s">
        <v>1173</v>
      </c>
      <c r="R7" s="280" t="s">
        <v>1174</v>
      </c>
      <c r="S7" s="280" t="s">
        <v>839</v>
      </c>
      <c r="T7" s="280" t="s">
        <v>1171</v>
      </c>
      <c r="U7" s="280" t="s">
        <v>1392</v>
      </c>
      <c r="V7" s="282" t="s">
        <v>1173</v>
      </c>
      <c r="W7" s="280" t="s">
        <v>841</v>
      </c>
      <c r="X7" s="280" t="s">
        <v>1394</v>
      </c>
      <c r="Y7" s="280" t="s">
        <v>839</v>
      </c>
      <c r="Z7" s="283"/>
      <c r="AA7" s="284"/>
      <c r="AB7" s="284"/>
      <c r="AC7" s="284"/>
      <c r="AD7" s="263"/>
      <c r="AF7" s="262"/>
      <c r="AG7" s="263"/>
      <c r="AH7" s="263"/>
      <c r="AI7" s="263"/>
      <c r="AJ7" s="263"/>
      <c r="AK7" s="263"/>
      <c r="AL7" s="264"/>
      <c r="AM7" s="263"/>
      <c r="AN7" s="263"/>
      <c r="AO7" s="265"/>
      <c r="AP7" s="263"/>
      <c r="AQ7" s="355"/>
      <c r="AR7" s="355"/>
      <c r="AS7" s="355"/>
      <c r="AT7" s="263"/>
      <c r="AU7" s="263"/>
      <c r="AV7" s="265"/>
      <c r="AW7" s="263"/>
      <c r="AX7" s="263"/>
      <c r="AY7" s="263"/>
      <c r="AZ7" s="263"/>
      <c r="BA7" s="263"/>
    </row>
    <row r="8" spans="1:53" s="270" customFormat="1" ht="12" customHeight="1" x14ac:dyDescent="0.25">
      <c r="A8" s="1013"/>
      <c r="B8" s="285" t="s">
        <v>1175</v>
      </c>
      <c r="C8" s="277">
        <f>C15</f>
        <v>351.82756377584718</v>
      </c>
      <c r="D8" s="336">
        <f>C8*$D$5</f>
        <v>71.069167882721132</v>
      </c>
      <c r="E8" s="286" t="s">
        <v>1176</v>
      </c>
      <c r="F8" s="356"/>
      <c r="G8" s="288"/>
      <c r="H8" s="288"/>
      <c r="I8" s="289">
        <f>SUM(I9:I16)</f>
        <v>7.3026999999999997</v>
      </c>
      <c r="J8" s="290" t="s">
        <v>1176</v>
      </c>
      <c r="K8" s="357"/>
      <c r="L8" s="291"/>
      <c r="M8" s="291"/>
      <c r="N8" s="292">
        <f>SUM(N9:N16)</f>
        <v>0</v>
      </c>
      <c r="O8" s="291" t="s">
        <v>1176</v>
      </c>
      <c r="P8" s="291"/>
      <c r="Q8" s="372"/>
      <c r="R8" s="294"/>
      <c r="S8" s="292">
        <f>SUM(S9:S16)</f>
        <v>0</v>
      </c>
      <c r="T8" s="291" t="s">
        <v>1176</v>
      </c>
      <c r="U8" s="307"/>
      <c r="V8" s="308"/>
      <c r="W8" s="306"/>
      <c r="X8" s="292"/>
      <c r="Y8" s="292"/>
      <c r="Z8" s="296">
        <v>219.2</v>
      </c>
      <c r="AA8" s="297">
        <f>C8+D8+I8+N8+S8+Y8+Z8</f>
        <v>649.39943165856835</v>
      </c>
      <c r="AB8" s="298">
        <v>0.25</v>
      </c>
      <c r="AC8" s="385">
        <f>AA8*(1+AB8)</f>
        <v>811.74928957321049</v>
      </c>
      <c r="AD8" s="265"/>
      <c r="AE8" s="261"/>
      <c r="AF8" s="262"/>
      <c r="AG8" s="263"/>
      <c r="AH8" s="263"/>
      <c r="AI8" s="355"/>
      <c r="AJ8" s="359"/>
      <c r="AK8" s="360"/>
      <c r="AL8" s="264"/>
      <c r="AM8" s="361"/>
      <c r="AN8" s="143"/>
      <c r="AO8" s="362"/>
      <c r="AP8" s="363"/>
      <c r="AQ8" s="363"/>
      <c r="AR8" s="363"/>
      <c r="AS8" s="363"/>
      <c r="AT8" s="363"/>
      <c r="AU8" s="362"/>
      <c r="AV8" s="362"/>
      <c r="AW8" s="364"/>
      <c r="AX8" s="272"/>
      <c r="AY8" s="272"/>
      <c r="AZ8" s="272"/>
      <c r="BA8" s="272"/>
    </row>
    <row r="9" spans="1:53" s="371" customFormat="1" ht="12.75" customHeight="1" x14ac:dyDescent="0.25">
      <c r="A9" s="1013"/>
      <c r="B9" s="299" t="s">
        <v>830</v>
      </c>
      <c r="C9" s="277"/>
      <c r="D9" s="336"/>
      <c r="E9" s="300" t="s">
        <v>1437</v>
      </c>
      <c r="F9" s="301" t="s">
        <v>1438</v>
      </c>
      <c r="G9" s="302">
        <v>0.74</v>
      </c>
      <c r="H9" s="301">
        <v>0.01</v>
      </c>
      <c r="I9" s="303"/>
      <c r="J9" s="290" t="s">
        <v>1291</v>
      </c>
      <c r="K9" s="304">
        <v>2</v>
      </c>
      <c r="L9" s="305">
        <v>750</v>
      </c>
      <c r="M9" s="304">
        <v>2</v>
      </c>
      <c r="N9" s="292"/>
      <c r="O9" s="291"/>
      <c r="P9" s="291"/>
      <c r="Q9" s="291"/>
      <c r="R9" s="291"/>
      <c r="S9" s="291"/>
      <c r="T9" s="306"/>
      <c r="U9" s="307"/>
      <c r="V9" s="308"/>
      <c r="W9" s="306"/>
      <c r="X9" s="292"/>
      <c r="Y9" s="291"/>
      <c r="Z9" s="291"/>
      <c r="AA9" s="284"/>
      <c r="AB9" s="284"/>
      <c r="AC9" s="284"/>
      <c r="AD9" s="263"/>
      <c r="AE9" s="261"/>
      <c r="AF9" s="365"/>
      <c r="AG9" s="366"/>
      <c r="AH9" s="366"/>
      <c r="AI9" s="366"/>
      <c r="AJ9" s="367"/>
      <c r="AK9" s="366"/>
      <c r="AL9" s="368"/>
      <c r="AM9" s="366"/>
      <c r="AN9" s="366"/>
      <c r="AO9" s="369"/>
      <c r="AP9" s="366"/>
      <c r="AQ9" s="366"/>
      <c r="AR9" s="369"/>
      <c r="AS9" s="369"/>
      <c r="AT9" s="370"/>
      <c r="AU9" s="366"/>
      <c r="AV9" s="369"/>
      <c r="AW9" s="366"/>
      <c r="AX9" s="366"/>
      <c r="AY9" s="366"/>
      <c r="AZ9" s="366"/>
      <c r="BA9" s="366"/>
    </row>
    <row r="10" spans="1:53" s="371" customFormat="1" x14ac:dyDescent="0.25">
      <c r="A10" s="1013"/>
      <c r="B10" s="309" t="s">
        <v>1178</v>
      </c>
      <c r="C10" s="310">
        <f>'Заработная плата'!M75</f>
        <v>37.0344803974576</v>
      </c>
      <c r="D10" s="336"/>
      <c r="E10" s="300" t="s">
        <v>1439</v>
      </c>
      <c r="F10" s="301" t="s">
        <v>1438</v>
      </c>
      <c r="G10" s="302">
        <v>0.27</v>
      </c>
      <c r="H10" s="301">
        <v>0.01</v>
      </c>
      <c r="I10" s="303">
        <f>G10*H10</f>
        <v>2.7000000000000001E-3</v>
      </c>
      <c r="J10" s="290" t="s">
        <v>1445</v>
      </c>
      <c r="K10" s="292">
        <v>2</v>
      </c>
      <c r="L10" s="311">
        <v>95</v>
      </c>
      <c r="M10" s="304">
        <v>2</v>
      </c>
      <c r="N10" s="292">
        <v>0</v>
      </c>
      <c r="O10" s="291"/>
      <c r="P10" s="291"/>
      <c r="Q10" s="291"/>
      <c r="R10" s="291"/>
      <c r="S10" s="291"/>
      <c r="T10" s="291"/>
      <c r="U10" s="291"/>
      <c r="V10" s="291"/>
      <c r="W10" s="372"/>
      <c r="X10" s="291"/>
      <c r="Y10" s="291"/>
      <c r="Z10" s="291"/>
      <c r="AA10" s="284"/>
      <c r="AB10" s="284"/>
      <c r="AC10" s="284"/>
      <c r="AD10" s="263"/>
      <c r="AE10" s="261"/>
      <c r="AF10" s="365"/>
      <c r="AG10" s="366"/>
      <c r="AH10" s="366"/>
      <c r="AI10" s="366"/>
      <c r="AJ10" s="367"/>
      <c r="AK10" s="366"/>
      <c r="AL10" s="368"/>
      <c r="AM10" s="373"/>
      <c r="AN10" s="366"/>
      <c r="AO10" s="369"/>
      <c r="AP10" s="366"/>
      <c r="AQ10" s="366"/>
      <c r="AR10" s="369"/>
      <c r="AS10" s="369"/>
      <c r="AT10" s="366"/>
      <c r="AU10" s="366"/>
      <c r="AV10" s="369"/>
      <c r="AW10" s="366"/>
      <c r="AX10" s="366"/>
      <c r="AY10" s="366"/>
      <c r="AZ10" s="366"/>
      <c r="BA10" s="366"/>
    </row>
    <row r="11" spans="1:53" s="371" customFormat="1" ht="12.75" customHeight="1" x14ac:dyDescent="0.25">
      <c r="A11" s="1013"/>
      <c r="B11" s="286" t="s">
        <v>1179</v>
      </c>
      <c r="C11" s="277">
        <v>12.81</v>
      </c>
      <c r="D11" s="336"/>
      <c r="E11" s="300" t="s">
        <v>1440</v>
      </c>
      <c r="F11" s="301" t="s">
        <v>1441</v>
      </c>
      <c r="G11" s="302">
        <v>5.72</v>
      </c>
      <c r="H11" s="312">
        <v>1</v>
      </c>
      <c r="I11" s="303">
        <v>7.3</v>
      </c>
      <c r="J11" s="290" t="s">
        <v>1513</v>
      </c>
      <c r="K11" s="292">
        <v>2</v>
      </c>
      <c r="L11" s="292">
        <v>25</v>
      </c>
      <c r="M11" s="304">
        <v>0.5</v>
      </c>
      <c r="N11" s="292"/>
      <c r="O11" s="291"/>
      <c r="P11" s="291"/>
      <c r="Q11" s="372"/>
      <c r="R11" s="291"/>
      <c r="S11" s="291"/>
      <c r="T11" s="291"/>
      <c r="U11" s="291"/>
      <c r="V11" s="291"/>
      <c r="W11" s="372"/>
      <c r="X11" s="291"/>
      <c r="Y11" s="291"/>
      <c r="Z11" s="291"/>
      <c r="AA11" s="284"/>
      <c r="AB11" s="284"/>
      <c r="AC11" s="284"/>
      <c r="AD11" s="263"/>
      <c r="AE11" s="261"/>
      <c r="AF11" s="365"/>
      <c r="AG11" s="366"/>
      <c r="AH11" s="366"/>
      <c r="AI11" s="366"/>
      <c r="AJ11" s="367"/>
      <c r="AK11" s="366"/>
      <c r="AL11" s="368"/>
      <c r="AM11" s="366"/>
      <c r="AN11" s="366"/>
      <c r="AO11" s="369"/>
      <c r="AP11" s="366"/>
      <c r="AQ11" s="366"/>
      <c r="AR11" s="369"/>
      <c r="AS11" s="369"/>
      <c r="AT11" s="366"/>
      <c r="AU11" s="366"/>
      <c r="AV11" s="369"/>
      <c r="AW11" s="366"/>
      <c r="AX11" s="366"/>
      <c r="AY11" s="366"/>
      <c r="AZ11" s="366"/>
      <c r="BA11" s="366"/>
    </row>
    <row r="12" spans="1:53" s="371" customFormat="1" ht="12.75" customHeight="1" x14ac:dyDescent="0.25">
      <c r="A12" s="1013"/>
      <c r="B12" s="286" t="s">
        <v>831</v>
      </c>
      <c r="C12" s="313"/>
      <c r="D12" s="336"/>
      <c r="E12" s="300" t="s">
        <v>1442</v>
      </c>
      <c r="F12" s="301" t="s">
        <v>1443</v>
      </c>
      <c r="G12" s="302">
        <v>360</v>
      </c>
      <c r="H12" s="301">
        <v>1E-3</v>
      </c>
      <c r="I12" s="303"/>
      <c r="J12" s="290"/>
      <c r="K12" s="374"/>
      <c r="L12" s="292"/>
      <c r="M12" s="292"/>
      <c r="N12" s="292"/>
      <c r="O12" s="291"/>
      <c r="P12" s="291"/>
      <c r="Q12" s="372"/>
      <c r="R12" s="291"/>
      <c r="S12" s="291"/>
      <c r="T12" s="291"/>
      <c r="U12" s="291"/>
      <c r="V12" s="291"/>
      <c r="W12" s="372"/>
      <c r="X12" s="291"/>
      <c r="Y12" s="291"/>
      <c r="Z12" s="291"/>
      <c r="AA12" s="284"/>
      <c r="AB12" s="284"/>
      <c r="AC12" s="284"/>
      <c r="AD12" s="263"/>
      <c r="AE12" s="261"/>
      <c r="AF12" s="365"/>
      <c r="AG12" s="366"/>
      <c r="AH12" s="366"/>
      <c r="AI12" s="366"/>
      <c r="AJ12" s="367"/>
      <c r="AK12" s="366"/>
      <c r="AL12" s="368"/>
      <c r="AM12" s="366"/>
      <c r="AN12" s="366"/>
      <c r="AO12" s="369"/>
      <c r="AP12" s="366"/>
      <c r="AQ12" s="366"/>
      <c r="AR12" s="369"/>
      <c r="AS12" s="369"/>
      <c r="AT12" s="366"/>
      <c r="AU12" s="366"/>
      <c r="AV12" s="369"/>
      <c r="AW12" s="366"/>
      <c r="AX12" s="366"/>
      <c r="AY12" s="366"/>
      <c r="AZ12" s="366"/>
      <c r="BA12" s="366"/>
    </row>
    <row r="13" spans="1:53" s="371" customFormat="1" ht="12.75" customHeight="1" x14ac:dyDescent="0.25">
      <c r="A13" s="1013"/>
      <c r="B13" s="309" t="s">
        <v>1178</v>
      </c>
      <c r="C13" s="314">
        <v>9.5</v>
      </c>
      <c r="D13" s="336"/>
      <c r="E13" s="300" t="s">
        <v>1444</v>
      </c>
      <c r="F13" s="301" t="s">
        <v>1443</v>
      </c>
      <c r="G13" s="302">
        <v>872</v>
      </c>
      <c r="H13" s="301">
        <v>2E-3</v>
      </c>
      <c r="I13" s="303"/>
      <c r="J13" s="290"/>
      <c r="K13" s="374"/>
      <c r="L13" s="292"/>
      <c r="M13" s="292"/>
      <c r="N13" s="292"/>
      <c r="O13" s="291"/>
      <c r="P13" s="291"/>
      <c r="Q13" s="372"/>
      <c r="R13" s="291"/>
      <c r="S13" s="291"/>
      <c r="T13" s="291"/>
      <c r="U13" s="291"/>
      <c r="V13" s="291"/>
      <c r="W13" s="372"/>
      <c r="X13" s="291"/>
      <c r="Y13" s="291"/>
      <c r="Z13" s="291"/>
      <c r="AA13" s="284"/>
      <c r="AB13" s="284"/>
      <c r="AC13" s="284"/>
      <c r="AD13" s="263"/>
      <c r="AE13" s="261"/>
      <c r="AF13" s="365"/>
      <c r="AG13" s="366"/>
      <c r="AH13" s="366"/>
      <c r="AI13" s="366"/>
      <c r="AJ13" s="375"/>
      <c r="AK13" s="366"/>
      <c r="AL13" s="368"/>
      <c r="AM13" s="366"/>
      <c r="AN13" s="366"/>
      <c r="AO13" s="369"/>
      <c r="AP13" s="366"/>
      <c r="AQ13" s="366"/>
      <c r="AR13" s="369"/>
      <c r="AS13" s="369"/>
      <c r="AT13" s="366"/>
      <c r="AU13" s="366"/>
      <c r="AV13" s="369"/>
      <c r="AW13" s="366"/>
      <c r="AX13" s="366"/>
      <c r="AY13" s="366"/>
      <c r="AZ13" s="366"/>
      <c r="BA13" s="366"/>
    </row>
    <row r="14" spans="1:53" s="371" customFormat="1" ht="12.75" customHeight="1" x14ac:dyDescent="0.25">
      <c r="A14" s="1013"/>
      <c r="B14" s="286" t="s">
        <v>1179</v>
      </c>
      <c r="C14" s="314">
        <v>0</v>
      </c>
      <c r="D14" s="336"/>
      <c r="E14" s="300"/>
      <c r="F14" s="376"/>
      <c r="G14" s="302"/>
      <c r="H14" s="301"/>
      <c r="I14" s="303"/>
      <c r="J14" s="290"/>
      <c r="K14" s="374"/>
      <c r="L14" s="292"/>
      <c r="M14" s="292"/>
      <c r="N14" s="292"/>
      <c r="O14" s="291"/>
      <c r="P14" s="291"/>
      <c r="Q14" s="372"/>
      <c r="R14" s="291"/>
      <c r="S14" s="291"/>
      <c r="T14" s="291"/>
      <c r="U14" s="291"/>
      <c r="V14" s="291"/>
      <c r="W14" s="372"/>
      <c r="X14" s="291"/>
      <c r="Y14" s="291"/>
      <c r="Z14" s="291"/>
      <c r="AA14" s="284"/>
      <c r="AB14" s="284"/>
      <c r="AC14" s="284"/>
      <c r="AD14" s="263"/>
      <c r="AE14" s="261"/>
      <c r="AF14" s="365"/>
      <c r="AG14" s="366"/>
      <c r="AH14" s="366"/>
      <c r="AI14" s="366"/>
      <c r="AJ14" s="375"/>
      <c r="AK14" s="366"/>
      <c r="AL14" s="368"/>
      <c r="AM14" s="366"/>
      <c r="AN14" s="366"/>
      <c r="AO14" s="369"/>
      <c r="AP14" s="366"/>
      <c r="AQ14" s="366"/>
      <c r="AR14" s="369"/>
      <c r="AS14" s="369"/>
      <c r="AT14" s="366"/>
      <c r="AU14" s="366"/>
      <c r="AV14" s="369"/>
      <c r="AW14" s="366"/>
      <c r="AX14" s="366"/>
      <c r="AY14" s="366"/>
      <c r="AZ14" s="366"/>
      <c r="BA14" s="366"/>
    </row>
    <row r="15" spans="1:53" s="371" customFormat="1" ht="12.75" customHeight="1" x14ac:dyDescent="0.25">
      <c r="A15" s="1013"/>
      <c r="B15" s="315" t="s">
        <v>1181</v>
      </c>
      <c r="C15" s="277">
        <f>C10*C13+C11*C14</f>
        <v>351.82756377584718</v>
      </c>
      <c r="D15" s="336"/>
      <c r="E15" s="300"/>
      <c r="F15" s="376"/>
      <c r="G15" s="302"/>
      <c r="H15" s="301"/>
      <c r="I15" s="303"/>
      <c r="J15" s="290"/>
      <c r="K15" s="374"/>
      <c r="L15" s="292"/>
      <c r="M15" s="292"/>
      <c r="N15" s="292"/>
      <c r="O15" s="291"/>
      <c r="P15" s="291"/>
      <c r="Q15" s="372"/>
      <c r="R15" s="291"/>
      <c r="S15" s="291"/>
      <c r="T15" s="291"/>
      <c r="U15" s="291"/>
      <c r="V15" s="291"/>
      <c r="W15" s="372"/>
      <c r="X15" s="291"/>
      <c r="Y15" s="291"/>
      <c r="Z15" s="291"/>
      <c r="AA15" s="284"/>
      <c r="AB15" s="284"/>
      <c r="AC15" s="284"/>
      <c r="AD15" s="263"/>
      <c r="AE15" s="261"/>
      <c r="AF15" s="365"/>
      <c r="AG15" s="366"/>
      <c r="AH15" s="366"/>
      <c r="AI15" s="366"/>
      <c r="AJ15" s="367"/>
      <c r="AK15" s="366"/>
      <c r="AL15" s="368"/>
      <c r="AM15" s="366"/>
      <c r="AN15" s="366"/>
      <c r="AO15" s="369"/>
      <c r="AP15" s="366"/>
      <c r="AQ15" s="366"/>
      <c r="AR15" s="369"/>
      <c r="AS15" s="369"/>
      <c r="AT15" s="366"/>
      <c r="AU15" s="366"/>
      <c r="AV15" s="369"/>
      <c r="AW15" s="366"/>
      <c r="AX15" s="366"/>
      <c r="AY15" s="366"/>
      <c r="AZ15" s="366"/>
      <c r="BA15" s="366"/>
    </row>
    <row r="16" spans="1:53" s="371" customFormat="1" ht="12.75" customHeight="1" x14ac:dyDescent="0.25">
      <c r="A16" s="1014"/>
      <c r="B16" s="315"/>
      <c r="C16" s="314"/>
      <c r="D16" s="337"/>
      <c r="E16" s="300"/>
      <c r="F16" s="376"/>
      <c r="G16" s="302"/>
      <c r="H16" s="301"/>
      <c r="I16" s="303"/>
      <c r="J16" s="290"/>
      <c r="K16" s="374"/>
      <c r="L16" s="292"/>
      <c r="M16" s="292"/>
      <c r="N16" s="292"/>
      <c r="O16" s="291"/>
      <c r="P16" s="291"/>
      <c r="Q16" s="372"/>
      <c r="R16" s="291"/>
      <c r="S16" s="291"/>
      <c r="T16" s="291"/>
      <c r="U16" s="291"/>
      <c r="V16" s="291"/>
      <c r="W16" s="372"/>
      <c r="X16" s="291"/>
      <c r="Y16" s="291"/>
      <c r="Z16" s="291"/>
      <c r="AA16" s="284"/>
      <c r="AB16" s="284"/>
      <c r="AC16" s="284"/>
      <c r="AD16" s="263"/>
      <c r="AE16" s="261"/>
      <c r="AF16" s="365"/>
      <c r="AG16" s="366"/>
      <c r="AH16" s="366"/>
      <c r="AI16" s="366"/>
      <c r="AJ16" s="375"/>
      <c r="AK16" s="366"/>
      <c r="AL16" s="368"/>
      <c r="AM16" s="366"/>
      <c r="AN16" s="366"/>
      <c r="AO16" s="369"/>
      <c r="AP16" s="366"/>
      <c r="AQ16" s="366"/>
      <c r="AR16" s="369"/>
      <c r="AS16" s="369"/>
      <c r="AT16" s="366"/>
      <c r="AU16" s="366"/>
      <c r="AV16" s="369"/>
      <c r="AW16" s="366"/>
      <c r="AX16" s="366"/>
      <c r="AY16" s="366"/>
      <c r="AZ16" s="366"/>
      <c r="BA16" s="366"/>
    </row>
    <row r="17" spans="1:53" s="35" customFormat="1" ht="17.25" customHeight="1" x14ac:dyDescent="0.25">
      <c r="A17" s="1059" t="s">
        <v>1646</v>
      </c>
      <c r="B17" s="1060"/>
      <c r="C17" s="1060"/>
      <c r="D17" s="1060"/>
      <c r="E17" s="1060"/>
      <c r="F17" s="1060"/>
      <c r="G17" s="1060"/>
      <c r="H17" s="1060"/>
      <c r="I17" s="1060"/>
      <c r="J17" s="1060"/>
      <c r="K17" s="1060"/>
      <c r="L17" s="1060"/>
      <c r="M17" s="1060"/>
      <c r="N17" s="1060"/>
      <c r="O17" s="1060"/>
      <c r="P17" s="1060"/>
      <c r="Q17" s="1060"/>
      <c r="R17" s="1060"/>
      <c r="S17" s="1060"/>
      <c r="T17" s="1060"/>
      <c r="U17" s="1060"/>
      <c r="V17" s="1060"/>
      <c r="W17" s="1060"/>
      <c r="X17" s="1060"/>
      <c r="Y17" s="1060"/>
      <c r="Z17" s="1060"/>
      <c r="AA17" s="1060"/>
      <c r="AB17" s="1060"/>
      <c r="AC17" s="1061"/>
      <c r="AD17" s="48"/>
      <c r="AE17" s="49"/>
      <c r="AF17" s="150"/>
      <c r="AG17" s="81"/>
      <c r="AH17" s="134"/>
      <c r="AI17" s="135"/>
      <c r="AJ17" s="136"/>
      <c r="AK17" s="134"/>
      <c r="AL17" s="137"/>
      <c r="AM17" s="129"/>
      <c r="AN17" s="129"/>
      <c r="AO17" s="132"/>
      <c r="AP17" s="132"/>
      <c r="AQ17" s="138"/>
      <c r="AR17" s="138"/>
      <c r="AS17" s="138"/>
      <c r="AT17" s="132"/>
      <c r="AU17" s="129"/>
      <c r="AV17" s="130"/>
      <c r="AW17" s="81"/>
      <c r="AX17" s="81"/>
      <c r="AY17" s="81"/>
      <c r="AZ17" s="81"/>
      <c r="BA17" s="81"/>
    </row>
    <row r="18" spans="1:53" s="261" customFormat="1" ht="56.25" customHeight="1" x14ac:dyDescent="0.25">
      <c r="A18" s="1012" t="s">
        <v>225</v>
      </c>
      <c r="B18" s="353"/>
      <c r="C18" s="277"/>
      <c r="D18" s="287"/>
      <c r="E18" s="278" t="s">
        <v>488</v>
      </c>
      <c r="F18" s="279" t="s">
        <v>837</v>
      </c>
      <c r="G18" s="277" t="s">
        <v>489</v>
      </c>
      <c r="H18" s="278" t="s">
        <v>1170</v>
      </c>
      <c r="I18" s="279" t="s">
        <v>838</v>
      </c>
      <c r="J18" s="280" t="s">
        <v>1171</v>
      </c>
      <c r="K18" s="280" t="s">
        <v>490</v>
      </c>
      <c r="L18" s="281" t="s">
        <v>489</v>
      </c>
      <c r="M18" s="280" t="s">
        <v>1172</v>
      </c>
      <c r="N18" s="354" t="s">
        <v>838</v>
      </c>
      <c r="O18" s="280" t="s">
        <v>1171</v>
      </c>
      <c r="P18" s="280" t="s">
        <v>826</v>
      </c>
      <c r="Q18" s="282" t="s">
        <v>1173</v>
      </c>
      <c r="R18" s="280" t="s">
        <v>1174</v>
      </c>
      <c r="S18" s="280" t="s">
        <v>839</v>
      </c>
      <c r="T18" s="280" t="s">
        <v>1171</v>
      </c>
      <c r="U18" s="280" t="s">
        <v>1392</v>
      </c>
      <c r="V18" s="282" t="s">
        <v>1173</v>
      </c>
      <c r="W18" s="280" t="s">
        <v>841</v>
      </c>
      <c r="X18" s="280" t="s">
        <v>1394</v>
      </c>
      <c r="Y18" s="280" t="s">
        <v>839</v>
      </c>
      <c r="Z18" s="283"/>
      <c r="AA18" s="284"/>
      <c r="AB18" s="284"/>
      <c r="AC18" s="284"/>
      <c r="AD18" s="263"/>
      <c r="AF18" s="262"/>
      <c r="AG18" s="263"/>
      <c r="AH18" s="263"/>
      <c r="AI18" s="263"/>
      <c r="AJ18" s="263"/>
      <c r="AK18" s="263"/>
      <c r="AL18" s="264"/>
      <c r="AM18" s="263"/>
      <c r="AN18" s="263"/>
      <c r="AO18" s="265"/>
      <c r="AP18" s="263"/>
      <c r="AQ18" s="355"/>
      <c r="AR18" s="355"/>
      <c r="AS18" s="355"/>
      <c r="AT18" s="263"/>
      <c r="AU18" s="263"/>
      <c r="AV18" s="265"/>
      <c r="AW18" s="263"/>
      <c r="AX18" s="263"/>
      <c r="AY18" s="263"/>
      <c r="AZ18" s="263"/>
      <c r="BA18" s="263"/>
    </row>
    <row r="19" spans="1:53" s="270" customFormat="1" ht="12" customHeight="1" x14ac:dyDescent="0.25">
      <c r="A19" s="1013"/>
      <c r="B19" s="285" t="s">
        <v>1175</v>
      </c>
      <c r="C19" s="277">
        <f>C26</f>
        <v>222.2068823847456</v>
      </c>
      <c r="D19" s="336">
        <f>C19*$D$5</f>
        <v>44.885790241718617</v>
      </c>
      <c r="E19" s="286" t="s">
        <v>1176</v>
      </c>
      <c r="F19" s="356"/>
      <c r="G19" s="288"/>
      <c r="H19" s="288"/>
      <c r="I19" s="289">
        <f>SUM(I20:I27)</f>
        <v>8.0341000000000005</v>
      </c>
      <c r="J19" s="290" t="s">
        <v>1176</v>
      </c>
      <c r="K19" s="357"/>
      <c r="L19" s="291"/>
      <c r="M19" s="291"/>
      <c r="N19" s="292">
        <f>SUM(N20:N27)</f>
        <v>4.3141400000000001</v>
      </c>
      <c r="O19" s="291" t="s">
        <v>1176</v>
      </c>
      <c r="P19" s="291"/>
      <c r="Q19" s="372"/>
      <c r="R19" s="294"/>
      <c r="S19" s="292">
        <f>SUM(S20:S27)</f>
        <v>0</v>
      </c>
      <c r="T19" s="291" t="s">
        <v>1176</v>
      </c>
      <c r="U19" s="307"/>
      <c r="V19" s="308"/>
      <c r="W19" s="306"/>
      <c r="X19" s="292"/>
      <c r="Y19" s="292"/>
      <c r="Z19" s="296">
        <f>(C19+D19+I19+N19+Y19+S19)*$Z$5</f>
        <v>363.32563546027035</v>
      </c>
      <c r="AA19" s="297">
        <f>C19+D19+I19+N19+S19+Y19+Z19</f>
        <v>642.76654808673459</v>
      </c>
      <c r="AB19" s="298">
        <v>0.25</v>
      </c>
      <c r="AC19" s="385">
        <f>AA19*(1+AB19)</f>
        <v>803.45818510841821</v>
      </c>
      <c r="AD19" s="265"/>
      <c r="AE19" s="261"/>
      <c r="AF19" s="262"/>
      <c r="AG19" s="263"/>
      <c r="AH19" s="263"/>
      <c r="AI19" s="355"/>
      <c r="AJ19" s="359"/>
      <c r="AK19" s="360"/>
      <c r="AL19" s="264"/>
      <c r="AM19" s="361"/>
      <c r="AN19" s="143"/>
      <c r="AO19" s="362"/>
      <c r="AP19" s="363"/>
      <c r="AQ19" s="363"/>
      <c r="AR19" s="363"/>
      <c r="AS19" s="363"/>
      <c r="AT19" s="363"/>
      <c r="AU19" s="362"/>
      <c r="AV19" s="362"/>
      <c r="AW19" s="364"/>
      <c r="AX19" s="272"/>
      <c r="AY19" s="272"/>
      <c r="AZ19" s="272"/>
      <c r="BA19" s="272"/>
    </row>
    <row r="20" spans="1:53" s="371" customFormat="1" ht="12.75" customHeight="1" x14ac:dyDescent="0.25">
      <c r="A20" s="1013"/>
      <c r="B20" s="299" t="s">
        <v>830</v>
      </c>
      <c r="C20" s="277"/>
      <c r="D20" s="336"/>
      <c r="E20" s="300" t="s">
        <v>1437</v>
      </c>
      <c r="F20" s="301" t="s">
        <v>1438</v>
      </c>
      <c r="G20" s="302">
        <v>0.74</v>
      </c>
      <c r="H20" s="301">
        <v>0.01</v>
      </c>
      <c r="I20" s="303">
        <f>G20*H20</f>
        <v>7.4000000000000003E-3</v>
      </c>
      <c r="J20" s="290" t="s">
        <v>1291</v>
      </c>
      <c r="K20" s="304">
        <v>2</v>
      </c>
      <c r="L20" s="305">
        <v>750</v>
      </c>
      <c r="M20" s="304">
        <v>2</v>
      </c>
      <c r="N20" s="292">
        <v>1.1745000000000001</v>
      </c>
      <c r="O20" s="291"/>
      <c r="P20" s="291"/>
      <c r="Q20" s="291"/>
      <c r="R20" s="291"/>
      <c r="S20" s="291"/>
      <c r="T20" s="306"/>
      <c r="U20" s="307"/>
      <c r="V20" s="308"/>
      <c r="W20" s="306"/>
      <c r="X20" s="292"/>
      <c r="Y20" s="291"/>
      <c r="Z20" s="291"/>
      <c r="AA20" s="284"/>
      <c r="AB20" s="284"/>
      <c r="AC20" s="284"/>
      <c r="AD20" s="263"/>
      <c r="AE20" s="261"/>
      <c r="AF20" s="365"/>
      <c r="AG20" s="366"/>
      <c r="AH20" s="366"/>
      <c r="AI20" s="366"/>
      <c r="AJ20" s="367"/>
      <c r="AK20" s="366"/>
      <c r="AL20" s="368"/>
      <c r="AM20" s="366"/>
      <c r="AN20" s="366"/>
      <c r="AO20" s="369"/>
      <c r="AP20" s="366"/>
      <c r="AQ20" s="366"/>
      <c r="AR20" s="369"/>
      <c r="AS20" s="369"/>
      <c r="AT20" s="370"/>
      <c r="AU20" s="366"/>
      <c r="AV20" s="369"/>
      <c r="AW20" s="366"/>
      <c r="AX20" s="366"/>
      <c r="AY20" s="366"/>
      <c r="AZ20" s="366"/>
      <c r="BA20" s="366"/>
    </row>
    <row r="21" spans="1:53" s="371" customFormat="1" x14ac:dyDescent="0.25">
      <c r="A21" s="1013"/>
      <c r="B21" s="309" t="s">
        <v>1178</v>
      </c>
      <c r="C21" s="310">
        <f>C10</f>
        <v>37.0344803974576</v>
      </c>
      <c r="D21" s="336"/>
      <c r="E21" s="300" t="s">
        <v>1439</v>
      </c>
      <c r="F21" s="301" t="s">
        <v>1438</v>
      </c>
      <c r="G21" s="302">
        <v>0.27</v>
      </c>
      <c r="H21" s="301">
        <v>0.01</v>
      </c>
      <c r="I21" s="303">
        <f>G21*H21</f>
        <v>2.7000000000000001E-3</v>
      </c>
      <c r="J21" s="290" t="s">
        <v>1445</v>
      </c>
      <c r="K21" s="292">
        <v>2</v>
      </c>
      <c r="L21" s="311">
        <v>95</v>
      </c>
      <c r="M21" s="304">
        <v>2</v>
      </c>
      <c r="N21" s="292">
        <v>3.1146400000000001</v>
      </c>
      <c r="O21" s="291"/>
      <c r="P21" s="291"/>
      <c r="Q21" s="291"/>
      <c r="R21" s="291"/>
      <c r="S21" s="291"/>
      <c r="T21" s="291"/>
      <c r="U21" s="291"/>
      <c r="V21" s="291"/>
      <c r="W21" s="372"/>
      <c r="X21" s="291"/>
      <c r="Y21" s="291"/>
      <c r="Z21" s="291"/>
      <c r="AA21" s="284"/>
      <c r="AB21" s="284"/>
      <c r="AC21" s="284"/>
      <c r="AD21" s="263"/>
      <c r="AE21" s="261"/>
      <c r="AF21" s="365"/>
      <c r="AG21" s="366"/>
      <c r="AH21" s="366"/>
      <c r="AI21" s="366"/>
      <c r="AJ21" s="367"/>
      <c r="AK21" s="366"/>
      <c r="AL21" s="368"/>
      <c r="AM21" s="373"/>
      <c r="AN21" s="366"/>
      <c r="AO21" s="369"/>
      <c r="AP21" s="366"/>
      <c r="AQ21" s="366"/>
      <c r="AR21" s="369"/>
      <c r="AS21" s="369"/>
      <c r="AT21" s="366"/>
      <c r="AU21" s="366"/>
      <c r="AV21" s="369"/>
      <c r="AW21" s="366"/>
      <c r="AX21" s="366"/>
      <c r="AY21" s="366"/>
      <c r="AZ21" s="366"/>
      <c r="BA21" s="366"/>
    </row>
    <row r="22" spans="1:53" s="371" customFormat="1" ht="12.75" customHeight="1" x14ac:dyDescent="0.25">
      <c r="A22" s="1013"/>
      <c r="B22" s="286" t="s">
        <v>1179</v>
      </c>
      <c r="C22" s="277">
        <v>12.81</v>
      </c>
      <c r="D22" s="336"/>
      <c r="E22" s="300" t="s">
        <v>1440</v>
      </c>
      <c r="F22" s="301" t="s">
        <v>1441</v>
      </c>
      <c r="G22" s="302">
        <v>5.92</v>
      </c>
      <c r="H22" s="312">
        <v>1</v>
      </c>
      <c r="I22" s="303">
        <f>G22*H22</f>
        <v>5.92</v>
      </c>
      <c r="J22" s="290" t="s">
        <v>1513</v>
      </c>
      <c r="K22" s="292">
        <v>2</v>
      </c>
      <c r="L22" s="292">
        <v>25</v>
      </c>
      <c r="M22" s="304">
        <v>0.5</v>
      </c>
      <c r="N22" s="292">
        <v>2.5000000000000001E-2</v>
      </c>
      <c r="O22" s="291"/>
      <c r="P22" s="291"/>
      <c r="Q22" s="372"/>
      <c r="R22" s="291"/>
      <c r="S22" s="291"/>
      <c r="T22" s="291"/>
      <c r="U22" s="291"/>
      <c r="V22" s="291"/>
      <c r="W22" s="372"/>
      <c r="X22" s="291"/>
      <c r="Y22" s="291"/>
      <c r="Z22" s="291"/>
      <c r="AA22" s="284"/>
      <c r="AB22" s="284"/>
      <c r="AC22" s="284"/>
      <c r="AD22" s="263"/>
      <c r="AE22" s="261"/>
      <c r="AF22" s="365"/>
      <c r="AG22" s="366"/>
      <c r="AH22" s="366"/>
      <c r="AI22" s="366"/>
      <c r="AJ22" s="367"/>
      <c r="AK22" s="366"/>
      <c r="AL22" s="368"/>
      <c r="AM22" s="366"/>
      <c r="AN22" s="366"/>
      <c r="AO22" s="369"/>
      <c r="AP22" s="366"/>
      <c r="AQ22" s="366"/>
      <c r="AR22" s="369"/>
      <c r="AS22" s="369"/>
      <c r="AT22" s="366"/>
      <c r="AU22" s="366"/>
      <c r="AV22" s="369"/>
      <c r="AW22" s="366"/>
      <c r="AX22" s="366"/>
      <c r="AY22" s="366"/>
      <c r="AZ22" s="366"/>
      <c r="BA22" s="366"/>
    </row>
    <row r="23" spans="1:53" s="371" customFormat="1" ht="12.75" customHeight="1" x14ac:dyDescent="0.25">
      <c r="A23" s="1013"/>
      <c r="B23" s="286" t="s">
        <v>831</v>
      </c>
      <c r="C23" s="313"/>
      <c r="D23" s="336"/>
      <c r="E23" s="300" t="s">
        <v>1442</v>
      </c>
      <c r="F23" s="301" t="s">
        <v>1443</v>
      </c>
      <c r="G23" s="302">
        <v>360</v>
      </c>
      <c r="H23" s="301">
        <v>1E-3</v>
      </c>
      <c r="I23" s="303">
        <f>G23*H23</f>
        <v>0.36</v>
      </c>
      <c r="J23" s="290"/>
      <c r="K23" s="374"/>
      <c r="L23" s="292"/>
      <c r="M23" s="292"/>
      <c r="N23" s="292"/>
      <c r="O23" s="291"/>
      <c r="P23" s="291"/>
      <c r="Q23" s="372"/>
      <c r="R23" s="291"/>
      <c r="S23" s="291"/>
      <c r="T23" s="291"/>
      <c r="U23" s="291"/>
      <c r="V23" s="291"/>
      <c r="W23" s="372"/>
      <c r="X23" s="291"/>
      <c r="Y23" s="291"/>
      <c r="Z23" s="291"/>
      <c r="AA23" s="284"/>
      <c r="AB23" s="284"/>
      <c r="AC23" s="284"/>
      <c r="AD23" s="263"/>
      <c r="AE23" s="261"/>
      <c r="AF23" s="365"/>
      <c r="AG23" s="366"/>
      <c r="AH23" s="366"/>
      <c r="AI23" s="366"/>
      <c r="AJ23" s="367"/>
      <c r="AK23" s="366"/>
      <c r="AL23" s="368"/>
      <c r="AM23" s="366"/>
      <c r="AN23" s="366"/>
      <c r="AO23" s="369"/>
      <c r="AP23" s="366"/>
      <c r="AQ23" s="366"/>
      <c r="AR23" s="369"/>
      <c r="AS23" s="369"/>
      <c r="AT23" s="366"/>
      <c r="AU23" s="366"/>
      <c r="AV23" s="369"/>
      <c r="AW23" s="366"/>
      <c r="AX23" s="366"/>
      <c r="AY23" s="366"/>
      <c r="AZ23" s="366"/>
      <c r="BA23" s="366"/>
    </row>
    <row r="24" spans="1:53" s="371" customFormat="1" ht="12.75" customHeight="1" x14ac:dyDescent="0.25">
      <c r="A24" s="1013"/>
      <c r="B24" s="309" t="s">
        <v>1178</v>
      </c>
      <c r="C24" s="314">
        <v>6</v>
      </c>
      <c r="D24" s="336"/>
      <c r="E24" s="300" t="s">
        <v>1444</v>
      </c>
      <c r="F24" s="301" t="s">
        <v>1443</v>
      </c>
      <c r="G24" s="302">
        <v>872</v>
      </c>
      <c r="H24" s="301">
        <v>2E-3</v>
      </c>
      <c r="I24" s="303">
        <f>G24*H24</f>
        <v>1.744</v>
      </c>
      <c r="J24" s="290"/>
      <c r="K24" s="374"/>
      <c r="L24" s="292"/>
      <c r="M24" s="292"/>
      <c r="N24" s="292"/>
      <c r="O24" s="291"/>
      <c r="P24" s="291"/>
      <c r="Q24" s="372"/>
      <c r="R24" s="291"/>
      <c r="S24" s="291"/>
      <c r="T24" s="291"/>
      <c r="U24" s="291"/>
      <c r="V24" s="291"/>
      <c r="W24" s="372"/>
      <c r="X24" s="291"/>
      <c r="Y24" s="291"/>
      <c r="Z24" s="291"/>
      <c r="AA24" s="284"/>
      <c r="AB24" s="284"/>
      <c r="AC24" s="284"/>
      <c r="AD24" s="263"/>
      <c r="AE24" s="261"/>
      <c r="AF24" s="365"/>
      <c r="AG24" s="366"/>
      <c r="AH24" s="366"/>
      <c r="AI24" s="366"/>
      <c r="AJ24" s="375"/>
      <c r="AK24" s="366"/>
      <c r="AL24" s="368"/>
      <c r="AM24" s="366"/>
      <c r="AN24" s="366"/>
      <c r="AO24" s="369"/>
      <c r="AP24" s="366"/>
      <c r="AQ24" s="366"/>
      <c r="AR24" s="369"/>
      <c r="AS24" s="369"/>
      <c r="AT24" s="366"/>
      <c r="AU24" s="366"/>
      <c r="AV24" s="369"/>
      <c r="AW24" s="366"/>
      <c r="AX24" s="366"/>
      <c r="AY24" s="366"/>
      <c r="AZ24" s="366"/>
      <c r="BA24" s="366"/>
    </row>
    <row r="25" spans="1:53" s="371" customFormat="1" ht="12.75" customHeight="1" x14ac:dyDescent="0.25">
      <c r="A25" s="1013"/>
      <c r="B25" s="286" t="s">
        <v>1179</v>
      </c>
      <c r="C25" s="314"/>
      <c r="D25" s="336"/>
      <c r="E25" s="300"/>
      <c r="F25" s="376"/>
      <c r="G25" s="302"/>
      <c r="H25" s="301"/>
      <c r="I25" s="303"/>
      <c r="J25" s="290"/>
      <c r="K25" s="374"/>
      <c r="L25" s="292"/>
      <c r="M25" s="292"/>
      <c r="N25" s="292"/>
      <c r="O25" s="291"/>
      <c r="P25" s="291"/>
      <c r="Q25" s="372"/>
      <c r="R25" s="291"/>
      <c r="S25" s="291"/>
      <c r="T25" s="291"/>
      <c r="U25" s="291"/>
      <c r="V25" s="291"/>
      <c r="W25" s="372"/>
      <c r="X25" s="291"/>
      <c r="Y25" s="291"/>
      <c r="Z25" s="291"/>
      <c r="AA25" s="284"/>
      <c r="AB25" s="284"/>
      <c r="AC25" s="284"/>
      <c r="AD25" s="263"/>
      <c r="AE25" s="261"/>
      <c r="AF25" s="365"/>
      <c r="AG25" s="366"/>
      <c r="AH25" s="366"/>
      <c r="AI25" s="366"/>
      <c r="AJ25" s="375"/>
      <c r="AK25" s="366"/>
      <c r="AL25" s="368"/>
      <c r="AM25" s="366"/>
      <c r="AN25" s="366"/>
      <c r="AO25" s="369"/>
      <c r="AP25" s="366"/>
      <c r="AQ25" s="366"/>
      <c r="AR25" s="369"/>
      <c r="AS25" s="369"/>
      <c r="AT25" s="366"/>
      <c r="AU25" s="366"/>
      <c r="AV25" s="369"/>
      <c r="AW25" s="366"/>
      <c r="AX25" s="366"/>
      <c r="AY25" s="366"/>
      <c r="AZ25" s="366"/>
      <c r="BA25" s="366"/>
    </row>
    <row r="26" spans="1:53" s="371" customFormat="1" ht="12.75" customHeight="1" x14ac:dyDescent="0.25">
      <c r="A26" s="1013"/>
      <c r="B26" s="315" t="s">
        <v>1181</v>
      </c>
      <c r="C26" s="277">
        <f>C21*C24+C22*C25</f>
        <v>222.2068823847456</v>
      </c>
      <c r="D26" s="336"/>
      <c r="E26" s="300"/>
      <c r="F26" s="376"/>
      <c r="G26" s="302"/>
      <c r="H26" s="301"/>
      <c r="I26" s="303"/>
      <c r="J26" s="290"/>
      <c r="K26" s="374"/>
      <c r="L26" s="292"/>
      <c r="M26" s="292"/>
      <c r="N26" s="292"/>
      <c r="O26" s="291"/>
      <c r="P26" s="291"/>
      <c r="Q26" s="372"/>
      <c r="R26" s="291"/>
      <c r="S26" s="291"/>
      <c r="T26" s="291"/>
      <c r="U26" s="291"/>
      <c r="V26" s="291"/>
      <c r="W26" s="372"/>
      <c r="X26" s="291"/>
      <c r="Y26" s="291"/>
      <c r="Z26" s="291"/>
      <c r="AA26" s="284"/>
      <c r="AB26" s="284"/>
      <c r="AC26" s="284"/>
      <c r="AD26" s="263"/>
      <c r="AE26" s="261"/>
      <c r="AF26" s="365"/>
      <c r="AG26" s="366"/>
      <c r="AH26" s="366"/>
      <c r="AI26" s="366"/>
      <c r="AJ26" s="367"/>
      <c r="AK26" s="366"/>
      <c r="AL26" s="368"/>
      <c r="AM26" s="366"/>
      <c r="AN26" s="366"/>
      <c r="AO26" s="369"/>
      <c r="AP26" s="366"/>
      <c r="AQ26" s="366"/>
      <c r="AR26" s="369"/>
      <c r="AS26" s="369"/>
      <c r="AT26" s="366"/>
      <c r="AU26" s="366"/>
      <c r="AV26" s="369"/>
      <c r="AW26" s="366"/>
      <c r="AX26" s="366"/>
      <c r="AY26" s="366"/>
      <c r="AZ26" s="366"/>
      <c r="BA26" s="366"/>
    </row>
    <row r="27" spans="1:53" s="371" customFormat="1" ht="12.75" customHeight="1" x14ac:dyDescent="0.25">
      <c r="A27" s="1014"/>
      <c r="B27" s="315"/>
      <c r="C27" s="314"/>
      <c r="D27" s="337"/>
      <c r="E27" s="300"/>
      <c r="F27" s="376"/>
      <c r="G27" s="302"/>
      <c r="H27" s="301"/>
      <c r="I27" s="303"/>
      <c r="J27" s="290"/>
      <c r="K27" s="374"/>
      <c r="L27" s="292"/>
      <c r="M27" s="292"/>
      <c r="N27" s="292"/>
      <c r="O27" s="291"/>
      <c r="P27" s="291"/>
      <c r="Q27" s="372"/>
      <c r="R27" s="291"/>
      <c r="S27" s="291"/>
      <c r="T27" s="291"/>
      <c r="U27" s="291"/>
      <c r="V27" s="291"/>
      <c r="W27" s="372"/>
      <c r="X27" s="291"/>
      <c r="Y27" s="291"/>
      <c r="Z27" s="291"/>
      <c r="AA27" s="284"/>
      <c r="AB27" s="284"/>
      <c r="AC27" s="284"/>
      <c r="AD27" s="263"/>
      <c r="AE27" s="261"/>
      <c r="AF27" s="365"/>
      <c r="AG27" s="366"/>
      <c r="AH27" s="366"/>
      <c r="AI27" s="366"/>
      <c r="AJ27" s="375"/>
      <c r="AK27" s="366"/>
      <c r="AL27" s="368"/>
      <c r="AM27" s="366"/>
      <c r="AN27" s="366"/>
      <c r="AO27" s="369"/>
      <c r="AP27" s="366"/>
      <c r="AQ27" s="366"/>
      <c r="AR27" s="369"/>
      <c r="AS27" s="369"/>
      <c r="AT27" s="366"/>
      <c r="AU27" s="366"/>
      <c r="AV27" s="369"/>
      <c r="AW27" s="366"/>
      <c r="AX27" s="366"/>
      <c r="AY27" s="366"/>
      <c r="AZ27" s="366"/>
      <c r="BA27" s="366"/>
    </row>
    <row r="28" spans="1:53" s="35" customFormat="1" ht="17.25" customHeight="1" x14ac:dyDescent="0.25">
      <c r="A28" s="1059" t="s">
        <v>774</v>
      </c>
      <c r="B28" s="1060"/>
      <c r="C28" s="1060"/>
      <c r="D28" s="1060"/>
      <c r="E28" s="1060"/>
      <c r="F28" s="1060"/>
      <c r="G28" s="1060"/>
      <c r="H28" s="1060"/>
      <c r="I28" s="1060"/>
      <c r="J28" s="1060"/>
      <c r="K28" s="1060"/>
      <c r="L28" s="1060"/>
      <c r="M28" s="1060"/>
      <c r="N28" s="1060"/>
      <c r="O28" s="1060"/>
      <c r="P28" s="1060"/>
      <c r="Q28" s="1060"/>
      <c r="R28" s="1060"/>
      <c r="S28" s="1060"/>
      <c r="T28" s="1060"/>
      <c r="U28" s="1060"/>
      <c r="V28" s="1060"/>
      <c r="W28" s="1060"/>
      <c r="X28" s="1060"/>
      <c r="Y28" s="1060"/>
      <c r="Z28" s="1060"/>
      <c r="AA28" s="1060"/>
      <c r="AB28" s="1060"/>
      <c r="AC28" s="1061"/>
      <c r="AD28" s="48"/>
      <c r="AE28" s="49"/>
      <c r="AF28" s="150"/>
      <c r="AG28" s="81"/>
      <c r="AH28" s="134"/>
      <c r="AI28" s="135"/>
      <c r="AJ28" s="136"/>
      <c r="AK28" s="134"/>
      <c r="AL28" s="137"/>
      <c r="AM28" s="129"/>
      <c r="AN28" s="129"/>
      <c r="AO28" s="132"/>
      <c r="AP28" s="132"/>
      <c r="AQ28" s="138"/>
      <c r="AR28" s="138"/>
      <c r="AS28" s="138"/>
      <c r="AT28" s="132"/>
      <c r="AU28" s="129"/>
      <c r="AV28" s="130"/>
      <c r="AW28" s="81"/>
      <c r="AX28" s="81"/>
      <c r="AY28" s="81"/>
      <c r="AZ28" s="81"/>
      <c r="BA28" s="81"/>
    </row>
    <row r="29" spans="1:53" s="261" customFormat="1" ht="56.25" customHeight="1" x14ac:dyDescent="0.25">
      <c r="A29" s="1012" t="s">
        <v>1647</v>
      </c>
      <c r="B29" s="353"/>
      <c r="C29" s="277"/>
      <c r="D29" s="287"/>
      <c r="E29" s="278" t="s">
        <v>488</v>
      </c>
      <c r="F29" s="279" t="s">
        <v>837</v>
      </c>
      <c r="G29" s="277" t="s">
        <v>489</v>
      </c>
      <c r="H29" s="278" t="s">
        <v>1170</v>
      </c>
      <c r="I29" s="279" t="s">
        <v>838</v>
      </c>
      <c r="J29" s="280" t="s">
        <v>1171</v>
      </c>
      <c r="K29" s="280" t="s">
        <v>490</v>
      </c>
      <c r="L29" s="281" t="s">
        <v>489</v>
      </c>
      <c r="M29" s="280" t="s">
        <v>1172</v>
      </c>
      <c r="N29" s="354" t="s">
        <v>838</v>
      </c>
      <c r="O29" s="280" t="s">
        <v>1171</v>
      </c>
      <c r="P29" s="280" t="s">
        <v>826</v>
      </c>
      <c r="Q29" s="282" t="s">
        <v>1414</v>
      </c>
      <c r="R29" s="280" t="s">
        <v>1174</v>
      </c>
      <c r="S29" s="280" t="s">
        <v>839</v>
      </c>
      <c r="T29" s="280" t="s">
        <v>1171</v>
      </c>
      <c r="U29" s="280" t="s">
        <v>1392</v>
      </c>
      <c r="V29" s="282" t="s">
        <v>1173</v>
      </c>
      <c r="W29" s="280" t="s">
        <v>841</v>
      </c>
      <c r="X29" s="280" t="s">
        <v>1394</v>
      </c>
      <c r="Y29" s="280" t="s">
        <v>839</v>
      </c>
      <c r="Z29" s="283"/>
      <c r="AA29" s="284"/>
      <c r="AB29" s="284"/>
      <c r="AC29" s="284"/>
      <c r="AD29" s="263"/>
      <c r="AF29" s="262"/>
      <c r="AG29" s="263"/>
      <c r="AH29" s="263"/>
      <c r="AI29" s="263"/>
      <c r="AJ29" s="263"/>
      <c r="AK29" s="263"/>
      <c r="AL29" s="264"/>
      <c r="AM29" s="263"/>
      <c r="AN29" s="263"/>
      <c r="AO29" s="265"/>
      <c r="AP29" s="263"/>
      <c r="AQ29" s="355"/>
      <c r="AR29" s="355"/>
      <c r="AS29" s="355"/>
      <c r="AT29" s="263"/>
      <c r="AU29" s="263"/>
      <c r="AV29" s="265"/>
      <c r="AW29" s="263"/>
      <c r="AX29" s="263"/>
      <c r="AY29" s="263"/>
      <c r="AZ29" s="263"/>
      <c r="BA29" s="263"/>
    </row>
    <row r="30" spans="1:53" s="270" customFormat="1" ht="12" customHeight="1" x14ac:dyDescent="0.25">
      <c r="A30" s="1013"/>
      <c r="B30" s="285" t="s">
        <v>1175</v>
      </c>
      <c r="C30" s="277">
        <f>C37</f>
        <v>18.900000000000002</v>
      </c>
      <c r="D30" s="336">
        <f>C30*$D$5</f>
        <v>3.8178000000000005</v>
      </c>
      <c r="E30" s="286" t="s">
        <v>1176</v>
      </c>
      <c r="F30" s="356"/>
      <c r="G30" s="288"/>
      <c r="H30" s="288"/>
      <c r="I30" s="289">
        <f>SUM(I31:I38)</f>
        <v>3.25</v>
      </c>
      <c r="J30" s="290" t="s">
        <v>1176</v>
      </c>
      <c r="K30" s="357"/>
      <c r="L30" s="291"/>
      <c r="M30" s="291"/>
      <c r="N30" s="433">
        <f>SUM(N31:N38)</f>
        <v>0.64987697484841334</v>
      </c>
      <c r="O30" s="291" t="s">
        <v>1176</v>
      </c>
      <c r="P30" s="291"/>
      <c r="Q30" s="372"/>
      <c r="R30" s="294"/>
      <c r="S30" s="433">
        <f>SUM(S31:S38)+S39</f>
        <v>39.453383245393063</v>
      </c>
      <c r="T30" s="393" t="s">
        <v>1176</v>
      </c>
      <c r="U30" s="307"/>
      <c r="V30" s="308"/>
      <c r="W30" s="306"/>
      <c r="X30" s="292"/>
      <c r="Y30" s="292"/>
      <c r="Z30" s="296">
        <f>(C30+D30+I30+N30+S30)*0.4</f>
        <v>26.428424088096591</v>
      </c>
      <c r="AA30" s="297">
        <f>C30+D30+I30+N30+S30+Y30+Z30</f>
        <v>92.499484308338069</v>
      </c>
      <c r="AB30" s="298">
        <v>0.25</v>
      </c>
      <c r="AC30" s="385">
        <f>AA30*(1+AB30)</f>
        <v>115.62435538542259</v>
      </c>
      <c r="AD30" s="265"/>
      <c r="AE30" s="261"/>
      <c r="AF30" s="262"/>
      <c r="AG30" s="263"/>
      <c r="AH30" s="263"/>
      <c r="AI30" s="355"/>
      <c r="AJ30" s="359"/>
      <c r="AK30" s="360"/>
      <c r="AL30" s="264"/>
      <c r="AM30" s="361"/>
      <c r="AN30" s="143"/>
      <c r="AO30" s="362"/>
      <c r="AP30" s="363"/>
      <c r="AQ30" s="363"/>
      <c r="AR30" s="363"/>
      <c r="AS30" s="363"/>
      <c r="AT30" s="363"/>
      <c r="AU30" s="362"/>
      <c r="AV30" s="362"/>
      <c r="AW30" s="364"/>
      <c r="AX30" s="272"/>
      <c r="AY30" s="272"/>
      <c r="AZ30" s="272"/>
      <c r="BA30" s="272"/>
    </row>
    <row r="31" spans="1:53" s="371" customFormat="1" ht="12.75" customHeight="1" x14ac:dyDescent="0.25">
      <c r="A31" s="1013"/>
      <c r="B31" s="299" t="s">
        <v>1648</v>
      </c>
      <c r="C31" s="277"/>
      <c r="D31" s="336"/>
      <c r="E31" s="386"/>
      <c r="F31" s="301"/>
      <c r="G31" s="249"/>
      <c r="H31" s="249"/>
      <c r="I31" s="387"/>
      <c r="J31" s="388" t="s">
        <v>1401</v>
      </c>
      <c r="K31" s="389">
        <v>1</v>
      </c>
      <c r="L31" s="389">
        <v>120</v>
      </c>
      <c r="M31" s="389">
        <v>1</v>
      </c>
      <c r="N31" s="797">
        <f>L31/'Исп. коэффициенты'!E52*C36</f>
        <v>7.9172829423156954E-2</v>
      </c>
      <c r="O31" s="249" t="s">
        <v>1407</v>
      </c>
      <c r="P31" s="249">
        <v>298991.84000000003</v>
      </c>
      <c r="Q31" s="249">
        <v>1.67</v>
      </c>
      <c r="R31" s="798">
        <v>0.2</v>
      </c>
      <c r="S31" s="250">
        <f>P31*R31/'Исп. коэффициенты'!E52*C36</f>
        <v>39.453383245393063</v>
      </c>
      <c r="T31" s="394"/>
      <c r="U31" s="307"/>
      <c r="V31" s="308"/>
      <c r="W31" s="306"/>
      <c r="X31" s="292"/>
      <c r="Y31" s="291"/>
      <c r="Z31" s="291"/>
      <c r="AA31" s="284"/>
      <c r="AB31" s="284"/>
      <c r="AC31" s="284"/>
      <c r="AD31" s="263"/>
      <c r="AE31" s="261"/>
      <c r="AF31" s="365"/>
      <c r="AG31" s="366"/>
      <c r="AH31" s="366"/>
      <c r="AI31" s="366"/>
      <c r="AJ31" s="367"/>
      <c r="AK31" s="366"/>
      <c r="AL31" s="368"/>
      <c r="AM31" s="366"/>
      <c r="AN31" s="366"/>
      <c r="AO31" s="369"/>
      <c r="AP31" s="366"/>
      <c r="AQ31" s="366"/>
      <c r="AR31" s="369"/>
      <c r="AS31" s="369"/>
      <c r="AT31" s="370"/>
      <c r="AU31" s="366"/>
      <c r="AV31" s="369"/>
      <c r="AW31" s="366"/>
      <c r="AX31" s="366"/>
      <c r="AY31" s="366"/>
      <c r="AZ31" s="366"/>
      <c r="BA31" s="366"/>
    </row>
    <row r="32" spans="1:53" s="371" customFormat="1" ht="27.75" customHeight="1" x14ac:dyDescent="0.25">
      <c r="A32" s="1013"/>
      <c r="B32" s="309" t="s">
        <v>1178</v>
      </c>
      <c r="C32" s="310"/>
      <c r="D32" s="336"/>
      <c r="E32" s="386" t="s">
        <v>1399</v>
      </c>
      <c r="F32" s="301" t="s">
        <v>1400</v>
      </c>
      <c r="G32" s="249">
        <v>3.25</v>
      </c>
      <c r="H32" s="249">
        <v>1</v>
      </c>
      <c r="I32" s="387">
        <f>G32*H32</f>
        <v>3.25</v>
      </c>
      <c r="J32" s="388" t="s">
        <v>1402</v>
      </c>
      <c r="K32" s="389">
        <v>1</v>
      </c>
      <c r="L32" s="388">
        <v>70</v>
      </c>
      <c r="M32" s="389">
        <v>1</v>
      </c>
      <c r="N32" s="797">
        <f>L32/'Исп. коэффициенты'!E52*C36</f>
        <v>4.6184150496841554E-2</v>
      </c>
      <c r="O32" s="249"/>
      <c r="P32" s="249"/>
      <c r="Q32" s="249"/>
      <c r="R32" s="798"/>
      <c r="S32" s="250"/>
      <c r="T32" s="393"/>
      <c r="U32" s="291"/>
      <c r="V32" s="291"/>
      <c r="W32" s="372"/>
      <c r="X32" s="291"/>
      <c r="Y32" s="291"/>
      <c r="Z32" s="291"/>
      <c r="AA32" s="284"/>
      <c r="AB32" s="284"/>
      <c r="AC32" s="284"/>
      <c r="AD32" s="263"/>
      <c r="AE32" s="261"/>
      <c r="AF32" s="365"/>
      <c r="AG32" s="366"/>
      <c r="AH32" s="366"/>
      <c r="AI32" s="366"/>
      <c r="AJ32" s="367"/>
      <c r="AK32" s="366"/>
      <c r="AL32" s="368"/>
      <c r="AM32" s="373"/>
      <c r="AN32" s="366"/>
      <c r="AO32" s="369"/>
      <c r="AP32" s="366"/>
      <c r="AQ32" s="366"/>
      <c r="AR32" s="369"/>
      <c r="AS32" s="369"/>
      <c r="AT32" s="366"/>
      <c r="AU32" s="366"/>
      <c r="AV32" s="369"/>
      <c r="AW32" s="366"/>
      <c r="AX32" s="366"/>
      <c r="AY32" s="366"/>
      <c r="AZ32" s="366"/>
      <c r="BA32" s="366"/>
    </row>
    <row r="33" spans="1:53" s="371" customFormat="1" ht="12.75" customHeight="1" x14ac:dyDescent="0.25">
      <c r="A33" s="1013"/>
      <c r="B33" s="286" t="s">
        <v>1179</v>
      </c>
      <c r="C33" s="277">
        <v>2.7</v>
      </c>
      <c r="D33" s="336"/>
      <c r="E33" s="386"/>
      <c r="F33" s="301"/>
      <c r="G33" s="249"/>
      <c r="H33" s="249"/>
      <c r="I33" s="387"/>
      <c r="J33" s="388" t="s">
        <v>1403</v>
      </c>
      <c r="K33" s="388">
        <v>1</v>
      </c>
      <c r="L33" s="388">
        <v>20</v>
      </c>
      <c r="M33" s="388">
        <v>1</v>
      </c>
      <c r="N33" s="797">
        <f>L33/'Исп. коэффициенты'!E52*C36</f>
        <v>1.3195471570526158E-2</v>
      </c>
      <c r="O33" s="249"/>
      <c r="P33" s="249"/>
      <c r="Q33" s="249"/>
      <c r="R33" s="249"/>
      <c r="S33" s="249"/>
      <c r="T33" s="393"/>
      <c r="U33" s="291"/>
      <c r="V33" s="291"/>
      <c r="W33" s="372"/>
      <c r="X33" s="291"/>
      <c r="Y33" s="291"/>
      <c r="Z33" s="291"/>
      <c r="AA33" s="284"/>
      <c r="AB33" s="284"/>
      <c r="AC33" s="284"/>
      <c r="AD33" s="263"/>
      <c r="AE33" s="261"/>
      <c r="AF33" s="365"/>
      <c r="AG33" s="366"/>
      <c r="AH33" s="366"/>
      <c r="AI33" s="366"/>
      <c r="AJ33" s="367"/>
      <c r="AK33" s="366"/>
      <c r="AL33" s="368"/>
      <c r="AM33" s="366"/>
      <c r="AN33" s="366"/>
      <c r="AO33" s="369"/>
      <c r="AP33" s="366"/>
      <c r="AQ33" s="366"/>
      <c r="AR33" s="369"/>
      <c r="AS33" s="369"/>
      <c r="AT33" s="366"/>
      <c r="AU33" s="366"/>
      <c r="AV33" s="369"/>
      <c r="AW33" s="366"/>
      <c r="AX33" s="366"/>
      <c r="AY33" s="366"/>
      <c r="AZ33" s="366"/>
      <c r="BA33" s="366"/>
    </row>
    <row r="34" spans="1:53" s="371" customFormat="1" ht="12.75" customHeight="1" x14ac:dyDescent="0.25">
      <c r="A34" s="1013"/>
      <c r="B34" s="286" t="s">
        <v>831</v>
      </c>
      <c r="C34" s="313"/>
      <c r="D34" s="336"/>
      <c r="E34" s="386"/>
      <c r="F34" s="301"/>
      <c r="G34" s="249"/>
      <c r="H34" s="249"/>
      <c r="I34" s="387"/>
      <c r="J34" s="388" t="s">
        <v>1404</v>
      </c>
      <c r="K34" s="388">
        <v>1</v>
      </c>
      <c r="L34" s="388">
        <v>750</v>
      </c>
      <c r="M34" s="388">
        <v>1</v>
      </c>
      <c r="N34" s="797">
        <f>L34/'Исп. коэффициенты'!E52*C36</f>
        <v>0.49483018389473094</v>
      </c>
      <c r="O34" s="249"/>
      <c r="P34" s="249"/>
      <c r="Q34" s="249"/>
      <c r="R34" s="249"/>
      <c r="S34" s="249"/>
      <c r="T34" s="393"/>
      <c r="U34" s="291"/>
      <c r="V34" s="291"/>
      <c r="W34" s="372"/>
      <c r="X34" s="291"/>
      <c r="Y34" s="291"/>
      <c r="Z34" s="291"/>
      <c r="AA34" s="284"/>
      <c r="AB34" s="284"/>
      <c r="AC34" s="284"/>
      <c r="AD34" s="263"/>
      <c r="AE34" s="261"/>
      <c r="AF34" s="365"/>
      <c r="AG34" s="366"/>
      <c r="AH34" s="366"/>
      <c r="AI34" s="366"/>
      <c r="AJ34" s="367"/>
      <c r="AK34" s="366"/>
      <c r="AL34" s="368"/>
      <c r="AM34" s="366"/>
      <c r="AN34" s="366"/>
      <c r="AO34" s="369"/>
      <c r="AP34" s="366"/>
      <c r="AQ34" s="366"/>
      <c r="AR34" s="369"/>
      <c r="AS34" s="369"/>
      <c r="AT34" s="366"/>
      <c r="AU34" s="366"/>
      <c r="AV34" s="369"/>
      <c r="AW34" s="366"/>
      <c r="AX34" s="366"/>
      <c r="AY34" s="366"/>
      <c r="AZ34" s="366"/>
      <c r="BA34" s="366"/>
    </row>
    <row r="35" spans="1:53" s="371" customFormat="1" ht="12.75" customHeight="1" x14ac:dyDescent="0.25">
      <c r="A35" s="1013"/>
      <c r="B35" s="309" t="s">
        <v>1178</v>
      </c>
      <c r="C35" s="314"/>
      <c r="D35" s="336"/>
      <c r="E35" s="386"/>
      <c r="F35" s="301"/>
      <c r="G35" s="249"/>
      <c r="H35" s="249"/>
      <c r="I35" s="387"/>
      <c r="J35" s="388" t="s">
        <v>1405</v>
      </c>
      <c r="K35" s="388">
        <v>1</v>
      </c>
      <c r="L35" s="388">
        <v>25</v>
      </c>
      <c r="M35" s="388">
        <v>0.5</v>
      </c>
      <c r="N35" s="797">
        <f>L35/'Исп. коэффициенты'!E52*C36</f>
        <v>1.6494339463157696E-2</v>
      </c>
      <c r="O35" s="249"/>
      <c r="P35" s="249"/>
      <c r="Q35" s="249"/>
      <c r="R35" s="249"/>
      <c r="S35" s="249"/>
      <c r="T35" s="393"/>
      <c r="U35" s="291"/>
      <c r="V35" s="291"/>
      <c r="W35" s="372"/>
      <c r="X35" s="291"/>
      <c r="Y35" s="291"/>
      <c r="Z35" s="291"/>
      <c r="AA35" s="284"/>
      <c r="AB35" s="284"/>
      <c r="AC35" s="284"/>
      <c r="AD35" s="263"/>
      <c r="AE35" s="261"/>
      <c r="AF35" s="365"/>
      <c r="AG35" s="366"/>
      <c r="AH35" s="366"/>
      <c r="AI35" s="366"/>
      <c r="AJ35" s="375"/>
      <c r="AK35" s="366"/>
      <c r="AL35" s="368"/>
      <c r="AM35" s="366"/>
      <c r="AN35" s="366"/>
      <c r="AO35" s="369"/>
      <c r="AP35" s="366"/>
      <c r="AQ35" s="366"/>
      <c r="AR35" s="369"/>
      <c r="AS35" s="369"/>
      <c r="AT35" s="366"/>
      <c r="AU35" s="366"/>
      <c r="AV35" s="369"/>
      <c r="AW35" s="366"/>
      <c r="AX35" s="366"/>
      <c r="AY35" s="366"/>
      <c r="AZ35" s="366"/>
      <c r="BA35" s="366"/>
    </row>
    <row r="36" spans="1:53" s="371" customFormat="1" ht="12.75" customHeight="1" x14ac:dyDescent="0.25">
      <c r="A36" s="1013"/>
      <c r="B36" s="286" t="s">
        <v>1179</v>
      </c>
      <c r="C36" s="314">
        <v>7</v>
      </c>
      <c r="D36" s="336"/>
      <c r="E36" s="386"/>
      <c r="F36" s="376"/>
      <c r="G36" s="249"/>
      <c r="H36" s="249"/>
      <c r="I36" s="387"/>
      <c r="J36" s="290"/>
      <c r="K36" s="374"/>
      <c r="L36" s="292"/>
      <c r="M36" s="292"/>
      <c r="N36" s="391"/>
      <c r="O36" s="249"/>
      <c r="P36" s="249"/>
      <c r="Q36" s="249"/>
      <c r="R36" s="249"/>
      <c r="S36" s="249"/>
      <c r="T36" s="393"/>
      <c r="U36" s="291"/>
      <c r="V36" s="291"/>
      <c r="W36" s="372"/>
      <c r="X36" s="291"/>
      <c r="Y36" s="291"/>
      <c r="Z36" s="291"/>
      <c r="AA36" s="284"/>
      <c r="AB36" s="284"/>
      <c r="AC36" s="284"/>
      <c r="AD36" s="263"/>
      <c r="AE36" s="261"/>
      <c r="AF36" s="365"/>
      <c r="AG36" s="366"/>
      <c r="AH36" s="366"/>
      <c r="AI36" s="366"/>
      <c r="AJ36" s="375"/>
      <c r="AK36" s="366"/>
      <c r="AL36" s="368"/>
      <c r="AM36" s="366"/>
      <c r="AN36" s="366"/>
      <c r="AO36" s="369"/>
      <c r="AP36" s="366"/>
      <c r="AQ36" s="366"/>
      <c r="AR36" s="369"/>
      <c r="AS36" s="369"/>
      <c r="AT36" s="366"/>
      <c r="AU36" s="366"/>
      <c r="AV36" s="369"/>
      <c r="AW36" s="366"/>
      <c r="AX36" s="366"/>
      <c r="AY36" s="366"/>
      <c r="AZ36" s="366"/>
      <c r="BA36" s="366"/>
    </row>
    <row r="37" spans="1:53" s="371" customFormat="1" ht="12.75" customHeight="1" x14ac:dyDescent="0.25">
      <c r="A37" s="1013"/>
      <c r="B37" s="315" t="s">
        <v>1181</v>
      </c>
      <c r="C37" s="277">
        <f>C32*C35+C33*C36</f>
        <v>18.900000000000002</v>
      </c>
      <c r="D37" s="336"/>
      <c r="E37" s="300"/>
      <c r="F37" s="376"/>
      <c r="G37" s="302"/>
      <c r="H37" s="301"/>
      <c r="I37" s="303"/>
      <c r="J37" s="290"/>
      <c r="K37" s="374"/>
      <c r="L37" s="292"/>
      <c r="M37" s="292"/>
      <c r="N37" s="391"/>
      <c r="O37" s="249"/>
      <c r="P37" s="249"/>
      <c r="Q37" s="249"/>
      <c r="R37" s="249"/>
      <c r="S37" s="249"/>
      <c r="T37" s="393"/>
      <c r="U37" s="291"/>
      <c r="V37" s="291"/>
      <c r="W37" s="372"/>
      <c r="X37" s="291"/>
      <c r="Y37" s="291"/>
      <c r="Z37" s="291"/>
      <c r="AA37" s="284"/>
      <c r="AB37" s="284"/>
      <c r="AC37" s="284"/>
      <c r="AD37" s="263"/>
      <c r="AE37" s="261"/>
      <c r="AF37" s="365"/>
      <c r="AG37" s="366"/>
      <c r="AH37" s="366"/>
      <c r="AI37" s="366"/>
      <c r="AJ37" s="367"/>
      <c r="AK37" s="366"/>
      <c r="AL37" s="368"/>
      <c r="AM37" s="366"/>
      <c r="AN37" s="366"/>
      <c r="AO37" s="369"/>
      <c r="AP37" s="366"/>
      <c r="AQ37" s="366"/>
      <c r="AR37" s="369"/>
      <c r="AS37" s="369"/>
      <c r="AT37" s="366"/>
      <c r="AU37" s="366"/>
      <c r="AV37" s="369"/>
      <c r="AW37" s="366"/>
      <c r="AX37" s="366"/>
      <c r="AY37" s="366"/>
      <c r="AZ37" s="366"/>
      <c r="BA37" s="366"/>
    </row>
    <row r="38" spans="1:53" s="371" customFormat="1" ht="12.75" customHeight="1" x14ac:dyDescent="0.25">
      <c r="A38" s="1014"/>
      <c r="B38" s="315"/>
      <c r="C38" s="314"/>
      <c r="D38" s="337"/>
      <c r="E38" s="300"/>
      <c r="F38" s="376"/>
      <c r="G38" s="302"/>
      <c r="H38" s="301"/>
      <c r="I38" s="303"/>
      <c r="J38" s="290"/>
      <c r="K38" s="374"/>
      <c r="L38" s="292"/>
      <c r="M38" s="292"/>
      <c r="N38" s="391"/>
      <c r="O38" s="249"/>
      <c r="P38" s="249"/>
      <c r="Q38" s="249"/>
      <c r="R38" s="249"/>
      <c r="S38" s="249"/>
      <c r="T38" s="393"/>
      <c r="U38" s="291"/>
      <c r="V38" s="291"/>
      <c r="W38" s="372"/>
      <c r="X38" s="291"/>
      <c r="Y38" s="291"/>
      <c r="Z38" s="291"/>
      <c r="AA38" s="284"/>
      <c r="AB38" s="284"/>
      <c r="AC38" s="284"/>
      <c r="AD38" s="263"/>
      <c r="AE38" s="261"/>
      <c r="AF38" s="365"/>
      <c r="AG38" s="366"/>
      <c r="AH38" s="366"/>
      <c r="AI38" s="366"/>
      <c r="AJ38" s="375"/>
      <c r="AK38" s="366"/>
      <c r="AL38" s="368"/>
      <c r="AM38" s="366"/>
      <c r="AN38" s="366"/>
      <c r="AO38" s="369"/>
      <c r="AP38" s="366"/>
      <c r="AQ38" s="366"/>
      <c r="AR38" s="369"/>
      <c r="AS38" s="369"/>
      <c r="AT38" s="366"/>
      <c r="AU38" s="366"/>
      <c r="AV38" s="369"/>
      <c r="AW38" s="366"/>
      <c r="AX38" s="366"/>
      <c r="AY38" s="366"/>
      <c r="AZ38" s="366"/>
      <c r="BA38" s="366"/>
    </row>
    <row r="39" spans="1:53" x14ac:dyDescent="0.25">
      <c r="A39" s="249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392"/>
      <c r="O39" s="249"/>
      <c r="P39" s="249"/>
      <c r="Q39" s="249"/>
      <c r="R39" s="249"/>
      <c r="S39" s="249"/>
      <c r="T39" s="395"/>
      <c r="U39" s="249"/>
      <c r="V39" s="249"/>
      <c r="W39" s="249"/>
      <c r="X39" s="249"/>
      <c r="Y39" s="249"/>
      <c r="Z39" s="249"/>
      <c r="AA39" s="249"/>
      <c r="AB39" s="249"/>
      <c r="AC39" s="249"/>
    </row>
    <row r="42" spans="1:53" s="35" customFormat="1" ht="17.25" customHeight="1" x14ac:dyDescent="0.25">
      <c r="A42" s="1059" t="s">
        <v>1227</v>
      </c>
      <c r="B42" s="1060"/>
      <c r="C42" s="1060"/>
      <c r="D42" s="1060"/>
      <c r="E42" s="1060"/>
      <c r="F42" s="1060"/>
      <c r="G42" s="1060"/>
      <c r="H42" s="1060"/>
      <c r="I42" s="1060"/>
      <c r="J42" s="1060"/>
      <c r="K42" s="1060"/>
      <c r="L42" s="1060"/>
      <c r="M42" s="1060"/>
      <c r="N42" s="1060"/>
      <c r="O42" s="1060"/>
      <c r="P42" s="1060"/>
      <c r="Q42" s="1060"/>
      <c r="R42" s="1060"/>
      <c r="S42" s="1060"/>
      <c r="T42" s="1060"/>
      <c r="U42" s="1060"/>
      <c r="V42" s="1060"/>
      <c r="W42" s="1060"/>
      <c r="X42" s="1060"/>
      <c r="Y42" s="1060"/>
      <c r="Z42" s="1060"/>
      <c r="AA42" s="1060"/>
      <c r="AB42" s="1060"/>
      <c r="AC42" s="1061"/>
      <c r="AD42" s="48"/>
      <c r="AE42" s="49"/>
      <c r="AF42" s="150"/>
      <c r="AG42" s="81"/>
      <c r="AH42" s="134"/>
      <c r="AI42" s="135"/>
      <c r="AJ42" s="136"/>
      <c r="AK42" s="134"/>
      <c r="AL42" s="137"/>
      <c r="AM42" s="129"/>
      <c r="AN42" s="129"/>
      <c r="AO42" s="132"/>
      <c r="AP42" s="132"/>
      <c r="AQ42" s="138"/>
      <c r="AR42" s="138"/>
      <c r="AS42" s="138"/>
      <c r="AT42" s="132"/>
      <c r="AU42" s="129"/>
      <c r="AV42" s="130"/>
      <c r="AW42" s="81"/>
      <c r="AX42" s="81"/>
      <c r="AY42" s="81"/>
      <c r="AZ42" s="81"/>
      <c r="BA42" s="81"/>
    </row>
    <row r="43" spans="1:53" s="261" customFormat="1" ht="56.25" customHeight="1" x14ac:dyDescent="0.25">
      <c r="A43" s="1012" t="s">
        <v>1647</v>
      </c>
      <c r="B43" s="353"/>
      <c r="C43" s="277"/>
      <c r="D43" s="585" t="s">
        <v>1503</v>
      </c>
      <c r="E43" s="278" t="s">
        <v>488</v>
      </c>
      <c r="F43" s="279" t="s">
        <v>837</v>
      </c>
      <c r="G43" s="277" t="s">
        <v>489</v>
      </c>
      <c r="H43" s="278" t="s">
        <v>1170</v>
      </c>
      <c r="I43" s="279" t="s">
        <v>838</v>
      </c>
      <c r="J43" s="280" t="s">
        <v>1171</v>
      </c>
      <c r="K43" s="280" t="s">
        <v>490</v>
      </c>
      <c r="L43" s="281" t="s">
        <v>489</v>
      </c>
      <c r="M43" s="280" t="s">
        <v>1406</v>
      </c>
      <c r="N43" s="354" t="s">
        <v>838</v>
      </c>
      <c r="O43" s="280" t="s">
        <v>1171</v>
      </c>
      <c r="P43" s="280" t="s">
        <v>826</v>
      </c>
      <c r="Q43" s="282" t="s">
        <v>1414</v>
      </c>
      <c r="R43" s="280" t="s">
        <v>1174</v>
      </c>
      <c r="S43" s="280" t="s">
        <v>839</v>
      </c>
      <c r="T43" s="280" t="s">
        <v>1171</v>
      </c>
      <c r="U43" s="280" t="s">
        <v>1392</v>
      </c>
      <c r="V43" s="282" t="s">
        <v>1173</v>
      </c>
      <c r="W43" s="280" t="s">
        <v>841</v>
      </c>
      <c r="X43" s="280" t="s">
        <v>1394</v>
      </c>
      <c r="Y43" s="280" t="s">
        <v>839</v>
      </c>
      <c r="Z43" s="283" t="s">
        <v>1504</v>
      </c>
      <c r="AA43" s="587" t="s">
        <v>1505</v>
      </c>
      <c r="AB43" s="284"/>
      <c r="AC43" s="586" t="s">
        <v>1506</v>
      </c>
      <c r="AD43" s="263"/>
      <c r="AF43" s="262"/>
      <c r="AG43" s="263"/>
      <c r="AH43" s="263"/>
      <c r="AI43" s="263"/>
      <c r="AJ43" s="263"/>
      <c r="AK43" s="263"/>
      <c r="AL43" s="264"/>
      <c r="AM43" s="263"/>
      <c r="AN43" s="263"/>
      <c r="AO43" s="265"/>
      <c r="AP43" s="263"/>
      <c r="AQ43" s="355"/>
      <c r="AR43" s="355"/>
      <c r="AS43" s="355"/>
      <c r="AT43" s="263"/>
      <c r="AU43" s="263"/>
      <c r="AV43" s="265"/>
      <c r="AW43" s="263"/>
      <c r="AX43" s="263"/>
      <c r="AY43" s="263"/>
      <c r="AZ43" s="263"/>
      <c r="BA43" s="263"/>
    </row>
    <row r="44" spans="1:53" s="270" customFormat="1" ht="12" customHeight="1" x14ac:dyDescent="0.25">
      <c r="A44" s="1013"/>
      <c r="B44" s="285" t="s">
        <v>1175</v>
      </c>
      <c r="C44" s="277">
        <f>C51</f>
        <v>162</v>
      </c>
      <c r="D44" s="336">
        <f>C44*$D$5</f>
        <v>32.724000000000004</v>
      </c>
      <c r="E44" s="286" t="s">
        <v>1176</v>
      </c>
      <c r="F44" s="356"/>
      <c r="G44" s="288"/>
      <c r="H44" s="288"/>
      <c r="I44" s="289">
        <f>SUM(I45:I52)</f>
        <v>121.0341</v>
      </c>
      <c r="J44" s="290" t="s">
        <v>1176</v>
      </c>
      <c r="K44" s="357"/>
      <c r="L44" s="291"/>
      <c r="M44" s="291"/>
      <c r="N44" s="292">
        <f>SUM(N45:N52)</f>
        <v>0.88</v>
      </c>
      <c r="O44" s="291" t="s">
        <v>1176</v>
      </c>
      <c r="P44" s="291"/>
      <c r="Q44" s="372"/>
      <c r="R44" s="294"/>
      <c r="S44" s="433">
        <f>SUM(S45:S52)+S53</f>
        <v>0.25014188348709443</v>
      </c>
      <c r="T44" s="393" t="s">
        <v>1176</v>
      </c>
      <c r="U44" s="307"/>
      <c r="V44" s="308"/>
      <c r="W44" s="306"/>
      <c r="X44" s="292"/>
      <c r="Y44" s="292"/>
      <c r="Z44" s="296">
        <f>(C44+D44+I44+N44+S44)*1.05</f>
        <v>332.73265397766147</v>
      </c>
      <c r="AA44" s="297">
        <f>C44+D44+I44+N44+S44+Y44+Z44</f>
        <v>649.6208958611486</v>
      </c>
      <c r="AB44" s="298">
        <v>0.25</v>
      </c>
      <c r="AC44" s="385">
        <f>AA44*(1+AB44)</f>
        <v>812.02611982643577</v>
      </c>
      <c r="AD44" s="265"/>
      <c r="AE44" s="261"/>
      <c r="AF44" s="262"/>
      <c r="AG44" s="263"/>
      <c r="AH44" s="263"/>
      <c r="AI44" s="355"/>
      <c r="AJ44" s="359"/>
      <c r="AK44" s="360"/>
      <c r="AL44" s="264"/>
      <c r="AM44" s="361"/>
      <c r="AN44" s="143"/>
      <c r="AO44" s="362"/>
      <c r="AP44" s="363"/>
      <c r="AQ44" s="363"/>
      <c r="AR44" s="363"/>
      <c r="AS44" s="363"/>
      <c r="AT44" s="363"/>
      <c r="AU44" s="362"/>
      <c r="AV44" s="362"/>
      <c r="AW44" s="364"/>
      <c r="AX44" s="272"/>
      <c r="AY44" s="272"/>
      <c r="AZ44" s="272"/>
      <c r="BA44" s="272"/>
    </row>
    <row r="45" spans="1:53" s="371" customFormat="1" ht="25.5" customHeight="1" x14ac:dyDescent="0.25">
      <c r="A45" s="1013"/>
      <c r="B45" s="299" t="s">
        <v>1648</v>
      </c>
      <c r="C45" s="277"/>
      <c r="D45" s="336"/>
      <c r="E45" s="300" t="s">
        <v>1437</v>
      </c>
      <c r="F45" s="301" t="s">
        <v>1438</v>
      </c>
      <c r="G45" s="302">
        <v>0.74</v>
      </c>
      <c r="H45" s="301">
        <v>0.01</v>
      </c>
      <c r="I45" s="303">
        <f>G45*H45</f>
        <v>7.4000000000000003E-3</v>
      </c>
      <c r="J45" s="388" t="s">
        <v>1404</v>
      </c>
      <c r="K45" s="388">
        <v>1</v>
      </c>
      <c r="L45" s="388">
        <v>250</v>
      </c>
      <c r="M45" s="388">
        <v>3.33</v>
      </c>
      <c r="N45" s="390">
        <v>0.44</v>
      </c>
      <c r="O45" s="249" t="s">
        <v>1413</v>
      </c>
      <c r="P45" s="249">
        <v>10500</v>
      </c>
      <c r="Q45" s="249">
        <v>4.17</v>
      </c>
      <c r="R45" s="249">
        <f>P45*Q45%</f>
        <v>437.85</v>
      </c>
      <c r="S45" s="250">
        <f>R45/1929.4</f>
        <v>0.22693583497460351</v>
      </c>
      <c r="T45" s="394"/>
      <c r="U45" s="307"/>
      <c r="V45" s="308"/>
      <c r="W45" s="306"/>
      <c r="X45" s="292"/>
      <c r="Y45" s="291"/>
      <c r="Z45" s="291"/>
      <c r="AA45" s="284"/>
      <c r="AB45" s="284"/>
      <c r="AC45" s="284"/>
      <c r="AD45" s="263"/>
      <c r="AE45" s="261"/>
      <c r="AF45" s="365"/>
      <c r="AG45" s="366"/>
      <c r="AH45" s="366"/>
      <c r="AI45" s="366"/>
      <c r="AJ45" s="367"/>
      <c r="AK45" s="366"/>
      <c r="AL45" s="368"/>
      <c r="AM45" s="366"/>
      <c r="AN45" s="366"/>
      <c r="AO45" s="369"/>
      <c r="AP45" s="366"/>
      <c r="AQ45" s="366"/>
      <c r="AR45" s="369"/>
      <c r="AS45" s="369"/>
      <c r="AT45" s="370"/>
      <c r="AU45" s="366"/>
      <c r="AV45" s="369"/>
      <c r="AW45" s="366"/>
      <c r="AX45" s="366"/>
      <c r="AY45" s="366"/>
      <c r="AZ45" s="366"/>
      <c r="BA45" s="366"/>
    </row>
    <row r="46" spans="1:53" s="371" customFormat="1" ht="27.75" customHeight="1" x14ac:dyDescent="0.25">
      <c r="A46" s="1013"/>
      <c r="B46" s="309" t="s">
        <v>1178</v>
      </c>
      <c r="C46" s="310"/>
      <c r="D46" s="336"/>
      <c r="E46" s="300" t="s">
        <v>1439</v>
      </c>
      <c r="F46" s="301" t="s">
        <v>1438</v>
      </c>
      <c r="G46" s="302">
        <v>0.27</v>
      </c>
      <c r="H46" s="301">
        <v>0.01</v>
      </c>
      <c r="I46" s="303">
        <f>G46*H46</f>
        <v>2.7000000000000001E-3</v>
      </c>
      <c r="J46" s="388" t="s">
        <v>1405</v>
      </c>
      <c r="K46" s="388">
        <v>1</v>
      </c>
      <c r="L46" s="388">
        <v>50</v>
      </c>
      <c r="M46" s="388">
        <v>16.670000000000002</v>
      </c>
      <c r="N46" s="390">
        <v>0.44</v>
      </c>
      <c r="O46" s="249" t="s">
        <v>1408</v>
      </c>
      <c r="P46" s="249">
        <v>372.5</v>
      </c>
      <c r="Q46" s="249">
        <v>8.33</v>
      </c>
      <c r="R46" s="249">
        <f>P46*Q46%</f>
        <v>31.029250000000001</v>
      </c>
      <c r="S46" s="250">
        <f>R46/1929.4</f>
        <v>1.6082331294703017E-2</v>
      </c>
      <c r="T46" s="393"/>
      <c r="U46" s="291"/>
      <c r="V46" s="291"/>
      <c r="W46" s="372"/>
      <c r="X46" s="291"/>
      <c r="Y46" s="291"/>
      <c r="Z46" s="291"/>
      <c r="AA46" s="284"/>
      <c r="AB46" s="284"/>
      <c r="AC46" s="284"/>
      <c r="AD46" s="263"/>
      <c r="AE46" s="261"/>
      <c r="AF46" s="365"/>
      <c r="AG46" s="366"/>
      <c r="AH46" s="366"/>
      <c r="AI46" s="366"/>
      <c r="AJ46" s="367"/>
      <c r="AK46" s="366"/>
      <c r="AL46" s="368"/>
      <c r="AM46" s="373"/>
      <c r="AN46" s="366"/>
      <c r="AO46" s="369"/>
      <c r="AP46" s="366"/>
      <c r="AQ46" s="366"/>
      <c r="AR46" s="369"/>
      <c r="AS46" s="369"/>
      <c r="AT46" s="366"/>
      <c r="AU46" s="366"/>
      <c r="AV46" s="369"/>
      <c r="AW46" s="366"/>
      <c r="AX46" s="366"/>
      <c r="AY46" s="366"/>
      <c r="AZ46" s="366"/>
      <c r="BA46" s="366"/>
    </row>
    <row r="47" spans="1:53" s="371" customFormat="1" ht="12.75" customHeight="1" x14ac:dyDescent="0.25">
      <c r="A47" s="1013"/>
      <c r="B47" s="286" t="s">
        <v>1179</v>
      </c>
      <c r="C47" s="277">
        <v>2.7</v>
      </c>
      <c r="D47" s="336"/>
      <c r="E47" s="300" t="s">
        <v>1440</v>
      </c>
      <c r="F47" s="301" t="s">
        <v>1441</v>
      </c>
      <c r="G47" s="302">
        <v>5.92</v>
      </c>
      <c r="H47" s="312">
        <v>1</v>
      </c>
      <c r="I47" s="303">
        <f>G47*H47</f>
        <v>5.92</v>
      </c>
      <c r="J47" s="388"/>
      <c r="K47" s="388"/>
      <c r="L47" s="388"/>
      <c r="M47" s="388"/>
      <c r="N47" s="390"/>
      <c r="O47" s="249" t="s">
        <v>1409</v>
      </c>
      <c r="P47" s="249">
        <v>104</v>
      </c>
      <c r="Q47" s="249">
        <v>8.33</v>
      </c>
      <c r="R47" s="249">
        <f>P47*Q47%</f>
        <v>8.6631999999999998</v>
      </c>
      <c r="S47" s="250">
        <f>R47/1929.4</f>
        <v>4.4901005493935935E-3</v>
      </c>
      <c r="T47" s="393"/>
      <c r="U47" s="291"/>
      <c r="V47" s="291"/>
      <c r="W47" s="372"/>
      <c r="X47" s="291"/>
      <c r="Y47" s="291"/>
      <c r="Z47" s="291"/>
      <c r="AA47" s="284"/>
      <c r="AB47" s="284"/>
      <c r="AC47" s="284"/>
      <c r="AD47" s="263"/>
      <c r="AE47" s="261"/>
      <c r="AF47" s="365"/>
      <c r="AG47" s="366"/>
      <c r="AH47" s="366"/>
      <c r="AI47" s="366"/>
      <c r="AJ47" s="367"/>
      <c r="AK47" s="366"/>
      <c r="AL47" s="368"/>
      <c r="AM47" s="366"/>
      <c r="AN47" s="366"/>
      <c r="AO47" s="369"/>
      <c r="AP47" s="366"/>
      <c r="AQ47" s="366"/>
      <c r="AR47" s="369"/>
      <c r="AS47" s="369"/>
      <c r="AT47" s="366"/>
      <c r="AU47" s="366"/>
      <c r="AV47" s="369"/>
      <c r="AW47" s="366"/>
      <c r="AX47" s="366"/>
      <c r="AY47" s="366"/>
      <c r="AZ47" s="366"/>
      <c r="BA47" s="366"/>
    </row>
    <row r="48" spans="1:53" s="371" customFormat="1" ht="12.75" customHeight="1" x14ac:dyDescent="0.25">
      <c r="A48" s="1013"/>
      <c r="B48" s="286" t="s">
        <v>831</v>
      </c>
      <c r="C48" s="313"/>
      <c r="D48" s="336"/>
      <c r="E48" s="300" t="s">
        <v>1442</v>
      </c>
      <c r="F48" s="301" t="s">
        <v>1443</v>
      </c>
      <c r="G48" s="302">
        <v>360</v>
      </c>
      <c r="H48" s="301">
        <v>1E-3</v>
      </c>
      <c r="I48" s="303">
        <f>G48*H48</f>
        <v>0.36</v>
      </c>
      <c r="J48" s="388"/>
      <c r="K48" s="388"/>
      <c r="L48" s="388"/>
      <c r="M48" s="388"/>
      <c r="N48" s="390"/>
      <c r="O48" s="249" t="s">
        <v>1410</v>
      </c>
      <c r="P48" s="249">
        <v>35</v>
      </c>
      <c r="Q48" s="249">
        <v>8.33</v>
      </c>
      <c r="R48" s="249">
        <f>P48*Q48%</f>
        <v>2.9154999999999998</v>
      </c>
      <c r="S48" s="250">
        <f>R48/1929.4</f>
        <v>1.5110915310459208E-3</v>
      </c>
      <c r="T48" s="393"/>
      <c r="U48" s="291"/>
      <c r="V48" s="291"/>
      <c r="W48" s="372"/>
      <c r="X48" s="291"/>
      <c r="Y48" s="291"/>
      <c r="Z48" s="291"/>
      <c r="AA48" s="284"/>
      <c r="AB48" s="284"/>
      <c r="AC48" s="284"/>
      <c r="AD48" s="263"/>
      <c r="AE48" s="261"/>
      <c r="AF48" s="365"/>
      <c r="AG48" s="366"/>
      <c r="AH48" s="366"/>
      <c r="AI48" s="366"/>
      <c r="AJ48" s="367"/>
      <c r="AK48" s="366"/>
      <c r="AL48" s="368"/>
      <c r="AM48" s="366"/>
      <c r="AN48" s="366"/>
      <c r="AO48" s="369"/>
      <c r="AP48" s="366"/>
      <c r="AQ48" s="366"/>
      <c r="AR48" s="369"/>
      <c r="AS48" s="369"/>
      <c r="AT48" s="366"/>
      <c r="AU48" s="366"/>
      <c r="AV48" s="369"/>
      <c r="AW48" s="366"/>
      <c r="AX48" s="366"/>
      <c r="AY48" s="366"/>
      <c r="AZ48" s="366"/>
      <c r="BA48" s="366"/>
    </row>
    <row r="49" spans="1:53" s="371" customFormat="1" ht="12.75" customHeight="1" x14ac:dyDescent="0.25">
      <c r="A49" s="1013"/>
      <c r="B49" s="309" t="s">
        <v>1178</v>
      </c>
      <c r="C49" s="314"/>
      <c r="D49" s="336"/>
      <c r="E49" s="300" t="s">
        <v>1444</v>
      </c>
      <c r="F49" s="301" t="s">
        <v>1443</v>
      </c>
      <c r="G49" s="302">
        <v>872</v>
      </c>
      <c r="H49" s="301">
        <v>2E-3</v>
      </c>
      <c r="I49" s="303">
        <f>G49*H49</f>
        <v>1.744</v>
      </c>
      <c r="J49" s="388"/>
      <c r="K49" s="388"/>
      <c r="L49" s="388"/>
      <c r="M49" s="388"/>
      <c r="N49" s="390"/>
      <c r="O49" s="249" t="s">
        <v>1412</v>
      </c>
      <c r="P49" s="249">
        <v>26</v>
      </c>
      <c r="Q49" s="249">
        <v>8.33</v>
      </c>
      <c r="R49" s="249">
        <f>P49*Q49%</f>
        <v>2.1657999999999999</v>
      </c>
      <c r="S49" s="250">
        <f>R49/1929.4</f>
        <v>1.1225251373483984E-3</v>
      </c>
      <c r="T49" s="393"/>
      <c r="U49" s="291"/>
      <c r="V49" s="291"/>
      <c r="W49" s="372"/>
      <c r="X49" s="291"/>
      <c r="Y49" s="291"/>
      <c r="Z49" s="291"/>
      <c r="AA49" s="284"/>
      <c r="AB49" s="284"/>
      <c r="AC49" s="284"/>
      <c r="AD49" s="263"/>
      <c r="AE49" s="261"/>
      <c r="AF49" s="365"/>
      <c r="AG49" s="366"/>
      <c r="AH49" s="366"/>
      <c r="AI49" s="366"/>
      <c r="AJ49" s="375"/>
      <c r="AK49" s="366"/>
      <c r="AL49" s="368"/>
      <c r="AM49" s="366"/>
      <c r="AN49" s="366"/>
      <c r="AO49" s="369"/>
      <c r="AP49" s="366"/>
      <c r="AQ49" s="366"/>
      <c r="AR49" s="369"/>
      <c r="AS49" s="369"/>
      <c r="AT49" s="366"/>
      <c r="AU49" s="366"/>
      <c r="AV49" s="369"/>
      <c r="AW49" s="366"/>
      <c r="AX49" s="366"/>
      <c r="AY49" s="366"/>
      <c r="AZ49" s="366"/>
      <c r="BA49" s="366"/>
    </row>
    <row r="50" spans="1:53" s="371" customFormat="1" ht="12.75" customHeight="1" x14ac:dyDescent="0.25">
      <c r="A50" s="1013"/>
      <c r="B50" s="286" t="s">
        <v>1179</v>
      </c>
      <c r="C50" s="314">
        <v>60</v>
      </c>
      <c r="D50" s="336"/>
      <c r="E50" s="386" t="s">
        <v>153</v>
      </c>
      <c r="F50" s="376"/>
      <c r="G50" s="249"/>
      <c r="H50" s="249"/>
      <c r="I50" s="387">
        <v>113</v>
      </c>
      <c r="J50" s="290"/>
      <c r="K50" s="374"/>
      <c r="L50" s="292"/>
      <c r="M50" s="292"/>
      <c r="N50" s="391"/>
      <c r="O50" s="249"/>
      <c r="P50" s="249"/>
      <c r="Q50" s="249"/>
      <c r="R50" s="249"/>
      <c r="S50" s="249"/>
      <c r="T50" s="393"/>
      <c r="U50" s="291"/>
      <c r="V50" s="291"/>
      <c r="W50" s="372"/>
      <c r="X50" s="291"/>
      <c r="Y50" s="291"/>
      <c r="Z50" s="291"/>
      <c r="AA50" s="284"/>
      <c r="AB50" s="284"/>
      <c r="AC50" s="284"/>
      <c r="AD50" s="263"/>
      <c r="AE50" s="261"/>
      <c r="AF50" s="365"/>
      <c r="AG50" s="366"/>
      <c r="AH50" s="366"/>
      <c r="AI50" s="366"/>
      <c r="AJ50" s="375"/>
      <c r="AK50" s="366"/>
      <c r="AL50" s="368"/>
      <c r="AM50" s="366"/>
      <c r="AN50" s="366"/>
      <c r="AO50" s="369"/>
      <c r="AP50" s="366"/>
      <c r="AQ50" s="366"/>
      <c r="AR50" s="369"/>
      <c r="AS50" s="369"/>
      <c r="AT50" s="366"/>
      <c r="AU50" s="366"/>
      <c r="AV50" s="369"/>
      <c r="AW50" s="366"/>
      <c r="AX50" s="366"/>
      <c r="AY50" s="366"/>
      <c r="AZ50" s="366"/>
      <c r="BA50" s="366"/>
    </row>
    <row r="51" spans="1:53" s="371" customFormat="1" ht="12.75" customHeight="1" x14ac:dyDescent="0.25">
      <c r="A51" s="1013"/>
      <c r="B51" s="315" t="s">
        <v>1181</v>
      </c>
      <c r="C51" s="277">
        <f>C46*C49+C47*C50</f>
        <v>162</v>
      </c>
      <c r="D51" s="336"/>
      <c r="E51" s="300"/>
      <c r="F51" s="376"/>
      <c r="G51" s="302"/>
      <c r="H51" s="301"/>
      <c r="I51" s="303"/>
      <c r="J51" s="290"/>
      <c r="K51" s="374"/>
      <c r="L51" s="292"/>
      <c r="M51" s="292"/>
      <c r="N51" s="391"/>
      <c r="O51" s="249"/>
      <c r="P51" s="249"/>
      <c r="Q51" s="249"/>
      <c r="R51" s="249"/>
      <c r="S51" s="249"/>
      <c r="T51" s="393"/>
      <c r="U51" s="291"/>
      <c r="V51" s="291"/>
      <c r="W51" s="372"/>
      <c r="X51" s="291"/>
      <c r="Y51" s="291"/>
      <c r="Z51" s="291"/>
      <c r="AA51" s="284"/>
      <c r="AB51" s="284"/>
      <c r="AC51" s="284"/>
      <c r="AD51" s="263"/>
      <c r="AE51" s="261"/>
      <c r="AF51" s="365"/>
      <c r="AG51" s="366"/>
      <c r="AH51" s="366"/>
      <c r="AI51" s="366"/>
      <c r="AJ51" s="367"/>
      <c r="AK51" s="366"/>
      <c r="AL51" s="368"/>
      <c r="AM51" s="366"/>
      <c r="AN51" s="366"/>
      <c r="AO51" s="369"/>
      <c r="AP51" s="366"/>
      <c r="AQ51" s="366"/>
      <c r="AR51" s="369"/>
      <c r="AS51" s="369"/>
      <c r="AT51" s="366"/>
      <c r="AU51" s="366"/>
      <c r="AV51" s="369"/>
      <c r="AW51" s="366"/>
      <c r="AX51" s="366"/>
      <c r="AY51" s="366"/>
      <c r="AZ51" s="366"/>
      <c r="BA51" s="366"/>
    </row>
    <row r="52" spans="1:53" s="371" customFormat="1" ht="12.75" customHeight="1" x14ac:dyDescent="0.25">
      <c r="A52" s="1014"/>
      <c r="B52" s="315"/>
      <c r="C52" s="314"/>
      <c r="D52" s="337"/>
      <c r="E52" s="300"/>
      <c r="F52" s="376"/>
      <c r="G52" s="302"/>
      <c r="H52" s="301"/>
      <c r="I52" s="303"/>
      <c r="J52" s="290"/>
      <c r="K52" s="374"/>
      <c r="L52" s="292"/>
      <c r="M52" s="292"/>
      <c r="N52" s="391"/>
      <c r="O52" s="249"/>
      <c r="P52" s="249"/>
      <c r="Q52" s="249"/>
      <c r="R52" s="249"/>
      <c r="S52" s="249"/>
      <c r="T52" s="393"/>
      <c r="U52" s="291"/>
      <c r="V52" s="291"/>
      <c r="W52" s="372"/>
      <c r="X52" s="291"/>
      <c r="Y52" s="291"/>
      <c r="Z52" s="291"/>
      <c r="AA52" s="284"/>
      <c r="AB52" s="284"/>
      <c r="AC52" s="284"/>
      <c r="AD52" s="263"/>
      <c r="AE52" s="261"/>
      <c r="AF52" s="365"/>
      <c r="AG52" s="366"/>
      <c r="AH52" s="366"/>
      <c r="AI52" s="366"/>
      <c r="AJ52" s="375"/>
      <c r="AK52" s="366"/>
      <c r="AL52" s="368"/>
      <c r="AM52" s="366"/>
      <c r="AN52" s="366"/>
      <c r="AO52" s="369"/>
      <c r="AP52" s="366"/>
      <c r="AQ52" s="366"/>
      <c r="AR52" s="369"/>
      <c r="AS52" s="369"/>
      <c r="AT52" s="366"/>
      <c r="AU52" s="366"/>
      <c r="AV52" s="369"/>
      <c r="AW52" s="366"/>
      <c r="AX52" s="366"/>
      <c r="AY52" s="366"/>
      <c r="AZ52" s="366"/>
      <c r="BA52" s="366"/>
    </row>
    <row r="53" spans="1:53" x14ac:dyDescent="0.25">
      <c r="A53" s="249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392"/>
      <c r="O53" s="249"/>
      <c r="P53" s="249"/>
      <c r="Q53" s="249"/>
      <c r="R53" s="249"/>
      <c r="S53" s="249"/>
      <c r="T53" s="395"/>
      <c r="U53" s="249"/>
      <c r="V53" s="249"/>
      <c r="W53" s="249"/>
      <c r="X53" s="249"/>
      <c r="Y53" s="249"/>
      <c r="Z53" s="249"/>
      <c r="AA53" s="249"/>
      <c r="AB53" s="249"/>
      <c r="AC53" s="249"/>
    </row>
    <row r="55" spans="1:53" s="5" customFormat="1" ht="15.6" x14ac:dyDescent="0.3">
      <c r="A55" s="628" t="s">
        <v>957</v>
      </c>
    </row>
    <row r="57" spans="1:53" s="630" customFormat="1" x14ac:dyDescent="0.25">
      <c r="A57" s="630" t="s">
        <v>956</v>
      </c>
    </row>
    <row r="59" spans="1:53" ht="41.4" x14ac:dyDescent="0.25">
      <c r="A59" s="422" t="s">
        <v>848</v>
      </c>
      <c r="B59" s="247" t="s">
        <v>849</v>
      </c>
      <c r="C59" s="247" t="s">
        <v>850</v>
      </c>
      <c r="D59" s="247" t="s">
        <v>851</v>
      </c>
      <c r="E59" s="247" t="s">
        <v>852</v>
      </c>
      <c r="F59" s="247" t="s">
        <v>597</v>
      </c>
      <c r="G59" s="247" t="s">
        <v>598</v>
      </c>
      <c r="H59" s="247" t="s">
        <v>613</v>
      </c>
      <c r="I59" s="247" t="s">
        <v>614</v>
      </c>
      <c r="J59" s="247" t="s">
        <v>853</v>
      </c>
      <c r="K59" s="247" t="s">
        <v>599</v>
      </c>
      <c r="L59" s="247" t="s">
        <v>854</v>
      </c>
    </row>
    <row r="60" spans="1:53" s="31" customFormat="1" ht="46.5" customHeight="1" x14ac:dyDescent="0.3">
      <c r="A60" s="600" t="s">
        <v>703</v>
      </c>
      <c r="B60" s="593" t="s">
        <v>953</v>
      </c>
      <c r="C60" s="601">
        <f>'КМУ поликл. прием'!C151</f>
        <v>53.163469285289004</v>
      </c>
      <c r="D60" s="601">
        <f>C60*20.2%</f>
        <v>10.739020795628377</v>
      </c>
      <c r="E60" s="601">
        <f>'КМУ поликл. прием'!I151</f>
        <v>11.055</v>
      </c>
      <c r="F60" s="601">
        <f>'КМУ поликл. прием'!N151</f>
        <v>0.16400086094796795</v>
      </c>
      <c r="G60" s="601">
        <f>'КМУ поликл. прием'!S151</f>
        <v>0.20857139377847089</v>
      </c>
      <c r="H60" s="601">
        <f>'КМУ поликл. прием'!Y151</f>
        <v>8.6978382876862383</v>
      </c>
      <c r="I60" s="601">
        <f>'КМУ поликл. прием'!Z151</f>
        <v>109.25204224183659</v>
      </c>
      <c r="J60" s="601">
        <f>SUM(C60:I60)</f>
        <v>193.27994286516665</v>
      </c>
      <c r="K60" s="289"/>
      <c r="L60" s="602"/>
      <c r="N60" s="627"/>
    </row>
    <row r="61" spans="1:53" s="31" customFormat="1" ht="41.25" customHeight="1" x14ac:dyDescent="0.3">
      <c r="A61" s="600" t="s">
        <v>707</v>
      </c>
      <c r="B61" s="593" t="s">
        <v>954</v>
      </c>
      <c r="C61" s="601">
        <f>'КМУ поликл. прием'!C191</f>
        <v>31.8980815711734</v>
      </c>
      <c r="D61" s="601">
        <f t="shared" ref="D61:D71" si="0">C61*20.2%</f>
        <v>6.4434124773770263</v>
      </c>
      <c r="E61" s="601">
        <f>'КМУ поликл. прием'!I191</f>
        <v>11.055</v>
      </c>
      <c r="F61" s="601">
        <f>'КМУ поликл. прием'!N191</f>
        <v>9.840051656878078E-2</v>
      </c>
      <c r="G61" s="601">
        <f>'КМУ поликл. прием'!S191</f>
        <v>0.1251428362670825</v>
      </c>
      <c r="H61" s="601">
        <f>'КМУ поликл. прием'!Y191</f>
        <v>5.2187029726117427</v>
      </c>
      <c r="I61" s="601">
        <f>'КМУ поликл. прием'!Z191</f>
        <v>71.30065532264048</v>
      </c>
      <c r="J61" s="601">
        <f t="shared" ref="J61:J71" si="1">SUM(C61:I61)</f>
        <v>126.1393956966385</v>
      </c>
      <c r="K61" s="289"/>
      <c r="L61" s="602"/>
      <c r="N61" s="627"/>
    </row>
    <row r="62" spans="1:53" s="31" customFormat="1" ht="40.5" customHeight="1" x14ac:dyDescent="0.3">
      <c r="A62" s="600" t="s">
        <v>703</v>
      </c>
      <c r="B62" s="593" t="s">
        <v>955</v>
      </c>
      <c r="C62" s="601">
        <f>'КМУ поликл. прием'!C201</f>
        <v>29.106812851562065</v>
      </c>
      <c r="D62" s="601">
        <f t="shared" si="0"/>
        <v>5.8795761960155364</v>
      </c>
      <c r="E62" s="601">
        <f>'КМУ поликл. прием'!I201</f>
        <v>11.055</v>
      </c>
      <c r="F62" s="601">
        <f>'КМУ поликл. прием'!N201</f>
        <v>8.2000430473983976E-2</v>
      </c>
      <c r="G62" s="601">
        <f>'КМУ поликл. прием'!S201</f>
        <v>0.10428569688923545</v>
      </c>
      <c r="H62" s="601">
        <f>'КМУ поликл. прием'!Y201</f>
        <v>4.3489191438431192</v>
      </c>
      <c r="I62" s="601">
        <f>'КМУ поликл. прием'!Z201</f>
        <v>65.759065476757286</v>
      </c>
      <c r="J62" s="601">
        <f t="shared" si="1"/>
        <v>116.33565979554123</v>
      </c>
      <c r="K62" s="289"/>
      <c r="L62" s="602"/>
      <c r="N62" s="627"/>
    </row>
    <row r="63" spans="1:53" s="31" customFormat="1" ht="27.6" x14ac:dyDescent="0.3">
      <c r="A63" s="600" t="s">
        <v>1073</v>
      </c>
      <c r="B63" s="597" t="s">
        <v>1528</v>
      </c>
      <c r="C63" s="289">
        <f>'КМУ стом.'!C21</f>
        <v>42.909355545469502</v>
      </c>
      <c r="D63" s="289">
        <f t="shared" si="0"/>
        <v>8.6676898201848385</v>
      </c>
      <c r="E63" s="289">
        <f>'КМУ стом.'!I21</f>
        <v>16.0517</v>
      </c>
      <c r="F63" s="287">
        <f>'КМУ стом.'!N11</f>
        <v>9.7177053508634495E-2</v>
      </c>
      <c r="G63" s="287">
        <f>'КМУ стом.'!S11</f>
        <v>4.1503124387477399</v>
      </c>
      <c r="H63" s="287">
        <f>'КМУ стом.'!Y21</f>
        <v>10.307632433223615</v>
      </c>
      <c r="I63" s="289">
        <f>'КМУ стом.'!Z21</f>
        <v>106.85445279821236</v>
      </c>
      <c r="J63" s="601">
        <f t="shared" si="1"/>
        <v>189.03832008934668</v>
      </c>
      <c r="K63" s="601"/>
      <c r="L63" s="603"/>
      <c r="N63" s="627"/>
    </row>
    <row r="64" spans="1:53" s="621" customFormat="1" ht="46.5" customHeight="1" x14ac:dyDescent="0.3">
      <c r="A64" s="424" t="s">
        <v>243</v>
      </c>
      <c r="B64" s="629" t="s">
        <v>244</v>
      </c>
      <c r="C64" s="619">
        <f>'КМУ рентгенкабинет'!C9</f>
        <v>68.881562852096209</v>
      </c>
      <c r="D64" s="619">
        <f t="shared" si="0"/>
        <v>13.914075696123433</v>
      </c>
      <c r="E64" s="619">
        <f>'КМУ рентгенкабинет'!I9</f>
        <v>6.5736000000000008</v>
      </c>
      <c r="F64" s="618">
        <f>'КМУ рентгенкабинет'!N9</f>
        <v>0.24128280765448903</v>
      </c>
      <c r="G64" s="618">
        <f>'КМУ рентгенкабинет'!S9</f>
        <v>2.5887451781257091</v>
      </c>
      <c r="H64" s="618">
        <f>'КМУ рентгенкабинет'!Y9</f>
        <v>13.959830324483772</v>
      </c>
      <c r="I64" s="619">
        <f>'КМУ рентгенкабинет'!Z9</f>
        <v>138.02675121360943</v>
      </c>
      <c r="J64" s="601">
        <f t="shared" si="1"/>
        <v>244.18584807209305</v>
      </c>
      <c r="K64" s="625"/>
      <c r="L64" s="620"/>
      <c r="M64" s="624"/>
      <c r="N64" s="627"/>
    </row>
    <row r="65" spans="1:14" s="599" customFormat="1" ht="27.6" x14ac:dyDescent="0.3">
      <c r="A65" s="424" t="s">
        <v>275</v>
      </c>
      <c r="B65" s="622" t="s">
        <v>1630</v>
      </c>
      <c r="C65" s="619">
        <f>'КМУ рентгенкабинет'!C29</f>
        <v>114.12710832513658</v>
      </c>
      <c r="D65" s="619">
        <f t="shared" si="0"/>
        <v>23.053675881677588</v>
      </c>
      <c r="E65" s="619">
        <f>'КМУ рентгенкабинет'!I29</f>
        <v>83.8536</v>
      </c>
      <c r="F65" s="618">
        <f>'КМУ рентгенкабинет'!N29</f>
        <v>0.43869601391725277</v>
      </c>
      <c r="G65" s="618">
        <f>'КМУ рентгенкабинет'!S29</f>
        <v>0.26966095605476131</v>
      </c>
      <c r="H65" s="618">
        <f>'КМУ рентгенкабинет'!Y29</f>
        <v>17.449787905604715</v>
      </c>
      <c r="I65" s="619">
        <f>'КМУ рентгенкабинет'!Z29</f>
        <v>310.99518252138222</v>
      </c>
      <c r="J65" s="601">
        <f t="shared" si="1"/>
        <v>550.1877116037731</v>
      </c>
      <c r="K65" s="625"/>
      <c r="L65" s="620"/>
      <c r="M65" s="624"/>
      <c r="N65" s="627"/>
    </row>
    <row r="66" spans="1:14" s="31" customFormat="1" ht="15.6" x14ac:dyDescent="0.3">
      <c r="A66" s="605" t="s">
        <v>316</v>
      </c>
      <c r="B66" s="593" t="s">
        <v>577</v>
      </c>
      <c r="C66" s="289">
        <f>'КМУ параклиника '!C422</f>
        <v>44.84024761602609</v>
      </c>
      <c r="D66" s="289">
        <f t="shared" si="0"/>
        <v>9.0577300184372689</v>
      </c>
      <c r="E66" s="289">
        <f>'КМУ параклиника '!I422</f>
        <v>7.3936000000000011</v>
      </c>
      <c r="F66" s="287">
        <f>'КМУ параклиника '!N422</f>
        <v>0.16400086094796795</v>
      </c>
      <c r="G66" s="287">
        <f>'КМУ параклиника '!S422</f>
        <v>9.8377551924086384E-2</v>
      </c>
      <c r="H66" s="289">
        <f>'КМУ параклиника '!Y422</f>
        <v>4.3489191438431192</v>
      </c>
      <c r="I66" s="289">
        <f>'КМУ параклиника '!Z422</f>
        <v>85.686107243360794</v>
      </c>
      <c r="J66" s="601">
        <f t="shared" si="1"/>
        <v>151.58898243453933</v>
      </c>
      <c r="K66" s="626"/>
      <c r="L66" s="602"/>
      <c r="M66" s="623"/>
      <c r="N66" s="627"/>
    </row>
    <row r="67" spans="1:14" s="31" customFormat="1" ht="12.6" customHeight="1" x14ac:dyDescent="0.3">
      <c r="A67" s="425" t="s">
        <v>519</v>
      </c>
      <c r="B67" s="248" t="s">
        <v>326</v>
      </c>
      <c r="C67" s="601">
        <f>'КМУ параклиника '!C502</f>
        <v>80.742464701018662</v>
      </c>
      <c r="D67" s="601">
        <f>'КМУ параклиника '!D502</f>
        <v>16.30997786960577</v>
      </c>
      <c r="E67" s="601">
        <f>'КМУ параклиника '!I502</f>
        <v>6.5736000000000008</v>
      </c>
      <c r="F67" s="601">
        <f>'КМУ параклиника '!N502</f>
        <v>0.26240137751674875</v>
      </c>
      <c r="G67" s="601">
        <f>'КМУ параклиника '!S502</f>
        <v>9.8377551924086384E-2</v>
      </c>
      <c r="H67" s="601">
        <f>'КМУ параклиника '!Y502</f>
        <v>4.3489191438431192</v>
      </c>
      <c r="I67" s="601">
        <f>'КМУ параклиника '!Z502</f>
        <v>140.85679667501697</v>
      </c>
      <c r="J67" s="601">
        <f t="shared" si="1"/>
        <v>249.19253731892536</v>
      </c>
      <c r="K67" s="626"/>
      <c r="L67" s="602"/>
      <c r="M67" s="623"/>
      <c r="N67" s="627"/>
    </row>
    <row r="68" spans="1:14" s="31" customFormat="1" ht="15.6" x14ac:dyDescent="0.3">
      <c r="A68" s="425" t="s">
        <v>520</v>
      </c>
      <c r="B68" s="248" t="s">
        <v>591</v>
      </c>
      <c r="C68" s="601">
        <f>'КМУ параклиника '!C432</f>
        <v>33.630185712019568</v>
      </c>
      <c r="D68" s="601">
        <f>'КМУ параклиника '!D432</f>
        <v>6.7932975138279534</v>
      </c>
      <c r="E68" s="601">
        <f>'КМУ параклиника '!I432</f>
        <v>6.5736000000000008</v>
      </c>
      <c r="F68" s="601">
        <f>'КМУ параклиника '!N432</f>
        <v>8.4000000000000005E-2</v>
      </c>
      <c r="G68" s="601">
        <f>'КМУ параклиника '!S432</f>
        <v>5.9019000000000004</v>
      </c>
      <c r="H68" s="601">
        <f>'КМУ параклиника '!Y432</f>
        <v>9.1999999999999998E-3</v>
      </c>
      <c r="I68" s="601">
        <f>'КМУ параклиника '!Z432</f>
        <v>68.899784444572944</v>
      </c>
      <c r="J68" s="601">
        <f t="shared" si="1"/>
        <v>121.89196767042046</v>
      </c>
      <c r="K68" s="626"/>
      <c r="L68" s="602"/>
      <c r="M68" s="623"/>
      <c r="N68" s="627"/>
    </row>
    <row r="69" spans="1:14" s="31" customFormat="1" ht="27.6" x14ac:dyDescent="0.3">
      <c r="A69" s="425" t="s">
        <v>322</v>
      </c>
      <c r="B69" s="248" t="s">
        <v>589</v>
      </c>
      <c r="C69" s="601">
        <f>'КМУ параклиника '!C492</f>
        <v>42.635758975439401</v>
      </c>
      <c r="D69" s="601">
        <f>'КМУ параклиника '!D492</f>
        <v>8.6124233130387591</v>
      </c>
      <c r="E69" s="601">
        <f>'КМУ параклиника '!I492</f>
        <v>6.5736000000000008</v>
      </c>
      <c r="F69" s="601">
        <f>'КМУ параклиника '!N492</f>
        <v>0.11480060266357756</v>
      </c>
      <c r="G69" s="601">
        <f>'КМУ параклиника '!S492</f>
        <v>9.8377551924086384E-2</v>
      </c>
      <c r="H69" s="601">
        <f>'КМУ параклиника '!Y492</f>
        <v>4.3489191438431192</v>
      </c>
      <c r="I69" s="601">
        <f>'КМУ параклиника '!Z492</f>
        <v>81.110752467690546</v>
      </c>
      <c r="J69" s="601">
        <f t="shared" si="1"/>
        <v>143.49463205459949</v>
      </c>
      <c r="K69" s="626"/>
      <c r="L69" s="602"/>
      <c r="M69" s="623"/>
      <c r="N69" s="627"/>
    </row>
    <row r="70" spans="1:14" s="31" customFormat="1" ht="27.6" x14ac:dyDescent="0.3">
      <c r="A70" s="605" t="s">
        <v>320</v>
      </c>
      <c r="B70" s="593" t="s">
        <v>318</v>
      </c>
      <c r="C70" s="289">
        <f>'КМУ параклиника '!C452</f>
        <v>44.84024761602609</v>
      </c>
      <c r="D70" s="289">
        <f t="shared" si="0"/>
        <v>9.0577300184372689</v>
      </c>
      <c r="E70" s="289">
        <f>'КМУ параклиника '!I452</f>
        <v>6.5736000000000008</v>
      </c>
      <c r="F70" s="287">
        <f>'КМУ параклиника '!N452</f>
        <v>0.16400086094796795</v>
      </c>
      <c r="G70" s="287">
        <f>'КМУ параклиника '!S452</f>
        <v>9.8377551924086384E-2</v>
      </c>
      <c r="H70" s="289">
        <f>'КМУ параклиника '!Y452</f>
        <v>4.3489191438431192</v>
      </c>
      <c r="I70" s="289">
        <f>'КМУ параклиника '!Z452</f>
        <v>84.619953335269074</v>
      </c>
      <c r="J70" s="601">
        <f t="shared" si="1"/>
        <v>149.7028285264476</v>
      </c>
      <c r="K70" s="626"/>
      <c r="L70" s="602"/>
      <c r="M70" s="623"/>
      <c r="N70" s="627"/>
    </row>
    <row r="71" spans="1:14" s="31" customFormat="1" ht="30" customHeight="1" x14ac:dyDescent="0.3">
      <c r="A71" s="600" t="s">
        <v>1070</v>
      </c>
      <c r="B71" s="593" t="s">
        <v>1252</v>
      </c>
      <c r="C71" s="289">
        <f>'КМУ гинекол.каб.'!C67</f>
        <v>32.928947859666224</v>
      </c>
      <c r="D71" s="289">
        <f t="shared" si="0"/>
        <v>6.6516474676525768</v>
      </c>
      <c r="E71" s="289">
        <f>'КМУ гинекол.каб.'!I67</f>
        <v>13.11</v>
      </c>
      <c r="F71" s="289">
        <f>'КМУ гинекол.каб.'!N77</f>
        <v>8.2000430473983976E-2</v>
      </c>
      <c r="G71" s="289">
        <f>'КМУ гинекол.каб.'!S77</f>
        <v>0.20857139377847089</v>
      </c>
      <c r="H71" s="289">
        <f>'КМУ гинекол.каб.'!Y77</f>
        <v>8.6978382876862383</v>
      </c>
      <c r="I71" s="289">
        <f>'КМУ гинекол.каб.'!Z67</f>
        <v>74.350973673277494</v>
      </c>
      <c r="J71" s="601">
        <f t="shared" si="1"/>
        <v>136.02997911253499</v>
      </c>
      <c r="K71" s="289"/>
      <c r="L71" s="602"/>
      <c r="N71" s="627"/>
    </row>
    <row r="72" spans="1:14" s="630" customFormat="1" x14ac:dyDescent="0.25">
      <c r="A72" s="1057" t="s">
        <v>854</v>
      </c>
      <c r="B72" s="1058"/>
      <c r="C72" s="632">
        <f>SUM(C60:C71)</f>
        <v>619.70424291092274</v>
      </c>
      <c r="D72" s="632">
        <f t="shared" ref="D72:I72" si="2">SUM(D60:D71)</f>
        <v>125.18025706800641</v>
      </c>
      <c r="E72" s="632">
        <f t="shared" si="2"/>
        <v>186.44189999999998</v>
      </c>
      <c r="F72" s="632">
        <f t="shared" si="2"/>
        <v>1.9927618156213556</v>
      </c>
      <c r="G72" s="632">
        <f t="shared" si="2"/>
        <v>13.950700101337816</v>
      </c>
      <c r="H72" s="632">
        <f t="shared" si="2"/>
        <v>86.085425930511931</v>
      </c>
      <c r="I72" s="632">
        <f t="shared" si="2"/>
        <v>1337.7125174136261</v>
      </c>
      <c r="J72" s="632">
        <f>SUM(J60:J71)</f>
        <v>2371.0678052400262</v>
      </c>
      <c r="K72" s="633"/>
      <c r="L72" s="631">
        <f>J72+(J72*K72)</f>
        <v>2371.0678052400262</v>
      </c>
    </row>
    <row r="74" spans="1:14" s="630" customFormat="1" x14ac:dyDescent="0.25">
      <c r="A74" s="630" t="s">
        <v>958</v>
      </c>
    </row>
    <row r="77" spans="1:14" ht="41.4" x14ac:dyDescent="0.25">
      <c r="A77" s="422" t="s">
        <v>848</v>
      </c>
      <c r="B77" s="247" t="s">
        <v>849</v>
      </c>
      <c r="C77" s="247" t="s">
        <v>850</v>
      </c>
      <c r="D77" s="247" t="s">
        <v>851</v>
      </c>
      <c r="E77" s="247" t="s">
        <v>852</v>
      </c>
      <c r="F77" s="247" t="s">
        <v>597</v>
      </c>
      <c r="G77" s="247" t="s">
        <v>598</v>
      </c>
      <c r="H77" s="247" t="s">
        <v>613</v>
      </c>
      <c r="I77" s="247" t="s">
        <v>614</v>
      </c>
      <c r="J77" s="247" t="s">
        <v>853</v>
      </c>
      <c r="K77" s="247" t="s">
        <v>599</v>
      </c>
      <c r="L77" s="247" t="s">
        <v>854</v>
      </c>
    </row>
    <row r="78" spans="1:14" s="31" customFormat="1" ht="46.5" customHeight="1" x14ac:dyDescent="0.3">
      <c r="A78" s="600" t="s">
        <v>703</v>
      </c>
      <c r="B78" s="593" t="s">
        <v>953</v>
      </c>
      <c r="C78" s="601">
        <f t="shared" ref="C78:C84" si="3">C60</f>
        <v>53.163469285289004</v>
      </c>
      <c r="D78" s="601">
        <f t="shared" ref="D78:I78" si="4">D60</f>
        <v>10.739020795628377</v>
      </c>
      <c r="E78" s="601">
        <f t="shared" si="4"/>
        <v>11.055</v>
      </c>
      <c r="F78" s="601">
        <f t="shared" si="4"/>
        <v>0.16400086094796795</v>
      </c>
      <c r="G78" s="601">
        <f t="shared" si="4"/>
        <v>0.20857139377847089</v>
      </c>
      <c r="H78" s="601">
        <f t="shared" si="4"/>
        <v>8.6978382876862383</v>
      </c>
      <c r="I78" s="601">
        <f t="shared" si="4"/>
        <v>109.25204224183659</v>
      </c>
      <c r="J78" s="601">
        <f>SUM(C78:I78)</f>
        <v>193.27994286516665</v>
      </c>
      <c r="K78" s="289"/>
      <c r="L78" s="602"/>
      <c r="N78" s="627"/>
    </row>
    <row r="79" spans="1:14" s="31" customFormat="1" ht="41.25" customHeight="1" x14ac:dyDescent="0.3">
      <c r="A79" s="600" t="s">
        <v>707</v>
      </c>
      <c r="B79" s="593" t="s">
        <v>954</v>
      </c>
      <c r="C79" s="601">
        <f t="shared" si="3"/>
        <v>31.8980815711734</v>
      </c>
      <c r="D79" s="601">
        <f t="shared" ref="D79:I84" si="5">D61</f>
        <v>6.4434124773770263</v>
      </c>
      <c r="E79" s="601">
        <f t="shared" si="5"/>
        <v>11.055</v>
      </c>
      <c r="F79" s="601">
        <f t="shared" si="5"/>
        <v>9.840051656878078E-2</v>
      </c>
      <c r="G79" s="601">
        <f t="shared" si="5"/>
        <v>0.1251428362670825</v>
      </c>
      <c r="H79" s="601">
        <f t="shared" si="5"/>
        <v>5.2187029726117427</v>
      </c>
      <c r="I79" s="601">
        <f t="shared" si="5"/>
        <v>71.30065532264048</v>
      </c>
      <c r="J79" s="601">
        <f t="shared" ref="J79:J89" si="6">SUM(C79:I79)</f>
        <v>126.1393956966385</v>
      </c>
      <c r="K79" s="289"/>
      <c r="L79" s="602"/>
      <c r="N79" s="627"/>
    </row>
    <row r="80" spans="1:14" s="31" customFormat="1" ht="40.5" customHeight="1" x14ac:dyDescent="0.3">
      <c r="A80" s="600" t="s">
        <v>703</v>
      </c>
      <c r="B80" s="593" t="s">
        <v>955</v>
      </c>
      <c r="C80" s="601">
        <f t="shared" si="3"/>
        <v>29.106812851562065</v>
      </c>
      <c r="D80" s="601">
        <f t="shared" si="5"/>
        <v>5.8795761960155364</v>
      </c>
      <c r="E80" s="601">
        <f t="shared" si="5"/>
        <v>11.055</v>
      </c>
      <c r="F80" s="601">
        <f t="shared" si="5"/>
        <v>8.2000430473983976E-2</v>
      </c>
      <c r="G80" s="601">
        <f t="shared" si="5"/>
        <v>0.10428569688923545</v>
      </c>
      <c r="H80" s="601">
        <f t="shared" si="5"/>
        <v>4.3489191438431192</v>
      </c>
      <c r="I80" s="601">
        <f t="shared" si="5"/>
        <v>65.759065476757286</v>
      </c>
      <c r="J80" s="601">
        <f t="shared" si="6"/>
        <v>116.33565979554123</v>
      </c>
      <c r="K80" s="289"/>
      <c r="L80" s="602"/>
      <c r="N80" s="627"/>
    </row>
    <row r="81" spans="1:14" s="31" customFormat="1" ht="27.6" x14ac:dyDescent="0.3">
      <c r="A81" s="600" t="s">
        <v>1073</v>
      </c>
      <c r="B81" s="597" t="s">
        <v>1528</v>
      </c>
      <c r="C81" s="601">
        <f t="shared" si="3"/>
        <v>42.909355545469502</v>
      </c>
      <c r="D81" s="601">
        <f t="shared" si="5"/>
        <v>8.6676898201848385</v>
      </c>
      <c r="E81" s="601">
        <f t="shared" si="5"/>
        <v>16.0517</v>
      </c>
      <c r="F81" s="601">
        <f t="shared" si="5"/>
        <v>9.7177053508634495E-2</v>
      </c>
      <c r="G81" s="601">
        <f t="shared" si="5"/>
        <v>4.1503124387477399</v>
      </c>
      <c r="H81" s="601">
        <f t="shared" si="5"/>
        <v>10.307632433223615</v>
      </c>
      <c r="I81" s="601">
        <f t="shared" si="5"/>
        <v>106.85445279821236</v>
      </c>
      <c r="J81" s="601">
        <f t="shared" si="6"/>
        <v>189.03832008934668</v>
      </c>
      <c r="K81" s="601"/>
      <c r="L81" s="603"/>
      <c r="N81" s="627"/>
    </row>
    <row r="82" spans="1:14" s="621" customFormat="1" ht="46.5" customHeight="1" x14ac:dyDescent="0.3">
      <c r="A82" s="424" t="s">
        <v>243</v>
      </c>
      <c r="B82" s="629" t="s">
        <v>244</v>
      </c>
      <c r="C82" s="601">
        <f t="shared" si="3"/>
        <v>68.881562852096209</v>
      </c>
      <c r="D82" s="601">
        <f t="shared" si="5"/>
        <v>13.914075696123433</v>
      </c>
      <c r="E82" s="601">
        <f t="shared" si="5"/>
        <v>6.5736000000000008</v>
      </c>
      <c r="F82" s="601">
        <f t="shared" si="5"/>
        <v>0.24128280765448903</v>
      </c>
      <c r="G82" s="601">
        <f t="shared" si="5"/>
        <v>2.5887451781257091</v>
      </c>
      <c r="H82" s="601">
        <f t="shared" si="5"/>
        <v>13.959830324483772</v>
      </c>
      <c r="I82" s="601">
        <f t="shared" si="5"/>
        <v>138.02675121360943</v>
      </c>
      <c r="J82" s="601">
        <f t="shared" si="6"/>
        <v>244.18584807209305</v>
      </c>
      <c r="K82" s="625"/>
      <c r="L82" s="620"/>
      <c r="M82" s="624"/>
      <c r="N82" s="627"/>
    </row>
    <row r="83" spans="1:14" s="599" customFormat="1" ht="27.6" x14ac:dyDescent="0.3">
      <c r="A83" s="424" t="s">
        <v>275</v>
      </c>
      <c r="B83" s="622" t="s">
        <v>1630</v>
      </c>
      <c r="C83" s="601">
        <f t="shared" si="3"/>
        <v>114.12710832513658</v>
      </c>
      <c r="D83" s="601">
        <f t="shared" si="5"/>
        <v>23.053675881677588</v>
      </c>
      <c r="E83" s="601">
        <f t="shared" si="5"/>
        <v>83.8536</v>
      </c>
      <c r="F83" s="601">
        <f t="shared" si="5"/>
        <v>0.43869601391725277</v>
      </c>
      <c r="G83" s="601">
        <f t="shared" si="5"/>
        <v>0.26966095605476131</v>
      </c>
      <c r="H83" s="601">
        <f t="shared" si="5"/>
        <v>17.449787905604715</v>
      </c>
      <c r="I83" s="601">
        <f t="shared" si="5"/>
        <v>310.99518252138222</v>
      </c>
      <c r="J83" s="601">
        <f t="shared" si="6"/>
        <v>550.1877116037731</v>
      </c>
      <c r="K83" s="625"/>
      <c r="L83" s="620"/>
      <c r="M83" s="624"/>
      <c r="N83" s="627"/>
    </row>
    <row r="84" spans="1:14" s="31" customFormat="1" ht="15.6" x14ac:dyDescent="0.3">
      <c r="A84" s="605" t="s">
        <v>316</v>
      </c>
      <c r="B84" s="593" t="s">
        <v>577</v>
      </c>
      <c r="C84" s="601">
        <f t="shared" si="3"/>
        <v>44.84024761602609</v>
      </c>
      <c r="D84" s="601">
        <f t="shared" si="5"/>
        <v>9.0577300184372689</v>
      </c>
      <c r="E84" s="601">
        <f t="shared" si="5"/>
        <v>7.3936000000000011</v>
      </c>
      <c r="F84" s="601">
        <f t="shared" si="5"/>
        <v>0.16400086094796795</v>
      </c>
      <c r="G84" s="601">
        <f t="shared" si="5"/>
        <v>9.8377551924086384E-2</v>
      </c>
      <c r="H84" s="601">
        <f t="shared" si="5"/>
        <v>4.3489191438431192</v>
      </c>
      <c r="I84" s="601">
        <f t="shared" si="5"/>
        <v>85.686107243360794</v>
      </c>
      <c r="J84" s="601">
        <f t="shared" si="6"/>
        <v>151.58898243453933</v>
      </c>
      <c r="K84" s="626"/>
      <c r="L84" s="602"/>
      <c r="M84" s="623"/>
      <c r="N84" s="627"/>
    </row>
    <row r="85" spans="1:14" s="31" customFormat="1" ht="12.6" customHeight="1" x14ac:dyDescent="0.3">
      <c r="A85" s="425" t="s">
        <v>519</v>
      </c>
      <c r="B85" s="248" t="s">
        <v>326</v>
      </c>
      <c r="C85" s="601">
        <f>'КМУ параклиника '!C502</f>
        <v>80.742464701018662</v>
      </c>
      <c r="D85" s="601">
        <f>'КМУ параклиника '!D502</f>
        <v>16.30997786960577</v>
      </c>
      <c r="E85" s="601">
        <f>'КМУ параклиника '!I502</f>
        <v>6.5736000000000008</v>
      </c>
      <c r="F85" s="601">
        <f>'КМУ параклиника '!N502</f>
        <v>0.26240137751674875</v>
      </c>
      <c r="G85" s="601">
        <f>'КМУ параклиника '!S502</f>
        <v>9.8377551924086384E-2</v>
      </c>
      <c r="H85" s="601">
        <f>'КМУ параклиника '!Y502</f>
        <v>4.3489191438431192</v>
      </c>
      <c r="I85" s="601">
        <f>'КМУ параклиника '!Z502</f>
        <v>140.85679667501697</v>
      </c>
      <c r="J85" s="601">
        <f t="shared" si="6"/>
        <v>249.19253731892536</v>
      </c>
      <c r="K85" s="626"/>
      <c r="L85" s="602"/>
      <c r="M85" s="623"/>
      <c r="N85" s="627"/>
    </row>
    <row r="86" spans="1:14" s="31" customFormat="1" ht="15.6" x14ac:dyDescent="0.3">
      <c r="A86" s="425" t="s">
        <v>520</v>
      </c>
      <c r="B86" s="248" t="s">
        <v>591</v>
      </c>
      <c r="C86" s="601">
        <f>'КМУ параклиника '!C432</f>
        <v>33.630185712019568</v>
      </c>
      <c r="D86" s="601">
        <f>'КМУ параклиника '!D432</f>
        <v>6.7932975138279534</v>
      </c>
      <c r="E86" s="601">
        <f>'КМУ параклиника '!I432</f>
        <v>6.5736000000000008</v>
      </c>
      <c r="F86" s="601">
        <f>'КМУ параклиника '!N432</f>
        <v>8.4000000000000005E-2</v>
      </c>
      <c r="G86" s="601">
        <f>'КМУ параклиника '!S432</f>
        <v>5.9019000000000004</v>
      </c>
      <c r="H86" s="601">
        <f>'КМУ параклиника '!Y432</f>
        <v>9.1999999999999998E-3</v>
      </c>
      <c r="I86" s="601">
        <f>'КМУ параклиника '!Z432</f>
        <v>68.899784444572944</v>
      </c>
      <c r="J86" s="601">
        <f t="shared" si="6"/>
        <v>121.89196767042046</v>
      </c>
      <c r="K86" s="626"/>
      <c r="L86" s="602"/>
      <c r="M86" s="623"/>
      <c r="N86" s="627"/>
    </row>
    <row r="87" spans="1:14" s="31" customFormat="1" ht="27.6" x14ac:dyDescent="0.3">
      <c r="A87" s="425" t="s">
        <v>322</v>
      </c>
      <c r="B87" s="248" t="s">
        <v>589</v>
      </c>
      <c r="C87" s="601">
        <f>'КМУ параклиника '!C492</f>
        <v>42.635758975439401</v>
      </c>
      <c r="D87" s="601">
        <f>'КМУ параклиника '!D492</f>
        <v>8.6124233130387591</v>
      </c>
      <c r="E87" s="601">
        <f>'КМУ параклиника '!I492</f>
        <v>6.5736000000000008</v>
      </c>
      <c r="F87" s="601">
        <f>'КМУ параклиника '!N492</f>
        <v>0.11480060266357756</v>
      </c>
      <c r="G87" s="601">
        <f>'КМУ параклиника '!S492</f>
        <v>9.8377551924086384E-2</v>
      </c>
      <c r="H87" s="601">
        <f>'КМУ параклиника '!Y492</f>
        <v>4.3489191438431192</v>
      </c>
      <c r="I87" s="601">
        <f>'КМУ параклиника '!Z492</f>
        <v>81.110752467690546</v>
      </c>
      <c r="J87" s="601">
        <f t="shared" si="6"/>
        <v>143.49463205459949</v>
      </c>
      <c r="K87" s="626"/>
      <c r="L87" s="602"/>
      <c r="M87" s="623"/>
      <c r="N87" s="627"/>
    </row>
    <row r="88" spans="1:14" s="31" customFormat="1" ht="27.6" x14ac:dyDescent="0.3">
      <c r="A88" s="605" t="s">
        <v>320</v>
      </c>
      <c r="B88" s="593" t="s">
        <v>318</v>
      </c>
      <c r="C88" s="601">
        <f t="shared" ref="C88:I88" si="7">C70</f>
        <v>44.84024761602609</v>
      </c>
      <c r="D88" s="601">
        <f t="shared" si="7"/>
        <v>9.0577300184372689</v>
      </c>
      <c r="E88" s="601">
        <f t="shared" si="7"/>
        <v>6.5736000000000008</v>
      </c>
      <c r="F88" s="601">
        <f t="shared" si="7"/>
        <v>0.16400086094796795</v>
      </c>
      <c r="G88" s="601">
        <f t="shared" si="7"/>
        <v>9.8377551924086384E-2</v>
      </c>
      <c r="H88" s="601">
        <f t="shared" si="7"/>
        <v>4.3489191438431192</v>
      </c>
      <c r="I88" s="601">
        <f t="shared" si="7"/>
        <v>84.619953335269074</v>
      </c>
      <c r="J88" s="601">
        <f t="shared" si="6"/>
        <v>149.7028285264476</v>
      </c>
      <c r="K88" s="626"/>
      <c r="L88" s="602"/>
      <c r="M88" s="623"/>
      <c r="N88" s="627"/>
    </row>
    <row r="89" spans="1:14" s="31" customFormat="1" ht="30" customHeight="1" x14ac:dyDescent="0.3">
      <c r="A89" s="600" t="s">
        <v>1070</v>
      </c>
      <c r="B89" s="593" t="s">
        <v>1252</v>
      </c>
      <c r="C89" s="601">
        <f t="shared" ref="C89:I89" si="8">C71</f>
        <v>32.928947859666224</v>
      </c>
      <c r="D89" s="601">
        <f t="shared" si="8"/>
        <v>6.6516474676525768</v>
      </c>
      <c r="E89" s="601">
        <f t="shared" si="8"/>
        <v>13.11</v>
      </c>
      <c r="F89" s="601">
        <f t="shared" si="8"/>
        <v>8.2000430473983976E-2</v>
      </c>
      <c r="G89" s="601">
        <f t="shared" si="8"/>
        <v>0.20857139377847089</v>
      </c>
      <c r="H89" s="601">
        <f t="shared" si="8"/>
        <v>8.6978382876862383</v>
      </c>
      <c r="I89" s="601">
        <f t="shared" si="8"/>
        <v>74.350973673277494</v>
      </c>
      <c r="J89" s="601">
        <f t="shared" si="6"/>
        <v>136.02997911253499</v>
      </c>
      <c r="K89" s="289"/>
      <c r="L89" s="602"/>
      <c r="N89" s="627"/>
    </row>
    <row r="90" spans="1:14" s="630" customFormat="1" x14ac:dyDescent="0.25">
      <c r="A90" s="1057" t="s">
        <v>854</v>
      </c>
      <c r="B90" s="1058"/>
      <c r="C90" s="632">
        <f t="shared" ref="C90:J90" si="9">SUM(C78:C89)</f>
        <v>619.70424291092274</v>
      </c>
      <c r="D90" s="632">
        <f t="shared" si="9"/>
        <v>125.18025706800641</v>
      </c>
      <c r="E90" s="632">
        <f t="shared" si="9"/>
        <v>186.44189999999998</v>
      </c>
      <c r="F90" s="632">
        <f t="shared" si="9"/>
        <v>1.9927618156213556</v>
      </c>
      <c r="G90" s="632">
        <f t="shared" si="9"/>
        <v>13.950700101337816</v>
      </c>
      <c r="H90" s="632">
        <f t="shared" si="9"/>
        <v>86.085425930511931</v>
      </c>
      <c r="I90" s="632">
        <f t="shared" si="9"/>
        <v>1337.7125174136261</v>
      </c>
      <c r="J90" s="632">
        <f t="shared" si="9"/>
        <v>2371.0678052400262</v>
      </c>
      <c r="K90" s="633">
        <v>0.12</v>
      </c>
      <c r="L90" s="631">
        <f>J90+(J90*K90)</f>
        <v>2655.5959418688294</v>
      </c>
    </row>
    <row r="93" spans="1:14" s="630" customFormat="1" x14ac:dyDescent="0.25">
      <c r="A93" s="630" t="s">
        <v>959</v>
      </c>
    </row>
    <row r="95" spans="1:14" ht="41.4" x14ac:dyDescent="0.25">
      <c r="A95" s="422" t="s">
        <v>848</v>
      </c>
      <c r="B95" s="247" t="s">
        <v>849</v>
      </c>
      <c r="C95" s="247" t="s">
        <v>850</v>
      </c>
      <c r="D95" s="247" t="s">
        <v>851</v>
      </c>
      <c r="E95" s="247" t="s">
        <v>852</v>
      </c>
      <c r="F95" s="247" t="s">
        <v>597</v>
      </c>
      <c r="G95" s="247" t="s">
        <v>598</v>
      </c>
      <c r="H95" s="247" t="s">
        <v>613</v>
      </c>
      <c r="I95" s="247" t="s">
        <v>614</v>
      </c>
      <c r="J95" s="247" t="s">
        <v>853</v>
      </c>
      <c r="K95" s="247" t="s">
        <v>599</v>
      </c>
      <c r="L95" s="247" t="s">
        <v>854</v>
      </c>
    </row>
    <row r="96" spans="1:14" s="31" customFormat="1" ht="46.5" customHeight="1" x14ac:dyDescent="0.3">
      <c r="A96" s="600" t="s">
        <v>703</v>
      </c>
      <c r="B96" s="593" t="s">
        <v>953</v>
      </c>
      <c r="C96" s="601">
        <f>C78</f>
        <v>53.163469285289004</v>
      </c>
      <c r="D96" s="601">
        <f t="shared" ref="D96:I96" si="10">D78</f>
        <v>10.739020795628377</v>
      </c>
      <c r="E96" s="601">
        <f t="shared" si="10"/>
        <v>11.055</v>
      </c>
      <c r="F96" s="601">
        <f t="shared" si="10"/>
        <v>0.16400086094796795</v>
      </c>
      <c r="G96" s="601">
        <f t="shared" si="10"/>
        <v>0.20857139377847089</v>
      </c>
      <c r="H96" s="601">
        <f>H78</f>
        <v>8.6978382876862383</v>
      </c>
      <c r="I96" s="601">
        <f t="shared" si="10"/>
        <v>109.25204224183659</v>
      </c>
      <c r="J96" s="601">
        <f>SUM(C96:I96)</f>
        <v>193.27994286516665</v>
      </c>
      <c r="K96" s="289"/>
      <c r="L96" s="602"/>
      <c r="N96" s="627"/>
    </row>
    <row r="97" spans="1:14" s="31" customFormat="1" ht="41.25" customHeight="1" x14ac:dyDescent="0.3">
      <c r="A97" s="600" t="s">
        <v>707</v>
      </c>
      <c r="B97" s="593" t="s">
        <v>954</v>
      </c>
      <c r="C97" s="601">
        <f t="shared" ref="C97:I97" si="11">C79</f>
        <v>31.8980815711734</v>
      </c>
      <c r="D97" s="601">
        <f t="shared" si="11"/>
        <v>6.4434124773770263</v>
      </c>
      <c r="E97" s="601">
        <f t="shared" si="11"/>
        <v>11.055</v>
      </c>
      <c r="F97" s="601">
        <f t="shared" si="11"/>
        <v>9.840051656878078E-2</v>
      </c>
      <c r="G97" s="601">
        <f t="shared" si="11"/>
        <v>0.1251428362670825</v>
      </c>
      <c r="H97" s="601">
        <f t="shared" si="11"/>
        <v>5.2187029726117427</v>
      </c>
      <c r="I97" s="601">
        <f t="shared" si="11"/>
        <v>71.30065532264048</v>
      </c>
      <c r="J97" s="601">
        <f t="shared" ref="J97:J107" si="12">SUM(C97:I97)</f>
        <v>126.1393956966385</v>
      </c>
      <c r="K97" s="289"/>
      <c r="L97" s="602"/>
      <c r="N97" s="627"/>
    </row>
    <row r="98" spans="1:14" s="31" customFormat="1" ht="40.5" customHeight="1" x14ac:dyDescent="0.3">
      <c r="A98" s="600" t="s">
        <v>703</v>
      </c>
      <c r="B98" s="593" t="s">
        <v>955</v>
      </c>
      <c r="C98" s="601">
        <f t="shared" ref="C98:I98" si="13">C80</f>
        <v>29.106812851562065</v>
      </c>
      <c r="D98" s="601">
        <f t="shared" si="13"/>
        <v>5.8795761960155364</v>
      </c>
      <c r="E98" s="601">
        <f t="shared" si="13"/>
        <v>11.055</v>
      </c>
      <c r="F98" s="601">
        <f t="shared" si="13"/>
        <v>8.2000430473983976E-2</v>
      </c>
      <c r="G98" s="601">
        <f t="shared" si="13"/>
        <v>0.10428569688923545</v>
      </c>
      <c r="H98" s="601">
        <f t="shared" si="13"/>
        <v>4.3489191438431192</v>
      </c>
      <c r="I98" s="601">
        <f t="shared" si="13"/>
        <v>65.759065476757286</v>
      </c>
      <c r="J98" s="601">
        <f t="shared" si="12"/>
        <v>116.33565979554123</v>
      </c>
      <c r="K98" s="289"/>
      <c r="L98" s="602"/>
      <c r="N98" s="627"/>
    </row>
    <row r="99" spans="1:14" s="31" customFormat="1" ht="27.6" x14ac:dyDescent="0.3">
      <c r="A99" s="600" t="s">
        <v>1073</v>
      </c>
      <c r="B99" s="597" t="s">
        <v>1528</v>
      </c>
      <c r="C99" s="601">
        <f t="shared" ref="C99:I99" si="14">C81</f>
        <v>42.909355545469502</v>
      </c>
      <c r="D99" s="601">
        <f t="shared" si="14"/>
        <v>8.6676898201848385</v>
      </c>
      <c r="E99" s="601">
        <f t="shared" si="14"/>
        <v>16.0517</v>
      </c>
      <c r="F99" s="601">
        <f t="shared" si="14"/>
        <v>9.7177053508634495E-2</v>
      </c>
      <c r="G99" s="601">
        <f t="shared" si="14"/>
        <v>4.1503124387477399</v>
      </c>
      <c r="H99" s="601">
        <f t="shared" si="14"/>
        <v>10.307632433223615</v>
      </c>
      <c r="I99" s="601">
        <f t="shared" si="14"/>
        <v>106.85445279821236</v>
      </c>
      <c r="J99" s="601">
        <f t="shared" si="12"/>
        <v>189.03832008934668</v>
      </c>
      <c r="K99" s="601"/>
      <c r="L99" s="603"/>
      <c r="N99" s="627"/>
    </row>
    <row r="100" spans="1:14" s="621" customFormat="1" ht="46.5" customHeight="1" x14ac:dyDescent="0.3">
      <c r="A100" s="424" t="s">
        <v>243</v>
      </c>
      <c r="B100" s="629" t="s">
        <v>244</v>
      </c>
      <c r="C100" s="601">
        <f t="shared" ref="C100:I100" si="15">C82</f>
        <v>68.881562852096209</v>
      </c>
      <c r="D100" s="601">
        <f t="shared" si="15"/>
        <v>13.914075696123433</v>
      </c>
      <c r="E100" s="601">
        <f t="shared" si="15"/>
        <v>6.5736000000000008</v>
      </c>
      <c r="F100" s="601">
        <f t="shared" si="15"/>
        <v>0.24128280765448903</v>
      </c>
      <c r="G100" s="601">
        <f t="shared" si="15"/>
        <v>2.5887451781257091</v>
      </c>
      <c r="H100" s="601">
        <f t="shared" si="15"/>
        <v>13.959830324483772</v>
      </c>
      <c r="I100" s="601">
        <f t="shared" si="15"/>
        <v>138.02675121360943</v>
      </c>
      <c r="J100" s="601">
        <f t="shared" si="12"/>
        <v>244.18584807209305</v>
      </c>
      <c r="K100" s="625"/>
      <c r="L100" s="620"/>
      <c r="M100" s="624"/>
      <c r="N100" s="627"/>
    </row>
    <row r="101" spans="1:14" s="599" customFormat="1" ht="27.6" x14ac:dyDescent="0.3">
      <c r="A101" s="424" t="s">
        <v>275</v>
      </c>
      <c r="B101" s="622" t="s">
        <v>1630</v>
      </c>
      <c r="C101" s="601">
        <f t="shared" ref="C101:I101" si="16">C83</f>
        <v>114.12710832513658</v>
      </c>
      <c r="D101" s="601">
        <f t="shared" si="16"/>
        <v>23.053675881677588</v>
      </c>
      <c r="E101" s="601">
        <f t="shared" si="16"/>
        <v>83.8536</v>
      </c>
      <c r="F101" s="601">
        <f t="shared" si="16"/>
        <v>0.43869601391725277</v>
      </c>
      <c r="G101" s="601">
        <f t="shared" si="16"/>
        <v>0.26966095605476131</v>
      </c>
      <c r="H101" s="601">
        <f t="shared" si="16"/>
        <v>17.449787905604715</v>
      </c>
      <c r="I101" s="601">
        <f t="shared" si="16"/>
        <v>310.99518252138222</v>
      </c>
      <c r="J101" s="601">
        <f t="shared" si="12"/>
        <v>550.1877116037731</v>
      </c>
      <c r="K101" s="625"/>
      <c r="L101" s="620"/>
      <c r="M101" s="624"/>
      <c r="N101" s="627"/>
    </row>
    <row r="102" spans="1:14" s="31" customFormat="1" ht="15.6" x14ac:dyDescent="0.3">
      <c r="A102" s="605" t="s">
        <v>316</v>
      </c>
      <c r="B102" s="593" t="s">
        <v>577</v>
      </c>
      <c r="C102" s="601">
        <f t="shared" ref="C102:I102" si="17">C84</f>
        <v>44.84024761602609</v>
      </c>
      <c r="D102" s="601">
        <f t="shared" si="17"/>
        <v>9.0577300184372689</v>
      </c>
      <c r="E102" s="601">
        <f t="shared" si="17"/>
        <v>7.3936000000000011</v>
      </c>
      <c r="F102" s="601">
        <f t="shared" si="17"/>
        <v>0.16400086094796795</v>
      </c>
      <c r="G102" s="601">
        <f t="shared" si="17"/>
        <v>9.8377551924086384E-2</v>
      </c>
      <c r="H102" s="601">
        <f t="shared" si="17"/>
        <v>4.3489191438431192</v>
      </c>
      <c r="I102" s="601">
        <f t="shared" si="17"/>
        <v>85.686107243360794</v>
      </c>
      <c r="J102" s="601">
        <f t="shared" si="12"/>
        <v>151.58898243453933</v>
      </c>
      <c r="K102" s="626"/>
      <c r="L102" s="602"/>
      <c r="M102" s="623"/>
      <c r="N102" s="627"/>
    </row>
    <row r="103" spans="1:14" s="31" customFormat="1" ht="27.6" x14ac:dyDescent="0.3">
      <c r="A103" s="605" t="s">
        <v>320</v>
      </c>
      <c r="B103" s="593" t="s">
        <v>318</v>
      </c>
      <c r="C103" s="601">
        <f t="shared" ref="C103:I103" si="18">C88</f>
        <v>44.84024761602609</v>
      </c>
      <c r="D103" s="601">
        <f t="shared" si="18"/>
        <v>9.0577300184372689</v>
      </c>
      <c r="E103" s="601">
        <f t="shared" si="18"/>
        <v>6.5736000000000008</v>
      </c>
      <c r="F103" s="601">
        <f t="shared" si="18"/>
        <v>0.16400086094796795</v>
      </c>
      <c r="G103" s="601">
        <f t="shared" si="18"/>
        <v>9.8377551924086384E-2</v>
      </c>
      <c r="H103" s="601">
        <f t="shared" si="18"/>
        <v>4.3489191438431192</v>
      </c>
      <c r="I103" s="601">
        <f t="shared" si="18"/>
        <v>84.619953335269074</v>
      </c>
      <c r="J103" s="601">
        <f t="shared" si="12"/>
        <v>149.7028285264476</v>
      </c>
      <c r="K103" s="626"/>
      <c r="L103" s="602"/>
      <c r="M103" s="623"/>
      <c r="N103" s="627"/>
    </row>
    <row r="104" spans="1:14" s="31" customFormat="1" ht="30" customHeight="1" x14ac:dyDescent="0.3">
      <c r="A104" s="600" t="s">
        <v>1070</v>
      </c>
      <c r="B104" s="593" t="s">
        <v>1252</v>
      </c>
      <c r="C104" s="601">
        <f t="shared" ref="C104:I104" si="19">C89</f>
        <v>32.928947859666224</v>
      </c>
      <c r="D104" s="601">
        <f t="shared" si="19"/>
        <v>6.6516474676525768</v>
      </c>
      <c r="E104" s="601">
        <f t="shared" si="19"/>
        <v>13.11</v>
      </c>
      <c r="F104" s="601">
        <f t="shared" si="19"/>
        <v>8.2000430473983976E-2</v>
      </c>
      <c r="G104" s="601">
        <f t="shared" si="19"/>
        <v>0.20857139377847089</v>
      </c>
      <c r="H104" s="601">
        <f t="shared" si="19"/>
        <v>8.6978382876862383</v>
      </c>
      <c r="I104" s="601">
        <f t="shared" si="19"/>
        <v>74.350973673277494</v>
      </c>
      <c r="J104" s="601">
        <f t="shared" si="12"/>
        <v>136.02997911253499</v>
      </c>
      <c r="K104" s="289"/>
      <c r="L104" s="602"/>
      <c r="N104" s="627"/>
    </row>
    <row r="105" spans="1:14" s="31" customFormat="1" ht="14.4" customHeight="1" x14ac:dyDescent="0.3">
      <c r="A105" s="425" t="s">
        <v>519</v>
      </c>
      <c r="B105" s="248" t="s">
        <v>326</v>
      </c>
      <c r="C105" s="601">
        <f>'КМУ параклиника '!C502</f>
        <v>80.742464701018662</v>
      </c>
      <c r="D105" s="601">
        <f>'КМУ параклиника '!D502</f>
        <v>16.30997786960577</v>
      </c>
      <c r="E105" s="601">
        <f>'КМУ параклиника '!I502</f>
        <v>6.5736000000000008</v>
      </c>
      <c r="F105" s="601">
        <f>'КМУ параклиника '!N502</f>
        <v>0.26240137751674875</v>
      </c>
      <c r="G105" s="601">
        <f>'КМУ параклиника '!S502</f>
        <v>9.8377551924086384E-2</v>
      </c>
      <c r="H105" s="601">
        <f>'КМУ параклиника '!Y502</f>
        <v>4.3489191438431192</v>
      </c>
      <c r="I105" s="601">
        <f>'КМУ параклиника '!Z502</f>
        <v>140.85679667501697</v>
      </c>
      <c r="J105" s="601">
        <f t="shared" si="12"/>
        <v>249.19253731892536</v>
      </c>
      <c r="K105" s="626"/>
      <c r="L105" s="602"/>
      <c r="N105" s="627"/>
    </row>
    <row r="106" spans="1:14" s="31" customFormat="1" ht="13.95" customHeight="1" x14ac:dyDescent="0.3">
      <c r="A106" s="425" t="s">
        <v>520</v>
      </c>
      <c r="B106" s="248" t="s">
        <v>591</v>
      </c>
      <c r="C106" s="601">
        <f>'КМУ параклиника '!C432</f>
        <v>33.630185712019568</v>
      </c>
      <c r="D106" s="601">
        <f>'КМУ параклиника '!D432</f>
        <v>6.7932975138279534</v>
      </c>
      <c r="E106" s="601">
        <f>'КМУ параклиника '!I432</f>
        <v>6.5736000000000008</v>
      </c>
      <c r="F106" s="601">
        <f>'КМУ параклиника '!N432</f>
        <v>8.4000000000000005E-2</v>
      </c>
      <c r="G106" s="601">
        <f>'КМУ параклиника '!S432</f>
        <v>5.9019000000000004</v>
      </c>
      <c r="H106" s="601">
        <f>'КМУ параклиника '!Y432</f>
        <v>9.1999999999999998E-3</v>
      </c>
      <c r="I106" s="601">
        <f>'КМУ параклиника '!Z432</f>
        <v>68.899784444572944</v>
      </c>
      <c r="J106" s="601">
        <f t="shared" si="12"/>
        <v>121.89196767042046</v>
      </c>
      <c r="K106" s="626"/>
      <c r="L106" s="602"/>
      <c r="N106" s="627"/>
    </row>
    <row r="107" spans="1:14" s="31" customFormat="1" ht="39.75" customHeight="1" x14ac:dyDescent="0.3">
      <c r="A107" s="605" t="s">
        <v>322</v>
      </c>
      <c r="B107" s="593" t="s">
        <v>589</v>
      </c>
      <c r="C107" s="289">
        <f>'КМУ параклиника '!C492</f>
        <v>42.635758975439401</v>
      </c>
      <c r="D107" s="289">
        <f>C107*20.2%</f>
        <v>8.6124233130387591</v>
      </c>
      <c r="E107" s="287">
        <v>6.5</v>
      </c>
      <c r="F107" s="287">
        <v>8.4000000000000005E-2</v>
      </c>
      <c r="G107" s="287">
        <v>1.1379999999999999</v>
      </c>
      <c r="H107" s="289">
        <v>9.1999999999999998E-3</v>
      </c>
      <c r="I107" s="289">
        <f>'КМУ параклиника '!Z492</f>
        <v>81.110752467690546</v>
      </c>
      <c r="J107" s="601">
        <f t="shared" si="12"/>
        <v>140.09013475616871</v>
      </c>
      <c r="K107" s="626"/>
      <c r="L107" s="602"/>
      <c r="M107" s="623"/>
      <c r="N107" s="627"/>
    </row>
    <row r="108" spans="1:14" s="630" customFormat="1" x14ac:dyDescent="0.25">
      <c r="A108" s="1057" t="s">
        <v>854</v>
      </c>
      <c r="B108" s="1058"/>
      <c r="C108" s="632">
        <f>SUM(C96:C107)</f>
        <v>619.70424291092274</v>
      </c>
      <c r="D108" s="632">
        <f t="shared" ref="D108:J108" si="20">SUM(D96:D107)</f>
        <v>125.18025706800641</v>
      </c>
      <c r="E108" s="632">
        <f t="shared" si="20"/>
        <v>186.36829999999998</v>
      </c>
      <c r="F108" s="632">
        <f t="shared" si="20"/>
        <v>1.9619612129577777</v>
      </c>
      <c r="G108" s="632">
        <f t="shared" si="20"/>
        <v>14.99032254941373</v>
      </c>
      <c r="H108" s="632">
        <f t="shared" si="20"/>
        <v>81.745706786668819</v>
      </c>
      <c r="I108" s="632">
        <f t="shared" si="20"/>
        <v>1337.7125174136263</v>
      </c>
      <c r="J108" s="632">
        <f t="shared" si="20"/>
        <v>2367.663307941596</v>
      </c>
      <c r="K108" s="633">
        <v>0.12</v>
      </c>
      <c r="L108" s="631">
        <f>J108+(J108*K108)</f>
        <v>2651.7829048945878</v>
      </c>
    </row>
    <row r="110" spans="1:14" s="630" customFormat="1" x14ac:dyDescent="0.25">
      <c r="A110" s="630" t="s">
        <v>960</v>
      </c>
    </row>
    <row r="112" spans="1:14" ht="41.4" x14ac:dyDescent="0.25">
      <c r="A112" s="422" t="s">
        <v>848</v>
      </c>
      <c r="B112" s="247" t="s">
        <v>849</v>
      </c>
      <c r="C112" s="247" t="s">
        <v>850</v>
      </c>
      <c r="D112" s="247" t="s">
        <v>851</v>
      </c>
      <c r="E112" s="247" t="s">
        <v>852</v>
      </c>
      <c r="F112" s="247" t="s">
        <v>597</v>
      </c>
      <c r="G112" s="247" t="s">
        <v>598</v>
      </c>
      <c r="H112" s="247" t="s">
        <v>613</v>
      </c>
      <c r="I112" s="247" t="s">
        <v>614</v>
      </c>
      <c r="J112" s="247" t="s">
        <v>853</v>
      </c>
      <c r="K112" s="247" t="s">
        <v>599</v>
      </c>
      <c r="L112" s="247" t="s">
        <v>854</v>
      </c>
    </row>
    <row r="113" spans="1:14" s="31" customFormat="1" ht="46.5" customHeight="1" x14ac:dyDescent="0.3">
      <c r="A113" s="600" t="s">
        <v>703</v>
      </c>
      <c r="B113" s="593" t="s">
        <v>953</v>
      </c>
      <c r="C113" s="601">
        <f>C96</f>
        <v>53.163469285289004</v>
      </c>
      <c r="D113" s="601">
        <f t="shared" ref="D113:I113" si="21">D96</f>
        <v>10.739020795628377</v>
      </c>
      <c r="E113" s="601">
        <f t="shared" si="21"/>
        <v>11.055</v>
      </c>
      <c r="F113" s="601">
        <f t="shared" si="21"/>
        <v>0.16400086094796795</v>
      </c>
      <c r="G113" s="601">
        <f t="shared" si="21"/>
        <v>0.20857139377847089</v>
      </c>
      <c r="H113" s="601">
        <f t="shared" si="21"/>
        <v>8.6978382876862383</v>
      </c>
      <c r="I113" s="601">
        <f t="shared" si="21"/>
        <v>109.25204224183659</v>
      </c>
      <c r="J113" s="601">
        <f>SUM(C113:I113)</f>
        <v>193.27994286516665</v>
      </c>
      <c r="K113" s="289"/>
      <c r="L113" s="602"/>
      <c r="N113" s="627"/>
    </row>
    <row r="114" spans="1:14" s="31" customFormat="1" ht="41.25" customHeight="1" x14ac:dyDescent="0.3">
      <c r="A114" s="600" t="s">
        <v>707</v>
      </c>
      <c r="B114" s="593" t="s">
        <v>954</v>
      </c>
      <c r="C114" s="601">
        <f t="shared" ref="C114:I114" si="22">C97</f>
        <v>31.8980815711734</v>
      </c>
      <c r="D114" s="601">
        <f t="shared" si="22"/>
        <v>6.4434124773770263</v>
      </c>
      <c r="E114" s="601">
        <f t="shared" si="22"/>
        <v>11.055</v>
      </c>
      <c r="F114" s="601">
        <f t="shared" si="22"/>
        <v>9.840051656878078E-2</v>
      </c>
      <c r="G114" s="601">
        <f t="shared" si="22"/>
        <v>0.1251428362670825</v>
      </c>
      <c r="H114" s="601">
        <f t="shared" si="22"/>
        <v>5.2187029726117427</v>
      </c>
      <c r="I114" s="601">
        <f t="shared" si="22"/>
        <v>71.30065532264048</v>
      </c>
      <c r="J114" s="601">
        <f t="shared" ref="J114:J124" si="23">SUM(C114:I114)</f>
        <v>126.1393956966385</v>
      </c>
      <c r="K114" s="289"/>
      <c r="L114" s="602"/>
      <c r="N114" s="627"/>
    </row>
    <row r="115" spans="1:14" s="31" customFormat="1" ht="40.5" customHeight="1" x14ac:dyDescent="0.3">
      <c r="A115" s="600" t="s">
        <v>703</v>
      </c>
      <c r="B115" s="593" t="s">
        <v>955</v>
      </c>
      <c r="C115" s="601">
        <f t="shared" ref="C115:I115" si="24">C98</f>
        <v>29.106812851562065</v>
      </c>
      <c r="D115" s="601">
        <f t="shared" si="24"/>
        <v>5.8795761960155364</v>
      </c>
      <c r="E115" s="601">
        <f t="shared" si="24"/>
        <v>11.055</v>
      </c>
      <c r="F115" s="601">
        <f t="shared" si="24"/>
        <v>8.2000430473983976E-2</v>
      </c>
      <c r="G115" s="601">
        <f t="shared" si="24"/>
        <v>0.10428569688923545</v>
      </c>
      <c r="H115" s="601">
        <f t="shared" si="24"/>
        <v>4.3489191438431192</v>
      </c>
      <c r="I115" s="601">
        <f t="shared" si="24"/>
        <v>65.759065476757286</v>
      </c>
      <c r="J115" s="601">
        <f t="shared" si="23"/>
        <v>116.33565979554123</v>
      </c>
      <c r="K115" s="289"/>
      <c r="L115" s="602"/>
      <c r="N115" s="627"/>
    </row>
    <row r="116" spans="1:14" s="31" customFormat="1" ht="27.6" x14ac:dyDescent="0.3">
      <c r="A116" s="600" t="s">
        <v>1073</v>
      </c>
      <c r="B116" s="597" t="s">
        <v>1528</v>
      </c>
      <c r="C116" s="601">
        <f t="shared" ref="C116:I116" si="25">C99</f>
        <v>42.909355545469502</v>
      </c>
      <c r="D116" s="601">
        <f t="shared" si="25"/>
        <v>8.6676898201848385</v>
      </c>
      <c r="E116" s="601">
        <f t="shared" si="25"/>
        <v>16.0517</v>
      </c>
      <c r="F116" s="601">
        <f t="shared" si="25"/>
        <v>9.7177053508634495E-2</v>
      </c>
      <c r="G116" s="601">
        <f t="shared" si="25"/>
        <v>4.1503124387477399</v>
      </c>
      <c r="H116" s="601">
        <f t="shared" si="25"/>
        <v>10.307632433223615</v>
      </c>
      <c r="I116" s="601">
        <f t="shared" si="25"/>
        <v>106.85445279821236</v>
      </c>
      <c r="J116" s="601">
        <f t="shared" si="23"/>
        <v>189.03832008934668</v>
      </c>
      <c r="K116" s="601"/>
      <c r="L116" s="603"/>
      <c r="N116" s="627"/>
    </row>
    <row r="117" spans="1:14" s="621" customFormat="1" ht="46.5" customHeight="1" x14ac:dyDescent="0.3">
      <c r="A117" s="424" t="s">
        <v>243</v>
      </c>
      <c r="B117" s="629" t="s">
        <v>244</v>
      </c>
      <c r="C117" s="601">
        <f t="shared" ref="C117:I117" si="26">C100</f>
        <v>68.881562852096209</v>
      </c>
      <c r="D117" s="601">
        <f t="shared" si="26"/>
        <v>13.914075696123433</v>
      </c>
      <c r="E117" s="601">
        <f t="shared" si="26"/>
        <v>6.5736000000000008</v>
      </c>
      <c r="F117" s="601">
        <f t="shared" si="26"/>
        <v>0.24128280765448903</v>
      </c>
      <c r="G117" s="601">
        <f t="shared" si="26"/>
        <v>2.5887451781257091</v>
      </c>
      <c r="H117" s="601">
        <f t="shared" si="26"/>
        <v>13.959830324483772</v>
      </c>
      <c r="I117" s="601">
        <f t="shared" si="26"/>
        <v>138.02675121360943</v>
      </c>
      <c r="J117" s="601">
        <f t="shared" si="23"/>
        <v>244.18584807209305</v>
      </c>
      <c r="K117" s="625"/>
      <c r="L117" s="620"/>
      <c r="M117" s="624"/>
      <c r="N117" s="627"/>
    </row>
    <row r="118" spans="1:14" s="599" customFormat="1" ht="27.6" x14ac:dyDescent="0.3">
      <c r="A118" s="424" t="s">
        <v>275</v>
      </c>
      <c r="B118" s="622" t="s">
        <v>1630</v>
      </c>
      <c r="C118" s="601">
        <f t="shared" ref="C118:I118" si="27">C101</f>
        <v>114.12710832513658</v>
      </c>
      <c r="D118" s="601">
        <f t="shared" si="27"/>
        <v>23.053675881677588</v>
      </c>
      <c r="E118" s="601">
        <f t="shared" si="27"/>
        <v>83.8536</v>
      </c>
      <c r="F118" s="601">
        <f t="shared" si="27"/>
        <v>0.43869601391725277</v>
      </c>
      <c r="G118" s="601">
        <f t="shared" si="27"/>
        <v>0.26966095605476131</v>
      </c>
      <c r="H118" s="601">
        <f t="shared" si="27"/>
        <v>17.449787905604715</v>
      </c>
      <c r="I118" s="601">
        <f t="shared" si="27"/>
        <v>310.99518252138222</v>
      </c>
      <c r="J118" s="601">
        <f t="shared" si="23"/>
        <v>550.1877116037731</v>
      </c>
      <c r="K118" s="625"/>
      <c r="L118" s="620"/>
      <c r="M118" s="624"/>
      <c r="N118" s="627"/>
    </row>
    <row r="119" spans="1:14" s="31" customFormat="1" ht="15.6" x14ac:dyDescent="0.3">
      <c r="A119" s="605" t="s">
        <v>316</v>
      </c>
      <c r="B119" s="593" t="s">
        <v>577</v>
      </c>
      <c r="C119" s="601">
        <f t="shared" ref="C119:I119" si="28">C102</f>
        <v>44.84024761602609</v>
      </c>
      <c r="D119" s="601">
        <f t="shared" si="28"/>
        <v>9.0577300184372689</v>
      </c>
      <c r="E119" s="601">
        <f t="shared" si="28"/>
        <v>7.3936000000000011</v>
      </c>
      <c r="F119" s="601">
        <f t="shared" si="28"/>
        <v>0.16400086094796795</v>
      </c>
      <c r="G119" s="601">
        <f t="shared" si="28"/>
        <v>9.8377551924086384E-2</v>
      </c>
      <c r="H119" s="601">
        <f t="shared" si="28"/>
        <v>4.3489191438431192</v>
      </c>
      <c r="I119" s="601">
        <f t="shared" si="28"/>
        <v>85.686107243360794</v>
      </c>
      <c r="J119" s="601">
        <f t="shared" si="23"/>
        <v>151.58898243453933</v>
      </c>
      <c r="K119" s="626"/>
      <c r="L119" s="602"/>
      <c r="M119" s="623"/>
      <c r="N119" s="627"/>
    </row>
    <row r="120" spans="1:14" s="31" customFormat="1" ht="27.6" x14ac:dyDescent="0.3">
      <c r="A120" s="605" t="s">
        <v>320</v>
      </c>
      <c r="B120" s="593" t="s">
        <v>318</v>
      </c>
      <c r="C120" s="601">
        <f t="shared" ref="C120:I120" si="29">C103</f>
        <v>44.84024761602609</v>
      </c>
      <c r="D120" s="601">
        <f t="shared" si="29"/>
        <v>9.0577300184372689</v>
      </c>
      <c r="E120" s="601">
        <f t="shared" si="29"/>
        <v>6.5736000000000008</v>
      </c>
      <c r="F120" s="601">
        <f t="shared" si="29"/>
        <v>0.16400086094796795</v>
      </c>
      <c r="G120" s="601">
        <f t="shared" si="29"/>
        <v>9.8377551924086384E-2</v>
      </c>
      <c r="H120" s="601">
        <f t="shared" si="29"/>
        <v>4.3489191438431192</v>
      </c>
      <c r="I120" s="601">
        <f t="shared" si="29"/>
        <v>84.619953335269074</v>
      </c>
      <c r="J120" s="601">
        <f t="shared" si="23"/>
        <v>149.7028285264476</v>
      </c>
      <c r="K120" s="626"/>
      <c r="L120" s="602"/>
      <c r="M120" s="623"/>
      <c r="N120" s="627"/>
    </row>
    <row r="121" spans="1:14" s="31" customFormat="1" ht="30" customHeight="1" x14ac:dyDescent="0.3">
      <c r="A121" s="600" t="s">
        <v>1070</v>
      </c>
      <c r="B121" s="593" t="s">
        <v>1252</v>
      </c>
      <c r="C121" s="601">
        <f t="shared" ref="C121:I121" si="30">C104</f>
        <v>32.928947859666224</v>
      </c>
      <c r="D121" s="601">
        <f t="shared" si="30"/>
        <v>6.6516474676525768</v>
      </c>
      <c r="E121" s="601">
        <f t="shared" si="30"/>
        <v>13.11</v>
      </c>
      <c r="F121" s="601">
        <f t="shared" si="30"/>
        <v>8.2000430473983976E-2</v>
      </c>
      <c r="G121" s="601">
        <f t="shared" si="30"/>
        <v>0.20857139377847089</v>
      </c>
      <c r="H121" s="601">
        <f t="shared" si="30"/>
        <v>8.6978382876862383</v>
      </c>
      <c r="I121" s="601">
        <f t="shared" si="30"/>
        <v>74.350973673277494</v>
      </c>
      <c r="J121" s="601">
        <f t="shared" si="23"/>
        <v>136.02997911253499</v>
      </c>
      <c r="K121" s="289"/>
      <c r="L121" s="602"/>
      <c r="N121" s="627"/>
    </row>
    <row r="122" spans="1:14" s="31" customFormat="1" ht="14.4" customHeight="1" x14ac:dyDescent="0.3">
      <c r="A122" s="425" t="s">
        <v>519</v>
      </c>
      <c r="B122" s="248" t="s">
        <v>326</v>
      </c>
      <c r="C122" s="601">
        <f>'КМУ параклиника '!C502</f>
        <v>80.742464701018662</v>
      </c>
      <c r="D122" s="601">
        <f>'КМУ параклиника '!D502</f>
        <v>16.30997786960577</v>
      </c>
      <c r="E122" s="601">
        <f>'КМУ параклиника '!I502</f>
        <v>6.5736000000000008</v>
      </c>
      <c r="F122" s="601">
        <f>'КМУ параклиника '!N502</f>
        <v>0.26240137751674875</v>
      </c>
      <c r="G122" s="601">
        <f>'КМУ параклиника '!S502</f>
        <v>9.8377551924086384E-2</v>
      </c>
      <c r="H122" s="601">
        <f>'КМУ параклиника '!Y502</f>
        <v>4.3489191438431192</v>
      </c>
      <c r="I122" s="601">
        <f>'КМУ параклиника '!Z502</f>
        <v>140.85679667501697</v>
      </c>
      <c r="J122" s="601">
        <f t="shared" si="23"/>
        <v>249.19253731892536</v>
      </c>
      <c r="K122" s="626"/>
      <c r="L122" s="602"/>
      <c r="N122" s="627"/>
    </row>
    <row r="123" spans="1:14" s="31" customFormat="1" ht="13.95" customHeight="1" x14ac:dyDescent="0.3">
      <c r="A123" s="425" t="s">
        <v>520</v>
      </c>
      <c r="B123" s="248" t="s">
        <v>591</v>
      </c>
      <c r="C123" s="601">
        <f>'КМУ параклиника '!C432</f>
        <v>33.630185712019568</v>
      </c>
      <c r="D123" s="601">
        <f>'КМУ параклиника '!D432</f>
        <v>6.7932975138279534</v>
      </c>
      <c r="E123" s="601">
        <f>'КМУ параклиника '!I432</f>
        <v>6.5736000000000008</v>
      </c>
      <c r="F123" s="601">
        <f>'КМУ параклиника '!N432</f>
        <v>8.4000000000000005E-2</v>
      </c>
      <c r="G123" s="601">
        <f>'КМУ параклиника '!S432</f>
        <v>5.9019000000000004</v>
      </c>
      <c r="H123" s="601">
        <f>'КМУ параклиника '!Y432</f>
        <v>9.1999999999999998E-3</v>
      </c>
      <c r="I123" s="601">
        <f>'КМУ параклиника '!Z432</f>
        <v>68.899784444572944</v>
      </c>
      <c r="J123" s="601">
        <f t="shared" si="23"/>
        <v>121.89196767042046</v>
      </c>
      <c r="K123" s="626"/>
      <c r="L123" s="602"/>
      <c r="N123" s="627"/>
    </row>
    <row r="124" spans="1:14" s="31" customFormat="1" ht="39.75" customHeight="1" x14ac:dyDescent="0.3">
      <c r="A124" s="605" t="s">
        <v>322</v>
      </c>
      <c r="B124" s="593" t="s">
        <v>589</v>
      </c>
      <c r="C124" s="601">
        <f t="shared" ref="C124:I124" si="31">C107</f>
        <v>42.635758975439401</v>
      </c>
      <c r="D124" s="601">
        <f t="shared" si="31"/>
        <v>8.6124233130387591</v>
      </c>
      <c r="E124" s="601">
        <f t="shared" si="31"/>
        <v>6.5</v>
      </c>
      <c r="F124" s="601">
        <f t="shared" si="31"/>
        <v>8.4000000000000005E-2</v>
      </c>
      <c r="G124" s="601">
        <f t="shared" si="31"/>
        <v>1.1379999999999999</v>
      </c>
      <c r="H124" s="601">
        <f t="shared" si="31"/>
        <v>9.1999999999999998E-3</v>
      </c>
      <c r="I124" s="601">
        <f t="shared" si="31"/>
        <v>81.110752467690546</v>
      </c>
      <c r="J124" s="601">
        <f t="shared" si="23"/>
        <v>140.09013475616871</v>
      </c>
      <c r="K124" s="626"/>
      <c r="L124" s="602"/>
      <c r="M124" s="623"/>
      <c r="N124" s="627"/>
    </row>
    <row r="125" spans="1:14" s="630" customFormat="1" x14ac:dyDescent="0.25">
      <c r="A125" s="1057" t="s">
        <v>854</v>
      </c>
      <c r="B125" s="1058"/>
      <c r="C125" s="632">
        <f>SUM(C113:C124)</f>
        <v>619.70424291092274</v>
      </c>
      <c r="D125" s="632">
        <f t="shared" ref="D125:J125" si="32">SUM(D113:D124)</f>
        <v>125.18025706800641</v>
      </c>
      <c r="E125" s="632">
        <f t="shared" si="32"/>
        <v>186.36829999999998</v>
      </c>
      <c r="F125" s="632">
        <f t="shared" si="32"/>
        <v>1.9619612129577777</v>
      </c>
      <c r="G125" s="632">
        <f t="shared" si="32"/>
        <v>14.99032254941373</v>
      </c>
      <c r="H125" s="632">
        <f t="shared" si="32"/>
        <v>81.745706786668819</v>
      </c>
      <c r="I125" s="632">
        <f t="shared" si="32"/>
        <v>1337.7125174136263</v>
      </c>
      <c r="J125" s="632">
        <f t="shared" si="32"/>
        <v>2367.663307941596</v>
      </c>
      <c r="K125" s="633">
        <v>0.12</v>
      </c>
      <c r="L125" s="631">
        <f>J125+(J125*K125)</f>
        <v>2651.7829048945878</v>
      </c>
    </row>
  </sheetData>
  <mergeCells count="21">
    <mergeCell ref="A1:M1"/>
    <mergeCell ref="B4:C4"/>
    <mergeCell ref="E4:I5"/>
    <mergeCell ref="J4:N5"/>
    <mergeCell ref="A7:A16"/>
    <mergeCell ref="A42:AC42"/>
    <mergeCell ref="AB4:AB5"/>
    <mergeCell ref="A18:A27"/>
    <mergeCell ref="A28:AC28"/>
    <mergeCell ref="AA4:AA5"/>
    <mergeCell ref="A6:AC6"/>
    <mergeCell ref="AC4:AC5"/>
    <mergeCell ref="O4:S5"/>
    <mergeCell ref="T4:Y5"/>
    <mergeCell ref="A17:AC17"/>
    <mergeCell ref="A29:A38"/>
    <mergeCell ref="A43:A52"/>
    <mergeCell ref="A125:B125"/>
    <mergeCell ref="A72:B72"/>
    <mergeCell ref="A90:B90"/>
    <mergeCell ref="A108:B108"/>
  </mergeCells>
  <phoneticPr fontId="2" type="noConversion"/>
  <pageMargins left="0.75" right="0.75" top="1" bottom="1" header="0.5" footer="0.5"/>
  <pageSetup paperSize="9" scale="37" orientation="landscape" verticalDpi="200" r:id="rId1"/>
  <headerFooter alignWithMargins="0"/>
  <rowBreaks count="2" manualBreakCount="2">
    <brk id="54" max="16383" man="1"/>
    <brk id="108" max="16383" man="1"/>
  </rowBreaks>
  <colBreaks count="1" manualBreakCount="1">
    <brk id="2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60"/>
  <sheetViews>
    <sheetView topLeftCell="D1" workbookViewId="0">
      <selection activeCell="U9" sqref="U9"/>
    </sheetView>
  </sheetViews>
  <sheetFormatPr defaultColWidth="9.109375" defaultRowHeight="13.2" x14ac:dyDescent="0.25"/>
  <cols>
    <col min="1" max="1" width="6.33203125" style="34" customWidth="1"/>
    <col min="2" max="2" width="13.109375" style="36" customWidth="1"/>
    <col min="3" max="3" width="8.109375" style="35" customWidth="1"/>
    <col min="4" max="4" width="7.6640625" style="3" customWidth="1"/>
    <col min="5" max="5" width="11.109375" style="36" customWidth="1"/>
    <col min="6" max="6" width="4.88671875" style="164" customWidth="1"/>
    <col min="7" max="7" width="5.44140625" style="37" customWidth="1"/>
    <col min="8" max="8" width="5.88671875" style="37" customWidth="1"/>
    <col min="9" max="9" width="10" style="3" customWidth="1"/>
    <col min="10" max="10" width="10.33203125" style="40" customWidth="1"/>
    <col min="11" max="11" width="4.109375" style="168" customWidth="1"/>
    <col min="12" max="12" width="5.5546875" style="38" customWidth="1"/>
    <col min="13" max="13" width="5" style="38" customWidth="1"/>
    <col min="14" max="14" width="5.6640625" style="38" customWidth="1"/>
    <col min="15" max="15" width="22.88671875" style="38" customWidth="1"/>
    <col min="16" max="16" width="6.88671875" style="38" customWidth="1"/>
    <col min="17" max="17" width="6" style="38" customWidth="1"/>
    <col min="18" max="18" width="8.88671875" style="38" customWidth="1"/>
    <col min="19" max="19" width="6.33203125" style="38" customWidth="1"/>
    <col min="20" max="20" width="11.44140625" style="38" customWidth="1"/>
    <col min="21" max="21" width="8.109375" style="38" customWidth="1"/>
    <col min="22" max="22" width="8.6640625" style="38" customWidth="1"/>
    <col min="23" max="23" width="6.33203125" style="38" customWidth="1"/>
    <col min="24" max="24" width="7" style="38" customWidth="1"/>
    <col min="25" max="25" width="7.44140625" style="38" customWidth="1"/>
    <col min="26" max="26" width="8.6640625" style="38" customWidth="1"/>
    <col min="27" max="27" width="11.33203125" style="3" hidden="1" customWidth="1"/>
    <col min="28" max="28" width="10.44140625" style="3" hidden="1" customWidth="1"/>
    <col min="29" max="29" width="10.109375" style="3" hidden="1" customWidth="1"/>
    <col min="30" max="30" width="9.109375" style="3"/>
    <col min="31" max="31" width="10.6640625" style="3" customWidth="1"/>
    <col min="32" max="32" width="10.109375" style="81" customWidth="1"/>
    <col min="33" max="33" width="9.109375" style="56"/>
    <col min="34" max="34" width="10.6640625" style="125" customWidth="1"/>
    <col min="35" max="35" width="14.33203125" style="125" customWidth="1"/>
    <col min="36" max="36" width="7.88671875" style="125" customWidth="1"/>
    <col min="37" max="37" width="8.6640625" style="125" customWidth="1"/>
    <col min="38" max="38" width="11.33203125" style="127" customWidth="1"/>
    <col min="39" max="39" width="8" style="125" customWidth="1"/>
    <col min="40" max="40" width="11.109375" style="125" customWidth="1"/>
    <col min="41" max="41" width="8.109375" style="128" customWidth="1"/>
    <col min="42" max="42" width="14" style="125" customWidth="1"/>
    <col min="43" max="43" width="13.88671875" style="125" customWidth="1"/>
    <col min="44" max="44" width="14" style="128" customWidth="1"/>
    <col min="45" max="45" width="15.44140625" style="128" hidden="1" customWidth="1"/>
    <col min="46" max="46" width="11.33203125" style="125" hidden="1" customWidth="1"/>
    <col min="47" max="47" width="12.6640625" style="125" customWidth="1"/>
    <col min="48" max="48" width="13.6640625" style="128" customWidth="1"/>
    <col min="49" max="49" width="6.44140625" style="56" hidden="1" customWidth="1"/>
    <col min="50" max="50" width="9.5546875" style="56" customWidth="1"/>
    <col min="51" max="53" width="9.109375" style="56"/>
    <col min="54" max="16384" width="9.109375" style="3"/>
  </cols>
  <sheetData>
    <row r="1" spans="1:53" ht="22.5" customHeight="1" x14ac:dyDescent="0.3">
      <c r="A1" s="1072" t="s">
        <v>195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AI1" s="126"/>
    </row>
    <row r="2" spans="1:53" ht="12.75" customHeight="1" x14ac:dyDescent="0.25">
      <c r="A2" s="39"/>
    </row>
    <row r="3" spans="1:53" ht="12.75" customHeight="1" x14ac:dyDescent="0.25"/>
    <row r="4" spans="1:53" s="44" customFormat="1" ht="59.25" customHeight="1" x14ac:dyDescent="0.25">
      <c r="A4" s="41"/>
      <c r="B4" s="1073" t="s">
        <v>487</v>
      </c>
      <c r="C4" s="1073"/>
      <c r="D4" s="42" t="s">
        <v>491</v>
      </c>
      <c r="E4" s="1074" t="s">
        <v>1164</v>
      </c>
      <c r="F4" s="1075"/>
      <c r="G4" s="1075"/>
      <c r="H4" s="1075"/>
      <c r="I4" s="1064"/>
      <c r="J4" s="1066" t="s">
        <v>1165</v>
      </c>
      <c r="K4" s="1067"/>
      <c r="L4" s="1067"/>
      <c r="M4" s="1067"/>
      <c r="N4" s="1070"/>
      <c r="O4" s="1066" t="s">
        <v>492</v>
      </c>
      <c r="P4" s="1067"/>
      <c r="Q4" s="1067"/>
      <c r="R4" s="1067"/>
      <c r="S4" s="1067"/>
      <c r="T4" s="1066" t="s">
        <v>840</v>
      </c>
      <c r="U4" s="1067"/>
      <c r="V4" s="1067"/>
      <c r="W4" s="1067"/>
      <c r="X4" s="1067"/>
      <c r="Y4" s="1070"/>
      <c r="Z4" s="156" t="s">
        <v>1166</v>
      </c>
      <c r="AA4" s="1064" t="s">
        <v>827</v>
      </c>
      <c r="AB4" s="1062" t="s">
        <v>1167</v>
      </c>
      <c r="AC4" s="1062" t="s">
        <v>1168</v>
      </c>
      <c r="AD4" s="43"/>
      <c r="AF4" s="149"/>
      <c r="AG4" s="152"/>
      <c r="AH4" s="152"/>
      <c r="AI4" s="129"/>
      <c r="AJ4" s="130"/>
      <c r="AK4" s="129"/>
      <c r="AL4" s="131"/>
      <c r="AM4" s="129"/>
      <c r="AN4" s="129"/>
      <c r="AO4" s="132"/>
      <c r="AP4" s="132"/>
      <c r="AQ4" s="132"/>
      <c r="AR4" s="132"/>
      <c r="AS4" s="132"/>
      <c r="AT4" s="132"/>
      <c r="AU4" s="129"/>
      <c r="AV4" s="129"/>
      <c r="AW4" s="133"/>
      <c r="AX4" s="133"/>
      <c r="AY4" s="133"/>
      <c r="AZ4" s="133"/>
      <c r="BA4" s="133"/>
    </row>
    <row r="5" spans="1:53" s="35" customFormat="1" ht="13.5" customHeight="1" x14ac:dyDescent="0.25">
      <c r="A5" s="45"/>
      <c r="B5" s="46" t="s">
        <v>488</v>
      </c>
      <c r="C5" s="46" t="s">
        <v>1169</v>
      </c>
      <c r="D5" s="230">
        <v>0.20200000000000001</v>
      </c>
      <c r="E5" s="1076"/>
      <c r="F5" s="1077"/>
      <c r="G5" s="1077"/>
      <c r="H5" s="1077"/>
      <c r="I5" s="1065"/>
      <c r="J5" s="1068"/>
      <c r="K5" s="1069"/>
      <c r="L5" s="1069"/>
      <c r="M5" s="1069"/>
      <c r="N5" s="1071"/>
      <c r="O5" s="1068"/>
      <c r="P5" s="1069"/>
      <c r="Q5" s="1069"/>
      <c r="R5" s="1069"/>
      <c r="S5" s="1069"/>
      <c r="T5" s="1068"/>
      <c r="U5" s="1069"/>
      <c r="V5" s="1069"/>
      <c r="W5" s="1069"/>
      <c r="X5" s="1069"/>
      <c r="Y5" s="1071"/>
      <c r="Z5" s="157">
        <f>'Исп. коэффициенты'!C91</f>
        <v>1.3001876927947804</v>
      </c>
      <c r="AA5" s="1065"/>
      <c r="AB5" s="1063"/>
      <c r="AC5" s="1063"/>
      <c r="AD5" s="48"/>
      <c r="AE5" s="49"/>
      <c r="AF5" s="150"/>
      <c r="AG5" s="81"/>
      <c r="AH5" s="134"/>
      <c r="AI5" s="135"/>
      <c r="AJ5" s="136"/>
      <c r="AK5" s="134"/>
      <c r="AL5" s="137"/>
      <c r="AM5" s="129"/>
      <c r="AN5" s="129"/>
      <c r="AO5" s="132"/>
      <c r="AP5" s="132"/>
      <c r="AQ5" s="138"/>
      <c r="AR5" s="138"/>
      <c r="AS5" s="138"/>
      <c r="AT5" s="132"/>
      <c r="AU5" s="129"/>
      <c r="AV5" s="130"/>
      <c r="AW5" s="81"/>
      <c r="AX5" s="81"/>
      <c r="AY5" s="81"/>
      <c r="AZ5" s="81"/>
      <c r="BA5" s="81"/>
    </row>
    <row r="6" spans="1:53" ht="56.25" customHeight="1" x14ac:dyDescent="0.25">
      <c r="A6" s="1012" t="s">
        <v>196</v>
      </c>
      <c r="B6" s="51"/>
      <c r="C6" s="51"/>
      <c r="D6" s="219"/>
      <c r="E6" s="52" t="s">
        <v>488</v>
      </c>
      <c r="F6" s="53" t="s">
        <v>837</v>
      </c>
      <c r="G6" s="51" t="s">
        <v>489</v>
      </c>
      <c r="H6" s="52" t="s">
        <v>1170</v>
      </c>
      <c r="I6" s="53" t="s">
        <v>838</v>
      </c>
      <c r="J6" s="47" t="s">
        <v>1171</v>
      </c>
      <c r="K6" s="47" t="s">
        <v>490</v>
      </c>
      <c r="L6" s="54" t="s">
        <v>489</v>
      </c>
      <c r="M6" s="47" t="s">
        <v>1172</v>
      </c>
      <c r="N6" s="53" t="s">
        <v>838</v>
      </c>
      <c r="O6" s="47" t="s">
        <v>1171</v>
      </c>
      <c r="P6" s="47" t="s">
        <v>826</v>
      </c>
      <c r="Q6" s="47" t="s">
        <v>1173</v>
      </c>
      <c r="R6" s="47" t="s">
        <v>1174</v>
      </c>
      <c r="S6" s="47" t="s">
        <v>839</v>
      </c>
      <c r="T6" s="47" t="s">
        <v>1171</v>
      </c>
      <c r="U6" s="47" t="s">
        <v>842</v>
      </c>
      <c r="V6" s="47" t="s">
        <v>239</v>
      </c>
      <c r="W6" s="47" t="s">
        <v>1173</v>
      </c>
      <c r="X6" s="47" t="s">
        <v>1174</v>
      </c>
      <c r="Y6" s="47" t="s">
        <v>839</v>
      </c>
      <c r="Z6" s="55"/>
      <c r="AA6" s="1"/>
      <c r="AB6" s="1"/>
      <c r="AC6" s="245"/>
      <c r="AD6" s="56"/>
      <c r="AQ6" s="139"/>
      <c r="AR6" s="139"/>
      <c r="AS6" s="139"/>
    </row>
    <row r="7" spans="1:53" ht="12" customHeight="1" x14ac:dyDescent="0.25">
      <c r="A7" s="1013"/>
      <c r="B7" s="36" t="s">
        <v>1175</v>
      </c>
      <c r="C7" s="51">
        <f>C14</f>
        <v>150.44221094057906</v>
      </c>
      <c r="D7" s="219">
        <f>C7*D5</f>
        <v>30.389326609996971</v>
      </c>
      <c r="E7" s="57" t="s">
        <v>1176</v>
      </c>
      <c r="F7" s="165"/>
      <c r="G7" s="58"/>
      <c r="H7" s="58"/>
      <c r="I7" s="2">
        <f>I8+I9+I10+I11+I12+I13+I14+I15+I16+I17+I18+I19</f>
        <v>173.86430000000001</v>
      </c>
      <c r="J7" s="59" t="s">
        <v>1176</v>
      </c>
      <c r="K7" s="169"/>
      <c r="L7" s="60"/>
      <c r="M7" s="60"/>
      <c r="N7" s="61">
        <f>SUM(N8:N20)</f>
        <v>0.47597951022255069</v>
      </c>
      <c r="O7" s="60" t="s">
        <v>1176</v>
      </c>
      <c r="P7" s="60"/>
      <c r="Q7" s="62"/>
      <c r="R7" s="63"/>
      <c r="S7" s="399">
        <f>SUM(S8:S20)</f>
        <v>9.3283608428571441</v>
      </c>
      <c r="T7" s="61"/>
      <c r="U7" s="61"/>
      <c r="V7" s="61"/>
      <c r="W7" s="61"/>
      <c r="X7" s="61"/>
      <c r="Y7" s="61">
        <f>Y8+Y9+Y10+Y11+Y12+Y13</f>
        <v>5.6091361108207831</v>
      </c>
      <c r="Z7" s="64">
        <f>(C7+D7+I7+N7+S7+Y7)*Z5</f>
        <v>481.21157507034104</v>
      </c>
      <c r="AA7" s="65">
        <f>C7+D7+I7+N7+S7+Y7+Z7</f>
        <v>851.32088908481751</v>
      </c>
      <c r="AB7" s="66">
        <v>0.25</v>
      </c>
      <c r="AC7" s="244">
        <f>AA7+(AA7*AB7)</f>
        <v>1064.1511113560218</v>
      </c>
      <c r="AD7" s="67"/>
      <c r="AI7" s="139"/>
      <c r="AJ7" s="140"/>
      <c r="AK7" s="141"/>
      <c r="AM7" s="142"/>
      <c r="AN7" s="143"/>
      <c r="AO7" s="142"/>
      <c r="AP7" s="139"/>
      <c r="AQ7" s="139"/>
      <c r="AR7" s="139"/>
      <c r="AS7" s="139"/>
      <c r="AT7" s="139"/>
      <c r="AU7" s="142"/>
      <c r="AV7" s="142"/>
      <c r="AW7" s="144"/>
    </row>
    <row r="8" spans="1:53" ht="12.75" customHeight="1" x14ac:dyDescent="0.25">
      <c r="A8" s="1013"/>
      <c r="B8" s="50" t="s">
        <v>830</v>
      </c>
      <c r="C8" s="51"/>
      <c r="D8" s="220"/>
      <c r="E8" s="68" t="s">
        <v>84</v>
      </c>
      <c r="F8" s="69" t="s">
        <v>1441</v>
      </c>
      <c r="G8" s="70">
        <v>1.2</v>
      </c>
      <c r="H8" s="69">
        <v>5</v>
      </c>
      <c r="I8" s="71">
        <f>G8*H8</f>
        <v>6</v>
      </c>
      <c r="J8" s="59" t="s">
        <v>1291</v>
      </c>
      <c r="K8" s="72">
        <v>2</v>
      </c>
      <c r="L8" s="73">
        <v>750</v>
      </c>
      <c r="M8" s="72">
        <v>2</v>
      </c>
      <c r="N8" s="61">
        <f>L8/'Исп. коэффициенты'!E52*C12</f>
        <v>0.17672506567668961</v>
      </c>
      <c r="O8" s="239" t="s">
        <v>1408</v>
      </c>
      <c r="P8" s="239">
        <v>372.5</v>
      </c>
      <c r="Q8" s="239">
        <v>8.33</v>
      </c>
      <c r="R8" s="239">
        <f t="shared" ref="R8:R15" si="0">P8*Q8%</f>
        <v>31.029250000000001</v>
      </c>
      <c r="S8" s="239">
        <f>R8/3500</f>
        <v>8.8655000000000001E-3</v>
      </c>
      <c r="T8" s="239" t="s">
        <v>2219</v>
      </c>
      <c r="U8" s="240">
        <v>2532389.7999999998</v>
      </c>
      <c r="V8" s="869">
        <f>'Исп. коэффициенты'!E124</f>
        <v>2978.5</v>
      </c>
      <c r="W8" s="241">
        <v>1.3599999999999999E-2</v>
      </c>
      <c r="X8" s="61">
        <f>U8*W8</f>
        <v>34440.501279999997</v>
      </c>
      <c r="Y8" s="60">
        <f>X8/'Исп. коэффициенты'!E52</f>
        <v>3.2461332536779266</v>
      </c>
      <c r="Z8" s="60"/>
      <c r="AA8" s="1"/>
      <c r="AB8" s="1"/>
      <c r="AC8" s="245"/>
      <c r="AD8" s="56"/>
      <c r="AF8" s="151"/>
      <c r="AJ8" s="136"/>
    </row>
    <row r="9" spans="1:53" x14ac:dyDescent="0.25">
      <c r="A9" s="1013"/>
      <c r="B9" s="74" t="s">
        <v>1178</v>
      </c>
      <c r="C9" s="75">
        <f>'Заработная плата'!M75</f>
        <v>37.0344803974576</v>
      </c>
      <c r="D9" s="220"/>
      <c r="E9" s="68" t="s">
        <v>1517</v>
      </c>
      <c r="F9" s="69" t="s">
        <v>1441</v>
      </c>
      <c r="G9" s="70">
        <v>1.32</v>
      </c>
      <c r="H9" s="69">
        <v>5</v>
      </c>
      <c r="I9" s="71">
        <f>G9*H9</f>
        <v>6.6000000000000005</v>
      </c>
      <c r="J9" s="59" t="s">
        <v>1445</v>
      </c>
      <c r="K9" s="61">
        <v>2</v>
      </c>
      <c r="L9" s="76">
        <v>95</v>
      </c>
      <c r="M9" s="72">
        <v>2</v>
      </c>
      <c r="N9" s="61">
        <f>L9/'Исп. коэффициенты'!E52*C12</f>
        <v>2.2385174985714018E-2</v>
      </c>
      <c r="O9" s="239" t="s">
        <v>1409</v>
      </c>
      <c r="P9" s="239">
        <v>104</v>
      </c>
      <c r="Q9" s="239">
        <v>8.33</v>
      </c>
      <c r="R9" s="239">
        <f t="shared" si="0"/>
        <v>8.6631999999999998</v>
      </c>
      <c r="S9" s="239">
        <f t="shared" ref="S9:S15" si="1">R9/3500</f>
        <v>2.4751999999999999E-3</v>
      </c>
      <c r="T9" s="60" t="s">
        <v>238</v>
      </c>
      <c r="U9" s="60">
        <v>17817</v>
      </c>
      <c r="V9" s="60"/>
      <c r="W9" s="60">
        <v>19.670000000000002</v>
      </c>
      <c r="X9" s="60">
        <v>3504.51</v>
      </c>
      <c r="Y9" s="60">
        <f>X9/3500</f>
        <v>1.0012885714285715</v>
      </c>
      <c r="Z9" s="60"/>
      <c r="AA9" s="1"/>
      <c r="AB9" s="1"/>
      <c r="AC9" s="245"/>
      <c r="AD9" s="56"/>
      <c r="AF9" s="151"/>
      <c r="AJ9" s="136"/>
      <c r="AM9" s="145"/>
    </row>
    <row r="10" spans="1:53" ht="12.75" customHeight="1" x14ac:dyDescent="0.25">
      <c r="A10" s="1013"/>
      <c r="B10" s="57" t="s">
        <v>1179</v>
      </c>
      <c r="C10" s="51">
        <f>'Заработная плата'!M122</f>
        <v>23.142403978774023</v>
      </c>
      <c r="D10" s="220"/>
      <c r="E10" s="68" t="s">
        <v>1440</v>
      </c>
      <c r="F10" s="69" t="s">
        <v>1441</v>
      </c>
      <c r="G10" s="70">
        <v>5.92</v>
      </c>
      <c r="H10" s="58">
        <v>5</v>
      </c>
      <c r="I10" s="71">
        <f t="shared" ref="I10:I15" si="2">G10*H10</f>
        <v>29.6</v>
      </c>
      <c r="J10" s="59" t="s">
        <v>1513</v>
      </c>
      <c r="K10" s="61">
        <v>2</v>
      </c>
      <c r="L10" s="61">
        <v>25</v>
      </c>
      <c r="M10" s="72">
        <v>0.5</v>
      </c>
      <c r="N10" s="61">
        <f>L10/'Исп. коэффициенты'!E52*C12</f>
        <v>5.8908355225563208E-3</v>
      </c>
      <c r="O10" s="239" t="s">
        <v>1410</v>
      </c>
      <c r="P10" s="239">
        <v>14.68</v>
      </c>
      <c r="Q10" s="239">
        <v>100</v>
      </c>
      <c r="R10" s="239">
        <f t="shared" si="0"/>
        <v>14.68</v>
      </c>
      <c r="S10" s="239">
        <f t="shared" si="1"/>
        <v>4.1942857142857146E-3</v>
      </c>
      <c r="T10" s="60" t="s">
        <v>222</v>
      </c>
      <c r="U10" s="60">
        <v>104</v>
      </c>
      <c r="V10" s="60"/>
      <c r="W10" s="60">
        <v>19.670000000000002</v>
      </c>
      <c r="X10" s="60">
        <v>2046</v>
      </c>
      <c r="Y10" s="60">
        <f>X10/3500</f>
        <v>0.58457142857142852</v>
      </c>
      <c r="Z10" s="60"/>
      <c r="AA10" s="1"/>
      <c r="AB10" s="1"/>
      <c r="AC10" s="245"/>
      <c r="AD10" s="56"/>
      <c r="AF10" s="151"/>
      <c r="AJ10" s="136"/>
    </row>
    <row r="11" spans="1:53" ht="12.75" customHeight="1" x14ac:dyDescent="0.25">
      <c r="A11" s="1013"/>
      <c r="B11" s="57" t="s">
        <v>831</v>
      </c>
      <c r="C11" s="77"/>
      <c r="D11" s="220"/>
      <c r="E11" s="68" t="s">
        <v>197</v>
      </c>
      <c r="F11" s="69" t="s">
        <v>198</v>
      </c>
      <c r="G11" s="70">
        <v>4.6900000000000004</v>
      </c>
      <c r="H11" s="69">
        <v>0.02</v>
      </c>
      <c r="I11" s="71">
        <f t="shared" si="2"/>
        <v>9.3800000000000008E-2</v>
      </c>
      <c r="J11" s="59" t="s">
        <v>199</v>
      </c>
      <c r="K11" s="72">
        <v>1</v>
      </c>
      <c r="L11" s="73">
        <v>1150</v>
      </c>
      <c r="M11" s="72">
        <v>2</v>
      </c>
      <c r="N11" s="61">
        <f>L11/'Исп. коэффициенты'!E52*C12</f>
        <v>0.27097843403759075</v>
      </c>
      <c r="O11" s="239" t="s">
        <v>1411</v>
      </c>
      <c r="P11" s="239">
        <v>785</v>
      </c>
      <c r="Q11" s="239">
        <v>8.33</v>
      </c>
      <c r="R11" s="239">
        <f t="shared" si="0"/>
        <v>65.390500000000003</v>
      </c>
      <c r="S11" s="239">
        <f t="shared" si="1"/>
        <v>1.8683000000000002E-2</v>
      </c>
      <c r="T11" s="60" t="s">
        <v>223</v>
      </c>
      <c r="U11" s="60">
        <v>4678</v>
      </c>
      <c r="V11" s="60"/>
      <c r="W11" s="60">
        <v>19.670000000000002</v>
      </c>
      <c r="X11" s="60">
        <v>920</v>
      </c>
      <c r="Y11" s="60">
        <f>X11/3500</f>
        <v>0.26285714285714284</v>
      </c>
      <c r="Z11" s="60"/>
      <c r="AA11" s="1"/>
      <c r="AB11" s="1"/>
      <c r="AC11" s="245"/>
      <c r="AD11" s="56"/>
      <c r="AF11" s="151"/>
      <c r="AJ11" s="136"/>
    </row>
    <row r="12" spans="1:53" ht="12.75" customHeight="1" x14ac:dyDescent="0.25">
      <c r="A12" s="1013"/>
      <c r="B12" s="74" t="s">
        <v>1178</v>
      </c>
      <c r="C12" s="78">
        <v>2.5</v>
      </c>
      <c r="D12" s="220"/>
      <c r="E12" s="68" t="s">
        <v>69</v>
      </c>
      <c r="F12" s="69" t="s">
        <v>1443</v>
      </c>
      <c r="G12" s="70">
        <v>585</v>
      </c>
      <c r="H12" s="69">
        <v>8.0000000000000002E-3</v>
      </c>
      <c r="I12" s="71">
        <f t="shared" si="2"/>
        <v>4.68</v>
      </c>
      <c r="J12" s="59"/>
      <c r="K12" s="61"/>
      <c r="L12" s="76"/>
      <c r="M12" s="72"/>
      <c r="N12" s="400"/>
      <c r="O12" s="239" t="s">
        <v>29</v>
      </c>
      <c r="P12" s="239">
        <v>26</v>
      </c>
      <c r="Q12" s="239">
        <v>100</v>
      </c>
      <c r="R12" s="239">
        <f t="shared" si="0"/>
        <v>26</v>
      </c>
      <c r="S12" s="239">
        <f t="shared" si="1"/>
        <v>7.4285714285714285E-3</v>
      </c>
      <c r="T12" s="60" t="s">
        <v>224</v>
      </c>
      <c r="U12" s="60">
        <v>1490</v>
      </c>
      <c r="V12" s="60"/>
      <c r="W12" s="60">
        <v>19.670000000000002</v>
      </c>
      <c r="X12" s="60">
        <v>293</v>
      </c>
      <c r="Y12" s="60">
        <f>X12/3500</f>
        <v>8.3714285714285713E-2</v>
      </c>
      <c r="Z12" s="60"/>
      <c r="AA12" s="1"/>
      <c r="AB12" s="1"/>
      <c r="AC12" s="245"/>
      <c r="AD12" s="56"/>
      <c r="AF12" s="151"/>
      <c r="AJ12" s="146"/>
    </row>
    <row r="13" spans="1:53" ht="12.75" customHeight="1" x14ac:dyDescent="0.25">
      <c r="A13" s="1013"/>
      <c r="B13" s="57" t="s">
        <v>1179</v>
      </c>
      <c r="C13" s="78">
        <v>2.5</v>
      </c>
      <c r="D13" s="220"/>
      <c r="E13" s="68" t="s">
        <v>1164</v>
      </c>
      <c r="F13" s="69" t="s">
        <v>1441</v>
      </c>
      <c r="G13" s="70">
        <v>67</v>
      </c>
      <c r="H13" s="69">
        <v>1</v>
      </c>
      <c r="I13" s="71">
        <f t="shared" si="2"/>
        <v>67</v>
      </c>
      <c r="J13" s="59"/>
      <c r="K13" s="61"/>
      <c r="L13" s="76"/>
      <c r="M13" s="72"/>
      <c r="N13" s="400"/>
      <c r="O13" s="239" t="s">
        <v>119</v>
      </c>
      <c r="P13" s="239">
        <v>150000</v>
      </c>
      <c r="Q13" s="239">
        <v>19.670000000000002</v>
      </c>
      <c r="R13" s="239">
        <f t="shared" si="0"/>
        <v>29505.000000000004</v>
      </c>
      <c r="S13" s="239">
        <f t="shared" si="1"/>
        <v>8.4300000000000015</v>
      </c>
      <c r="T13" s="60" t="s">
        <v>237</v>
      </c>
      <c r="U13" s="60">
        <v>7660</v>
      </c>
      <c r="V13" s="60"/>
      <c r="W13" s="60">
        <v>19.670000000000002</v>
      </c>
      <c r="X13" s="60">
        <v>1507</v>
      </c>
      <c r="Y13" s="60">
        <f>X13/3500</f>
        <v>0.43057142857142855</v>
      </c>
      <c r="Z13" s="60"/>
      <c r="AA13" s="1"/>
      <c r="AB13" s="1"/>
      <c r="AC13" s="245"/>
      <c r="AD13" s="56"/>
      <c r="AF13" s="151"/>
      <c r="AJ13" s="146"/>
    </row>
    <row r="14" spans="1:53" ht="12.75" customHeight="1" x14ac:dyDescent="0.25">
      <c r="A14" s="1013"/>
      <c r="B14" s="79" t="s">
        <v>1181</v>
      </c>
      <c r="C14" s="51">
        <f>C9*C12+C10*C13</f>
        <v>150.44221094057906</v>
      </c>
      <c r="D14" s="220"/>
      <c r="E14" s="68" t="s">
        <v>1444</v>
      </c>
      <c r="F14" s="69" t="s">
        <v>1443</v>
      </c>
      <c r="G14" s="70">
        <v>872</v>
      </c>
      <c r="H14" s="69">
        <v>2.5000000000000001E-2</v>
      </c>
      <c r="I14" s="71">
        <f t="shared" si="2"/>
        <v>21.8</v>
      </c>
      <c r="J14" s="59"/>
      <c r="K14" s="170"/>
      <c r="L14" s="76"/>
      <c r="M14" s="72"/>
      <c r="N14" s="61"/>
      <c r="O14" s="239" t="s">
        <v>1706</v>
      </c>
      <c r="P14" s="60">
        <v>7500</v>
      </c>
      <c r="Q14" s="60">
        <v>33.299999999999997</v>
      </c>
      <c r="R14" s="60">
        <f t="shared" si="0"/>
        <v>2497.4999999999995</v>
      </c>
      <c r="S14" s="60">
        <f t="shared" si="1"/>
        <v>0.71357142857142841</v>
      </c>
      <c r="T14" s="60"/>
      <c r="U14" s="60"/>
      <c r="V14" s="60"/>
      <c r="W14" s="60"/>
      <c r="X14" s="60"/>
      <c r="Y14" s="60"/>
      <c r="Z14" s="60"/>
      <c r="AA14" s="1"/>
      <c r="AB14" s="1"/>
      <c r="AC14" s="245"/>
      <c r="AD14" s="56"/>
      <c r="AF14" s="151"/>
      <c r="AJ14" s="136"/>
    </row>
    <row r="15" spans="1:53" ht="12.75" customHeight="1" x14ac:dyDescent="0.25">
      <c r="A15" s="1013"/>
      <c r="B15" s="79"/>
      <c r="C15" s="51"/>
      <c r="D15" s="220"/>
      <c r="E15" s="68" t="s">
        <v>28</v>
      </c>
      <c r="F15" s="69" t="s">
        <v>1441</v>
      </c>
      <c r="G15" s="70">
        <v>4.5</v>
      </c>
      <c r="H15" s="69">
        <v>2</v>
      </c>
      <c r="I15" s="71">
        <f t="shared" si="2"/>
        <v>9</v>
      </c>
      <c r="J15" s="59"/>
      <c r="K15" s="170"/>
      <c r="L15" s="76"/>
      <c r="M15" s="72"/>
      <c r="N15" s="61"/>
      <c r="O15" s="239" t="s">
        <v>1707</v>
      </c>
      <c r="P15" s="60">
        <v>3000</v>
      </c>
      <c r="Q15" s="60">
        <v>16.7</v>
      </c>
      <c r="R15" s="60">
        <f t="shared" si="0"/>
        <v>500.99999999999994</v>
      </c>
      <c r="S15" s="60">
        <f t="shared" si="1"/>
        <v>0.14314285714285713</v>
      </c>
      <c r="T15" s="60"/>
      <c r="U15" s="60"/>
      <c r="V15" s="60"/>
      <c r="W15" s="60"/>
      <c r="X15" s="60"/>
      <c r="Y15" s="60"/>
      <c r="Z15" s="60"/>
      <c r="AA15" s="1"/>
      <c r="AB15" s="1"/>
      <c r="AC15" s="245"/>
      <c r="AD15" s="56"/>
      <c r="AF15" s="151"/>
      <c r="AJ15" s="136"/>
    </row>
    <row r="16" spans="1:53" ht="12.75" customHeight="1" x14ac:dyDescent="0.25">
      <c r="A16" s="1013"/>
      <c r="B16" s="79"/>
      <c r="C16" s="51"/>
      <c r="D16" s="220"/>
      <c r="E16" s="57" t="s">
        <v>1696</v>
      </c>
      <c r="F16" s="165" t="s">
        <v>1441</v>
      </c>
      <c r="G16" s="58">
        <v>9.39</v>
      </c>
      <c r="H16" s="58">
        <v>2</v>
      </c>
      <c r="I16" s="1">
        <f>G16*H16</f>
        <v>18.78</v>
      </c>
      <c r="J16" s="59"/>
      <c r="K16" s="170"/>
      <c r="L16" s="76"/>
      <c r="M16" s="72"/>
      <c r="N16" s="61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1"/>
      <c r="AB16" s="1"/>
      <c r="AC16" s="245"/>
      <c r="AD16" s="56"/>
      <c r="AF16" s="151"/>
      <c r="AJ16" s="136"/>
    </row>
    <row r="17" spans="1:36" ht="12.75" customHeight="1" x14ac:dyDescent="0.25">
      <c r="A17" s="1013"/>
      <c r="B17" s="79"/>
      <c r="C17" s="51"/>
      <c r="D17" s="220"/>
      <c r="E17" s="57" t="s">
        <v>1708</v>
      </c>
      <c r="F17" s="165" t="s">
        <v>1441</v>
      </c>
      <c r="G17" s="58">
        <v>10.73</v>
      </c>
      <c r="H17" s="58">
        <v>0.25</v>
      </c>
      <c r="I17" s="2">
        <f>G17*H17</f>
        <v>2.6825000000000001</v>
      </c>
      <c r="J17" s="59"/>
      <c r="K17" s="170"/>
      <c r="L17" s="76"/>
      <c r="M17" s="72"/>
      <c r="N17" s="61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1"/>
      <c r="AB17" s="1"/>
      <c r="AC17" s="245"/>
      <c r="AD17" s="56"/>
      <c r="AF17" s="151"/>
      <c r="AJ17" s="136"/>
    </row>
    <row r="18" spans="1:36" ht="12.75" customHeight="1" x14ac:dyDescent="0.25">
      <c r="A18" s="1013"/>
      <c r="B18" s="79"/>
      <c r="C18" s="51"/>
      <c r="D18" s="220"/>
      <c r="E18" s="68" t="s">
        <v>1709</v>
      </c>
      <c r="F18" s="69" t="s">
        <v>1441</v>
      </c>
      <c r="G18" s="70">
        <v>81.400000000000006</v>
      </c>
      <c r="H18" s="69">
        <v>0.02</v>
      </c>
      <c r="I18" s="2">
        <f>G18*H18</f>
        <v>1.6280000000000001</v>
      </c>
      <c r="J18" s="59"/>
      <c r="K18" s="170"/>
      <c r="L18" s="76"/>
      <c r="M18" s="72"/>
      <c r="N18" s="61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1"/>
      <c r="AB18" s="1"/>
      <c r="AC18" s="245"/>
      <c r="AD18" s="56"/>
      <c r="AF18" s="151"/>
      <c r="AJ18" s="136"/>
    </row>
    <row r="19" spans="1:36" ht="12.75" customHeight="1" x14ac:dyDescent="0.25">
      <c r="A19" s="1013"/>
      <c r="B19" s="79"/>
      <c r="C19" s="51"/>
      <c r="D19" s="220"/>
      <c r="E19" s="68" t="s">
        <v>1710</v>
      </c>
      <c r="F19" s="69" t="s">
        <v>1441</v>
      </c>
      <c r="G19" s="70">
        <v>1.5</v>
      </c>
      <c r="H19" s="69">
        <v>4</v>
      </c>
      <c r="I19" s="1">
        <f>G19*H19</f>
        <v>6</v>
      </c>
      <c r="J19" s="59"/>
      <c r="K19" s="170"/>
      <c r="L19" s="76"/>
      <c r="M19" s="72"/>
      <c r="N19" s="61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1"/>
      <c r="AB19" s="1"/>
      <c r="AC19" s="245"/>
      <c r="AD19" s="56"/>
      <c r="AF19" s="151"/>
      <c r="AJ19" s="136"/>
    </row>
    <row r="20" spans="1:36" ht="13.5" customHeight="1" x14ac:dyDescent="0.25">
      <c r="A20" s="1014"/>
      <c r="B20" s="123"/>
      <c r="C20" s="78"/>
      <c r="D20" s="221"/>
      <c r="E20" s="68"/>
      <c r="F20" s="166"/>
      <c r="G20" s="70"/>
      <c r="H20" s="69"/>
      <c r="I20" s="71"/>
      <c r="J20" s="59"/>
      <c r="K20" s="170"/>
      <c r="L20" s="61"/>
      <c r="M20" s="61"/>
      <c r="N20" s="61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1"/>
      <c r="AB20" s="1"/>
      <c r="AC20" s="245"/>
      <c r="AD20" s="56"/>
      <c r="AF20" s="151"/>
      <c r="AJ20" s="146"/>
    </row>
    <row r="56" spans="2:7" hidden="1" x14ac:dyDescent="0.25">
      <c r="B56" s="1081" t="s">
        <v>153</v>
      </c>
      <c r="C56" s="1081"/>
      <c r="F56" s="164" t="s">
        <v>68</v>
      </c>
    </row>
    <row r="57" spans="2:7" hidden="1" x14ac:dyDescent="0.25">
      <c r="B57" s="1078" t="s">
        <v>30</v>
      </c>
      <c r="C57" s="1078"/>
      <c r="D57" s="648" t="s">
        <v>31</v>
      </c>
      <c r="E57" s="649">
        <v>114.9</v>
      </c>
      <c r="F57" s="1079">
        <f>E57/619</f>
        <v>0.18562197092084007</v>
      </c>
      <c r="G57" s="1080"/>
    </row>
    <row r="58" spans="2:7" hidden="1" x14ac:dyDescent="0.25">
      <c r="B58" s="1078"/>
      <c r="C58" s="1078"/>
      <c r="D58" s="648" t="s">
        <v>32</v>
      </c>
      <c r="E58" s="650">
        <v>10</v>
      </c>
      <c r="F58" s="1079">
        <f t="shared" ref="F58:F146" si="3">E58/619</f>
        <v>1.6155088852988692E-2</v>
      </c>
      <c r="G58" s="1080"/>
    </row>
    <row r="59" spans="2:7" hidden="1" x14ac:dyDescent="0.25">
      <c r="B59" s="1078" t="s">
        <v>33</v>
      </c>
      <c r="C59" s="1078"/>
      <c r="D59" s="648" t="s">
        <v>31</v>
      </c>
      <c r="E59" s="651">
        <v>8607.7800000000007</v>
      </c>
      <c r="F59" s="1079">
        <f t="shared" si="3"/>
        <v>13.9059450726979</v>
      </c>
      <c r="G59" s="1080"/>
    </row>
    <row r="60" spans="2:7" hidden="1" x14ac:dyDescent="0.25">
      <c r="B60" s="1078"/>
      <c r="C60" s="1078"/>
      <c r="D60" s="648" t="s">
        <v>32</v>
      </c>
      <c r="E60" s="650">
        <v>200</v>
      </c>
      <c r="F60" s="1079">
        <f t="shared" si="3"/>
        <v>0.32310177705977383</v>
      </c>
      <c r="G60" s="1080"/>
    </row>
    <row r="61" spans="2:7" hidden="1" x14ac:dyDescent="0.25">
      <c r="B61" s="1078" t="s">
        <v>34</v>
      </c>
      <c r="C61" s="1078"/>
      <c r="D61" s="648" t="s">
        <v>31</v>
      </c>
      <c r="E61" s="649">
        <v>2051.31</v>
      </c>
      <c r="F61" s="1079">
        <f t="shared" si="3"/>
        <v>3.3139095315024232</v>
      </c>
      <c r="G61" s="1080"/>
    </row>
    <row r="62" spans="2:7" hidden="1" x14ac:dyDescent="0.25">
      <c r="B62" s="1078"/>
      <c r="C62" s="1078"/>
      <c r="D62" s="648" t="s">
        <v>32</v>
      </c>
      <c r="E62" s="650">
        <v>126</v>
      </c>
      <c r="F62" s="1079">
        <f t="shared" si="3"/>
        <v>0.20355411954765751</v>
      </c>
      <c r="G62" s="1080"/>
    </row>
    <row r="63" spans="2:7" hidden="1" x14ac:dyDescent="0.25">
      <c r="B63" s="1078" t="s">
        <v>35</v>
      </c>
      <c r="C63" s="1078"/>
      <c r="D63" s="648" t="s">
        <v>31</v>
      </c>
      <c r="E63" s="649">
        <v>46.9</v>
      </c>
      <c r="F63" s="1079">
        <f t="shared" si="3"/>
        <v>7.5767366720516954E-2</v>
      </c>
      <c r="G63" s="1080"/>
    </row>
    <row r="64" spans="2:7" hidden="1" x14ac:dyDescent="0.25">
      <c r="B64" s="1078"/>
      <c r="C64" s="1078"/>
      <c r="D64" s="648" t="s">
        <v>32</v>
      </c>
      <c r="E64" s="650">
        <v>100</v>
      </c>
      <c r="F64" s="1079">
        <f t="shared" si="3"/>
        <v>0.16155088852988692</v>
      </c>
      <c r="G64" s="1080"/>
    </row>
    <row r="65" spans="2:7" hidden="1" x14ac:dyDescent="0.25">
      <c r="B65" s="1078" t="s">
        <v>36</v>
      </c>
      <c r="C65" s="1078"/>
      <c r="D65" s="648" t="s">
        <v>31</v>
      </c>
      <c r="E65" s="649">
        <v>230.25</v>
      </c>
      <c r="F65" s="1079">
        <f t="shared" si="3"/>
        <v>0.37197092084006461</v>
      </c>
      <c r="G65" s="1080"/>
    </row>
    <row r="66" spans="2:7" hidden="1" x14ac:dyDescent="0.25">
      <c r="B66" s="1078"/>
      <c r="C66" s="1078"/>
      <c r="D66" s="648" t="s">
        <v>32</v>
      </c>
      <c r="E66" s="650">
        <v>60</v>
      </c>
      <c r="F66" s="1079">
        <f t="shared" si="3"/>
        <v>9.6930533117932149E-2</v>
      </c>
      <c r="G66" s="1080"/>
    </row>
    <row r="67" spans="2:7" hidden="1" x14ac:dyDescent="0.25">
      <c r="B67" s="1078" t="s">
        <v>37</v>
      </c>
      <c r="C67" s="1078"/>
      <c r="D67" s="648" t="s">
        <v>31</v>
      </c>
      <c r="E67" s="649">
        <v>42.6</v>
      </c>
      <c r="F67" s="1079">
        <f t="shared" si="3"/>
        <v>6.8820678513731831E-2</v>
      </c>
      <c r="G67" s="1080"/>
    </row>
    <row r="68" spans="2:7" hidden="1" x14ac:dyDescent="0.25">
      <c r="B68" s="1078"/>
      <c r="C68" s="1078"/>
      <c r="D68" s="648" t="s">
        <v>32</v>
      </c>
      <c r="E68" s="650">
        <v>600</v>
      </c>
      <c r="F68" s="1079">
        <f t="shared" si="3"/>
        <v>0.96930533117932149</v>
      </c>
      <c r="G68" s="1080"/>
    </row>
    <row r="69" spans="2:7" hidden="1" x14ac:dyDescent="0.25">
      <c r="B69" s="1078" t="s">
        <v>71</v>
      </c>
      <c r="C69" s="1078"/>
      <c r="D69" s="648" t="s">
        <v>31</v>
      </c>
      <c r="E69" s="651">
        <v>2198.13</v>
      </c>
      <c r="F69" s="1079">
        <f t="shared" si="3"/>
        <v>3.5510985460420033</v>
      </c>
      <c r="G69" s="1080"/>
    </row>
    <row r="70" spans="2:7" hidden="1" x14ac:dyDescent="0.25">
      <c r="B70" s="1078"/>
      <c r="C70" s="1078"/>
      <c r="D70" s="648" t="s">
        <v>32</v>
      </c>
      <c r="E70" s="650">
        <v>55</v>
      </c>
      <c r="F70" s="1079">
        <f t="shared" si="3"/>
        <v>8.8852988691437804E-2</v>
      </c>
      <c r="G70" s="1080"/>
    </row>
    <row r="71" spans="2:7" hidden="1" x14ac:dyDescent="0.25">
      <c r="B71" s="1078" t="s">
        <v>38</v>
      </c>
      <c r="C71" s="1078"/>
      <c r="D71" s="648" t="s">
        <v>31</v>
      </c>
      <c r="E71" s="649">
        <v>296.39999999999998</v>
      </c>
      <c r="F71" s="1079">
        <f t="shared" si="3"/>
        <v>0.47883683360258478</v>
      </c>
      <c r="G71" s="1080"/>
    </row>
    <row r="72" spans="2:7" hidden="1" x14ac:dyDescent="0.25">
      <c r="B72" s="1078"/>
      <c r="C72" s="1078"/>
      <c r="D72" s="648" t="s">
        <v>32</v>
      </c>
      <c r="E72" s="650">
        <v>80</v>
      </c>
      <c r="F72" s="1079">
        <f t="shared" si="3"/>
        <v>0.12924071082390953</v>
      </c>
      <c r="G72" s="1080"/>
    </row>
    <row r="73" spans="2:7" hidden="1" x14ac:dyDescent="0.25">
      <c r="B73" s="1078" t="s">
        <v>72</v>
      </c>
      <c r="C73" s="1078"/>
      <c r="D73" s="648" t="s">
        <v>31</v>
      </c>
      <c r="E73" s="651">
        <v>560.78</v>
      </c>
      <c r="F73" s="1079">
        <f t="shared" si="3"/>
        <v>0.90594507269789981</v>
      </c>
      <c r="G73" s="1080"/>
    </row>
    <row r="74" spans="2:7" hidden="1" x14ac:dyDescent="0.25">
      <c r="B74" s="1078"/>
      <c r="C74" s="1078"/>
      <c r="D74" s="648" t="s">
        <v>32</v>
      </c>
      <c r="E74" s="650">
        <v>23</v>
      </c>
      <c r="F74" s="1079">
        <f t="shared" si="3"/>
        <v>3.7156704361873988E-2</v>
      </c>
      <c r="G74" s="1080"/>
    </row>
    <row r="75" spans="2:7" hidden="1" x14ac:dyDescent="0.25">
      <c r="B75" s="1078" t="s">
        <v>39</v>
      </c>
      <c r="C75" s="1078"/>
      <c r="D75" s="648" t="s">
        <v>31</v>
      </c>
      <c r="E75" s="649">
        <v>39.89</v>
      </c>
      <c r="F75" s="1079">
        <f t="shared" si="3"/>
        <v>6.4442649434571897E-2</v>
      </c>
      <c r="G75" s="1080"/>
    </row>
    <row r="76" spans="2:7" hidden="1" x14ac:dyDescent="0.25">
      <c r="B76" s="1078"/>
      <c r="C76" s="1078"/>
      <c r="D76" s="648" t="s">
        <v>32</v>
      </c>
      <c r="E76" s="650">
        <v>20</v>
      </c>
      <c r="F76" s="1079">
        <f t="shared" si="3"/>
        <v>3.2310177705977383E-2</v>
      </c>
      <c r="G76" s="1080"/>
    </row>
    <row r="77" spans="2:7" hidden="1" x14ac:dyDescent="0.25">
      <c r="B77" s="1078" t="s">
        <v>73</v>
      </c>
      <c r="C77" s="1078"/>
      <c r="D77" s="648" t="s">
        <v>31</v>
      </c>
      <c r="E77" s="649">
        <v>85.47</v>
      </c>
      <c r="F77" s="1079">
        <f t="shared" si="3"/>
        <v>0.13807754442649434</v>
      </c>
      <c r="G77" s="1080"/>
    </row>
    <row r="78" spans="2:7" hidden="1" x14ac:dyDescent="0.25">
      <c r="B78" s="1078"/>
      <c r="C78" s="1078"/>
      <c r="D78" s="648" t="s">
        <v>32</v>
      </c>
      <c r="E78" s="650">
        <v>20</v>
      </c>
      <c r="F78" s="1079">
        <f t="shared" si="3"/>
        <v>3.2310177705977383E-2</v>
      </c>
      <c r="G78" s="1080"/>
    </row>
    <row r="79" spans="2:7" hidden="1" x14ac:dyDescent="0.25">
      <c r="B79" s="1078" t="s">
        <v>40</v>
      </c>
      <c r="C79" s="1078"/>
      <c r="D79" s="648" t="s">
        <v>31</v>
      </c>
      <c r="E79" s="649">
        <v>257.42</v>
      </c>
      <c r="F79" s="1079">
        <f t="shared" si="3"/>
        <v>0.41586429725363494</v>
      </c>
      <c r="G79" s="1080"/>
    </row>
    <row r="80" spans="2:7" hidden="1" x14ac:dyDescent="0.25">
      <c r="B80" s="1078"/>
      <c r="C80" s="1078"/>
      <c r="D80" s="648" t="s">
        <v>32</v>
      </c>
      <c r="E80" s="650">
        <v>180</v>
      </c>
      <c r="F80" s="1079">
        <f t="shared" si="3"/>
        <v>0.29079159935379645</v>
      </c>
      <c r="G80" s="1080"/>
    </row>
    <row r="81" spans="2:7" hidden="1" x14ac:dyDescent="0.25">
      <c r="B81" s="1078" t="s">
        <v>74</v>
      </c>
      <c r="C81" s="1078"/>
      <c r="D81" s="648" t="s">
        <v>31</v>
      </c>
      <c r="E81" s="649">
        <v>139.38</v>
      </c>
      <c r="F81" s="1079">
        <f t="shared" si="3"/>
        <v>0.22516962843295638</v>
      </c>
      <c r="G81" s="1080"/>
    </row>
    <row r="82" spans="2:7" hidden="1" x14ac:dyDescent="0.25">
      <c r="B82" s="1078"/>
      <c r="C82" s="1078"/>
      <c r="D82" s="648" t="s">
        <v>32</v>
      </c>
      <c r="E82" s="650">
        <v>4</v>
      </c>
      <c r="F82" s="1079">
        <f t="shared" si="3"/>
        <v>6.462035541195477E-3</v>
      </c>
      <c r="G82" s="1080"/>
    </row>
    <row r="83" spans="2:7" hidden="1" x14ac:dyDescent="0.25">
      <c r="B83" s="1078" t="s">
        <v>75</v>
      </c>
      <c r="C83" s="1078"/>
      <c r="D83" s="648" t="s">
        <v>31</v>
      </c>
      <c r="E83" s="651">
        <v>371.28</v>
      </c>
      <c r="F83" s="1079">
        <f t="shared" si="3"/>
        <v>0.59980613893376411</v>
      </c>
      <c r="G83" s="1080"/>
    </row>
    <row r="84" spans="2:7" hidden="1" x14ac:dyDescent="0.25">
      <c r="B84" s="1078"/>
      <c r="C84" s="1078"/>
      <c r="D84" s="648" t="s">
        <v>32</v>
      </c>
      <c r="E84" s="650">
        <v>32</v>
      </c>
      <c r="F84" s="1079">
        <f t="shared" si="3"/>
        <v>5.1696284329563816E-2</v>
      </c>
      <c r="G84" s="1080"/>
    </row>
    <row r="85" spans="2:7" hidden="1" x14ac:dyDescent="0.25">
      <c r="B85" s="1078" t="s">
        <v>41</v>
      </c>
      <c r="C85" s="1078"/>
      <c r="D85" s="648" t="s">
        <v>31</v>
      </c>
      <c r="E85" s="649">
        <v>128.41</v>
      </c>
      <c r="F85" s="1079">
        <f t="shared" si="3"/>
        <v>0.20744749596122777</v>
      </c>
      <c r="G85" s="1080"/>
    </row>
    <row r="86" spans="2:7" hidden="1" x14ac:dyDescent="0.25">
      <c r="B86" s="1078"/>
      <c r="C86" s="1078"/>
      <c r="D86" s="648" t="s">
        <v>32</v>
      </c>
      <c r="E86" s="650">
        <v>20</v>
      </c>
      <c r="F86" s="1079">
        <f t="shared" si="3"/>
        <v>3.2310177705977383E-2</v>
      </c>
      <c r="G86" s="1080"/>
    </row>
    <row r="87" spans="2:7" hidden="1" x14ac:dyDescent="0.25">
      <c r="B87" s="1078" t="s">
        <v>42</v>
      </c>
      <c r="C87" s="1078"/>
      <c r="D87" s="648" t="s">
        <v>31</v>
      </c>
      <c r="E87" s="649">
        <v>105.72</v>
      </c>
      <c r="F87" s="1079">
        <f t="shared" si="3"/>
        <v>0.17079159935379645</v>
      </c>
      <c r="G87" s="1080"/>
    </row>
    <row r="88" spans="2:7" hidden="1" x14ac:dyDescent="0.25">
      <c r="B88" s="1078"/>
      <c r="C88" s="1078"/>
      <c r="D88" s="648" t="s">
        <v>32</v>
      </c>
      <c r="E88" s="650">
        <v>8</v>
      </c>
      <c r="F88" s="1079">
        <f t="shared" si="3"/>
        <v>1.2924071082390954E-2</v>
      </c>
      <c r="G88" s="1080"/>
    </row>
    <row r="89" spans="2:7" hidden="1" x14ac:dyDescent="0.25">
      <c r="B89" s="1078" t="s">
        <v>43</v>
      </c>
      <c r="C89" s="1078"/>
      <c r="D89" s="648" t="s">
        <v>31</v>
      </c>
      <c r="E89" s="649">
        <v>1266.06</v>
      </c>
      <c r="F89" s="1079">
        <f t="shared" si="3"/>
        <v>2.0453311793214861</v>
      </c>
      <c r="G89" s="1080"/>
    </row>
    <row r="90" spans="2:7" hidden="1" x14ac:dyDescent="0.25">
      <c r="B90" s="1078"/>
      <c r="C90" s="1078"/>
      <c r="D90" s="648" t="s">
        <v>32</v>
      </c>
      <c r="E90" s="650">
        <v>45</v>
      </c>
      <c r="F90" s="1079">
        <f>E90/619</f>
        <v>7.2697899838449112E-2</v>
      </c>
      <c r="G90" s="1080"/>
    </row>
    <row r="91" spans="2:7" hidden="1" x14ac:dyDescent="0.25">
      <c r="B91" s="1078" t="s">
        <v>44</v>
      </c>
      <c r="C91" s="1078"/>
      <c r="D91" s="648" t="s">
        <v>31</v>
      </c>
      <c r="E91" s="649">
        <v>2164.0500000000002</v>
      </c>
      <c r="F91" s="1079">
        <f t="shared" si="3"/>
        <v>3.4960420032310182</v>
      </c>
      <c r="G91" s="1080"/>
    </row>
    <row r="92" spans="2:7" hidden="1" x14ac:dyDescent="0.25">
      <c r="B92" s="1078"/>
      <c r="C92" s="1078"/>
      <c r="D92" s="648" t="s">
        <v>32</v>
      </c>
      <c r="E92" s="650">
        <v>62</v>
      </c>
      <c r="F92" s="1079">
        <f t="shared" si="3"/>
        <v>0.10016155088852989</v>
      </c>
      <c r="G92" s="1080"/>
    </row>
    <row r="93" spans="2:7" hidden="1" x14ac:dyDescent="0.25">
      <c r="B93" s="1078" t="s">
        <v>76</v>
      </c>
      <c r="C93" s="1078"/>
      <c r="D93" s="648" t="s">
        <v>31</v>
      </c>
      <c r="E93" s="651">
        <v>420.54</v>
      </c>
      <c r="F93" s="1079">
        <f t="shared" si="3"/>
        <v>0.67938610662358645</v>
      </c>
      <c r="G93" s="1080"/>
    </row>
    <row r="94" spans="2:7" hidden="1" x14ac:dyDescent="0.25">
      <c r="B94" s="1078"/>
      <c r="C94" s="1078"/>
      <c r="D94" s="648" t="s">
        <v>32</v>
      </c>
      <c r="E94" s="650">
        <v>20</v>
      </c>
      <c r="F94" s="1079">
        <f t="shared" si="3"/>
        <v>3.2310177705977383E-2</v>
      </c>
      <c r="G94" s="1080"/>
    </row>
    <row r="95" spans="2:7" hidden="1" x14ac:dyDescent="0.25">
      <c r="B95" s="1083" t="s">
        <v>70</v>
      </c>
      <c r="C95" s="1084"/>
      <c r="D95" s="648" t="s">
        <v>31</v>
      </c>
      <c r="E95" s="650">
        <v>6370</v>
      </c>
      <c r="F95" s="1079">
        <f t="shared" si="3"/>
        <v>10.290791599353797</v>
      </c>
      <c r="G95" s="1080"/>
    </row>
    <row r="96" spans="2:7" hidden="1" x14ac:dyDescent="0.25">
      <c r="B96" s="1085"/>
      <c r="C96" s="1086"/>
      <c r="D96" s="648" t="s">
        <v>32</v>
      </c>
      <c r="E96" s="650">
        <v>25</v>
      </c>
      <c r="F96" s="1079">
        <f t="shared" si="3"/>
        <v>4.0387722132471729E-2</v>
      </c>
      <c r="G96" s="1080"/>
    </row>
    <row r="97" spans="2:7" hidden="1" x14ac:dyDescent="0.25">
      <c r="B97" s="1078" t="s">
        <v>77</v>
      </c>
      <c r="C97" s="1078"/>
      <c r="D97" s="648" t="s">
        <v>31</v>
      </c>
      <c r="E97" s="651">
        <v>390.94</v>
      </c>
      <c r="F97" s="1079">
        <f t="shared" si="3"/>
        <v>0.63156704361873994</v>
      </c>
      <c r="G97" s="1080"/>
    </row>
    <row r="98" spans="2:7" hidden="1" x14ac:dyDescent="0.25">
      <c r="B98" s="1078"/>
      <c r="C98" s="1078"/>
      <c r="D98" s="648" t="s">
        <v>32</v>
      </c>
      <c r="E98" s="650">
        <v>10</v>
      </c>
      <c r="F98" s="1079">
        <f t="shared" si="3"/>
        <v>1.6155088852988692E-2</v>
      </c>
      <c r="G98" s="1080"/>
    </row>
    <row r="99" spans="2:7" hidden="1" x14ac:dyDescent="0.25">
      <c r="B99" s="1078" t="s">
        <v>45</v>
      </c>
      <c r="C99" s="1078"/>
      <c r="D99" s="648" t="s">
        <v>31</v>
      </c>
      <c r="E99" s="649">
        <v>1912.94</v>
      </c>
      <c r="F99" s="1079">
        <f t="shared" si="3"/>
        <v>3.0903715670436189</v>
      </c>
      <c r="G99" s="1080"/>
    </row>
    <row r="100" spans="2:7" hidden="1" x14ac:dyDescent="0.25">
      <c r="B100" s="1078"/>
      <c r="C100" s="1078"/>
      <c r="D100" s="648" t="s">
        <v>32</v>
      </c>
      <c r="E100" s="650">
        <v>380</v>
      </c>
      <c r="F100" s="1079">
        <f t="shared" si="3"/>
        <v>0.61389337641357022</v>
      </c>
      <c r="G100" s="1080"/>
    </row>
    <row r="101" spans="2:7" hidden="1" x14ac:dyDescent="0.25">
      <c r="B101" s="1078" t="s">
        <v>78</v>
      </c>
      <c r="C101" s="1078"/>
      <c r="D101" s="648" t="s">
        <v>31</v>
      </c>
      <c r="E101" s="651">
        <v>534.5</v>
      </c>
      <c r="F101" s="1079">
        <f t="shared" si="3"/>
        <v>0.8634894991922456</v>
      </c>
      <c r="G101" s="1080"/>
    </row>
    <row r="102" spans="2:7" hidden="1" x14ac:dyDescent="0.25">
      <c r="B102" s="1078"/>
      <c r="C102" s="1078"/>
      <c r="D102" s="648" t="s">
        <v>32</v>
      </c>
      <c r="E102" s="650">
        <v>10</v>
      </c>
      <c r="F102" s="1079">
        <f t="shared" si="3"/>
        <v>1.6155088852988692E-2</v>
      </c>
      <c r="G102" s="1080"/>
    </row>
    <row r="103" spans="2:7" hidden="1" x14ac:dyDescent="0.25">
      <c r="B103" s="1078" t="s">
        <v>46</v>
      </c>
      <c r="C103" s="1078"/>
      <c r="D103" s="648" t="s">
        <v>31</v>
      </c>
      <c r="E103" s="649">
        <v>438.81</v>
      </c>
      <c r="F103" s="1079">
        <f t="shared" si="3"/>
        <v>0.70890145395799675</v>
      </c>
      <c r="G103" s="1080"/>
    </row>
    <row r="104" spans="2:7" hidden="1" x14ac:dyDescent="0.25">
      <c r="B104" s="1078"/>
      <c r="C104" s="1078"/>
      <c r="D104" s="648" t="s">
        <v>32</v>
      </c>
      <c r="E104" s="650">
        <v>10</v>
      </c>
      <c r="F104" s="1079">
        <f t="shared" si="3"/>
        <v>1.6155088852988692E-2</v>
      </c>
      <c r="G104" s="1080"/>
    </row>
    <row r="105" spans="2:7" hidden="1" x14ac:dyDescent="0.25">
      <c r="B105" s="1078" t="s">
        <v>584</v>
      </c>
      <c r="C105" s="1078"/>
      <c r="D105" s="648" t="s">
        <v>31</v>
      </c>
      <c r="E105" s="649">
        <v>58.27</v>
      </c>
      <c r="F105" s="1079">
        <f t="shared" si="3"/>
        <v>9.413570274636511E-2</v>
      </c>
      <c r="G105" s="1080"/>
    </row>
    <row r="106" spans="2:7" hidden="1" x14ac:dyDescent="0.25">
      <c r="B106" s="1078"/>
      <c r="C106" s="1078"/>
      <c r="D106" s="648" t="s">
        <v>32</v>
      </c>
      <c r="E106" s="650">
        <v>90</v>
      </c>
      <c r="F106" s="1079">
        <f t="shared" si="3"/>
        <v>0.14539579967689822</v>
      </c>
      <c r="G106" s="1080"/>
    </row>
    <row r="107" spans="2:7" hidden="1" x14ac:dyDescent="0.25">
      <c r="B107" s="1078" t="s">
        <v>47</v>
      </c>
      <c r="C107" s="1078"/>
      <c r="D107" s="648" t="s">
        <v>31</v>
      </c>
      <c r="E107" s="649">
        <v>184.76</v>
      </c>
      <c r="F107" s="1079">
        <f t="shared" si="3"/>
        <v>0.29848142164781905</v>
      </c>
      <c r="G107" s="1080"/>
    </row>
    <row r="108" spans="2:7" hidden="1" x14ac:dyDescent="0.25">
      <c r="B108" s="1078"/>
      <c r="C108" s="1078"/>
      <c r="D108" s="648" t="s">
        <v>32</v>
      </c>
      <c r="E108" s="650">
        <v>60</v>
      </c>
      <c r="F108" s="1079">
        <f t="shared" si="3"/>
        <v>9.6930533117932149E-2</v>
      </c>
      <c r="G108" s="1080"/>
    </row>
    <row r="109" spans="2:7" hidden="1" x14ac:dyDescent="0.25">
      <c r="B109" s="1078" t="s">
        <v>79</v>
      </c>
      <c r="C109" s="1078"/>
      <c r="D109" s="648" t="s">
        <v>31</v>
      </c>
      <c r="E109" s="651">
        <v>415.78</v>
      </c>
      <c r="F109" s="1079">
        <f t="shared" si="3"/>
        <v>0.67169628432956374</v>
      </c>
      <c r="G109" s="1080"/>
    </row>
    <row r="110" spans="2:7" hidden="1" x14ac:dyDescent="0.25">
      <c r="B110" s="1078"/>
      <c r="C110" s="1078"/>
      <c r="D110" s="648" t="s">
        <v>32</v>
      </c>
      <c r="E110" s="650">
        <v>28</v>
      </c>
      <c r="F110" s="1079">
        <f t="shared" si="3"/>
        <v>4.5234248788368334E-2</v>
      </c>
      <c r="G110" s="1080"/>
    </row>
    <row r="111" spans="2:7" hidden="1" x14ac:dyDescent="0.25">
      <c r="B111" s="1078" t="s">
        <v>48</v>
      </c>
      <c r="C111" s="1078"/>
      <c r="D111" s="648" t="s">
        <v>31</v>
      </c>
      <c r="E111" s="651">
        <v>2783.5</v>
      </c>
      <c r="F111" s="1079">
        <f t="shared" si="3"/>
        <v>4.4967689822294021</v>
      </c>
      <c r="G111" s="1080"/>
    </row>
    <row r="112" spans="2:7" hidden="1" x14ac:dyDescent="0.25">
      <c r="B112" s="1078"/>
      <c r="C112" s="1078"/>
      <c r="D112" s="648" t="s">
        <v>32</v>
      </c>
      <c r="E112" s="650">
        <v>300</v>
      </c>
      <c r="F112" s="1079">
        <f t="shared" si="3"/>
        <v>0.48465266558966075</v>
      </c>
      <c r="G112" s="1080"/>
    </row>
    <row r="113" spans="2:7" hidden="1" x14ac:dyDescent="0.25">
      <c r="B113" s="1078" t="s">
        <v>49</v>
      </c>
      <c r="C113" s="1078"/>
      <c r="D113" s="648" t="s">
        <v>31</v>
      </c>
      <c r="E113" s="651">
        <v>15658.58</v>
      </c>
      <c r="F113" s="1079">
        <f t="shared" si="3"/>
        <v>25.296575121163166</v>
      </c>
      <c r="G113" s="1080"/>
    </row>
    <row r="114" spans="2:7" hidden="1" x14ac:dyDescent="0.25">
      <c r="B114" s="1078"/>
      <c r="C114" s="1078"/>
      <c r="D114" s="648" t="s">
        <v>32</v>
      </c>
      <c r="E114" s="650">
        <v>480</v>
      </c>
      <c r="F114" s="1079">
        <f t="shared" si="3"/>
        <v>0.7754442649434572</v>
      </c>
      <c r="G114" s="1080"/>
    </row>
    <row r="115" spans="2:7" hidden="1" x14ac:dyDescent="0.25">
      <c r="B115" s="1078" t="s">
        <v>50</v>
      </c>
      <c r="C115" s="1078"/>
      <c r="D115" s="648" t="s">
        <v>31</v>
      </c>
      <c r="E115" s="651">
        <v>20483.98</v>
      </c>
      <c r="F115" s="1079">
        <f t="shared" si="3"/>
        <v>33.092051696284329</v>
      </c>
      <c r="G115" s="1080"/>
    </row>
    <row r="116" spans="2:7" hidden="1" x14ac:dyDescent="0.25">
      <c r="B116" s="1078"/>
      <c r="C116" s="1078"/>
      <c r="D116" s="648" t="s">
        <v>32</v>
      </c>
      <c r="E116" s="652">
        <v>2466</v>
      </c>
      <c r="F116" s="1079">
        <f t="shared" si="3"/>
        <v>3.9838449111470111</v>
      </c>
      <c r="G116" s="1080"/>
    </row>
    <row r="117" spans="2:7" hidden="1" x14ac:dyDescent="0.25">
      <c r="B117" s="1078" t="s">
        <v>51</v>
      </c>
      <c r="C117" s="1078"/>
      <c r="D117" s="648" t="s">
        <v>31</v>
      </c>
      <c r="E117" s="649">
        <v>1938.39</v>
      </c>
      <c r="F117" s="1079">
        <f t="shared" si="3"/>
        <v>3.1314862681744753</v>
      </c>
      <c r="G117" s="1080"/>
    </row>
    <row r="118" spans="2:7" hidden="1" x14ac:dyDescent="0.25">
      <c r="B118" s="1078"/>
      <c r="C118" s="1078"/>
      <c r="D118" s="648" t="s">
        <v>32</v>
      </c>
      <c r="E118" s="650">
        <v>474</v>
      </c>
      <c r="F118" s="1079">
        <f t="shared" si="3"/>
        <v>0.76575121163166393</v>
      </c>
      <c r="G118" s="1080"/>
    </row>
    <row r="119" spans="2:7" hidden="1" x14ac:dyDescent="0.25">
      <c r="B119" s="1078" t="s">
        <v>52</v>
      </c>
      <c r="C119" s="1078"/>
      <c r="D119" s="648" t="s">
        <v>31</v>
      </c>
      <c r="E119" s="649">
        <v>1365.18</v>
      </c>
      <c r="F119" s="1079">
        <f t="shared" si="3"/>
        <v>2.2054604200323102</v>
      </c>
      <c r="G119" s="1080"/>
    </row>
    <row r="120" spans="2:7" hidden="1" x14ac:dyDescent="0.25">
      <c r="B120" s="1078"/>
      <c r="C120" s="1078"/>
      <c r="D120" s="648" t="s">
        <v>32</v>
      </c>
      <c r="E120" s="650">
        <v>150</v>
      </c>
      <c r="F120" s="1079">
        <f t="shared" si="3"/>
        <v>0.24232633279483037</v>
      </c>
      <c r="G120" s="1080"/>
    </row>
    <row r="121" spans="2:7" hidden="1" x14ac:dyDescent="0.25">
      <c r="B121" s="1078" t="s">
        <v>53</v>
      </c>
      <c r="C121" s="1078"/>
      <c r="D121" s="648" t="s">
        <v>31</v>
      </c>
      <c r="E121" s="649">
        <v>31.45</v>
      </c>
      <c r="F121" s="1079">
        <f t="shared" si="3"/>
        <v>5.0807754442649435E-2</v>
      </c>
      <c r="G121" s="1080"/>
    </row>
    <row r="122" spans="2:7" hidden="1" x14ac:dyDescent="0.25">
      <c r="B122" s="1078"/>
      <c r="C122" s="1078"/>
      <c r="D122" s="648" t="s">
        <v>32</v>
      </c>
      <c r="E122" s="650">
        <v>70</v>
      </c>
      <c r="F122" s="1079">
        <f t="shared" si="3"/>
        <v>0.11308562197092084</v>
      </c>
      <c r="G122" s="1080"/>
    </row>
    <row r="123" spans="2:7" hidden="1" x14ac:dyDescent="0.25">
      <c r="B123" s="1078" t="s">
        <v>54</v>
      </c>
      <c r="C123" s="1078"/>
      <c r="D123" s="648" t="s">
        <v>31</v>
      </c>
      <c r="E123" s="649">
        <v>557.6</v>
      </c>
      <c r="F123" s="1079">
        <f t="shared" si="3"/>
        <v>0.90080775444264949</v>
      </c>
      <c r="G123" s="1080"/>
    </row>
    <row r="124" spans="2:7" hidden="1" x14ac:dyDescent="0.25">
      <c r="B124" s="1078"/>
      <c r="C124" s="1078"/>
      <c r="D124" s="648" t="s">
        <v>32</v>
      </c>
      <c r="E124" s="650">
        <v>135</v>
      </c>
      <c r="F124" s="1079">
        <f t="shared" si="3"/>
        <v>0.21809369951534732</v>
      </c>
      <c r="G124" s="1080"/>
    </row>
    <row r="125" spans="2:7" hidden="1" x14ac:dyDescent="0.25">
      <c r="B125" s="1078" t="s">
        <v>55</v>
      </c>
      <c r="C125" s="1078"/>
      <c r="D125" s="648" t="s">
        <v>31</v>
      </c>
      <c r="E125" s="649">
        <v>139.4</v>
      </c>
      <c r="F125" s="1079">
        <f t="shared" si="3"/>
        <v>0.22520193861066237</v>
      </c>
      <c r="G125" s="1080"/>
    </row>
    <row r="126" spans="2:7" hidden="1" x14ac:dyDescent="0.25">
      <c r="B126" s="1078"/>
      <c r="C126" s="1078"/>
      <c r="D126" s="648" t="s">
        <v>32</v>
      </c>
      <c r="E126" s="650">
        <v>50</v>
      </c>
      <c r="F126" s="1079">
        <f t="shared" si="3"/>
        <v>8.0775444264943458E-2</v>
      </c>
      <c r="G126" s="1080"/>
    </row>
    <row r="127" spans="2:7" hidden="1" x14ac:dyDescent="0.25">
      <c r="B127" s="1078" t="s">
        <v>56</v>
      </c>
      <c r="C127" s="1078"/>
      <c r="D127" s="648" t="s">
        <v>31</v>
      </c>
      <c r="E127" s="649">
        <v>84.55</v>
      </c>
      <c r="F127" s="1079">
        <f t="shared" si="3"/>
        <v>0.13659127625201939</v>
      </c>
      <c r="G127" s="1080"/>
    </row>
    <row r="128" spans="2:7" hidden="1" x14ac:dyDescent="0.25">
      <c r="B128" s="1078"/>
      <c r="C128" s="1078"/>
      <c r="D128" s="648" t="s">
        <v>32</v>
      </c>
      <c r="E128" s="650">
        <v>10</v>
      </c>
      <c r="F128" s="1079">
        <f t="shared" si="3"/>
        <v>1.6155088852988692E-2</v>
      </c>
      <c r="G128" s="1080"/>
    </row>
    <row r="129" spans="2:53" hidden="1" x14ac:dyDescent="0.25">
      <c r="B129" s="1078" t="s">
        <v>57</v>
      </c>
      <c r="C129" s="1078"/>
      <c r="D129" s="648" t="s">
        <v>31</v>
      </c>
      <c r="E129" s="649">
        <v>5.99</v>
      </c>
      <c r="F129" s="1079">
        <f t="shared" si="3"/>
        <v>9.6768982229402268E-3</v>
      </c>
      <c r="G129" s="1080"/>
    </row>
    <row r="130" spans="2:53" hidden="1" x14ac:dyDescent="0.25">
      <c r="B130" s="1078"/>
      <c r="C130" s="1078"/>
      <c r="D130" s="648" t="s">
        <v>32</v>
      </c>
      <c r="E130" s="650">
        <v>10</v>
      </c>
      <c r="F130" s="1079">
        <f t="shared" si="3"/>
        <v>1.6155088852988692E-2</v>
      </c>
      <c r="G130" s="1080"/>
    </row>
    <row r="131" spans="2:53" hidden="1" x14ac:dyDescent="0.25">
      <c r="B131" s="1078" t="s">
        <v>58</v>
      </c>
      <c r="C131" s="1078"/>
      <c r="D131" s="648" t="s">
        <v>31</v>
      </c>
      <c r="E131" s="649">
        <v>1067.43</v>
      </c>
      <c r="F131" s="1079">
        <f t="shared" si="3"/>
        <v>1.7244426494345719</v>
      </c>
      <c r="G131" s="1080"/>
    </row>
    <row r="132" spans="2:53" hidden="1" x14ac:dyDescent="0.25">
      <c r="B132" s="1078"/>
      <c r="C132" s="1078"/>
      <c r="D132" s="648" t="s">
        <v>32</v>
      </c>
      <c r="E132" s="650">
        <v>690</v>
      </c>
      <c r="F132" s="1079">
        <f t="shared" si="3"/>
        <v>1.1147011308562198</v>
      </c>
      <c r="G132" s="1080"/>
    </row>
    <row r="133" spans="2:53" hidden="1" x14ac:dyDescent="0.25">
      <c r="B133" s="1078" t="s">
        <v>59</v>
      </c>
      <c r="C133" s="1078"/>
      <c r="D133" s="648" t="s">
        <v>31</v>
      </c>
      <c r="E133" s="649">
        <v>28.11</v>
      </c>
      <c r="F133" s="1079">
        <f t="shared" si="3"/>
        <v>4.541195476575121E-2</v>
      </c>
      <c r="G133" s="1080"/>
    </row>
    <row r="134" spans="2:53" hidden="1" x14ac:dyDescent="0.25">
      <c r="B134" s="1078"/>
      <c r="C134" s="1078"/>
      <c r="D134" s="648" t="s">
        <v>32</v>
      </c>
      <c r="E134" s="650">
        <v>30</v>
      </c>
      <c r="F134" s="1079">
        <f t="shared" si="3"/>
        <v>4.8465266558966075E-2</v>
      </c>
      <c r="G134" s="1080"/>
    </row>
    <row r="135" spans="2:53" hidden="1" x14ac:dyDescent="0.25">
      <c r="B135" s="1078" t="s">
        <v>80</v>
      </c>
      <c r="C135" s="1078"/>
      <c r="D135" s="648" t="s">
        <v>31</v>
      </c>
      <c r="E135" s="649">
        <v>242.2</v>
      </c>
      <c r="F135" s="1079">
        <f t="shared" si="3"/>
        <v>0.39127625201938609</v>
      </c>
      <c r="G135" s="1080"/>
      <c r="H135" s="40"/>
      <c r="I135" s="168"/>
      <c r="J135" s="38"/>
      <c r="K135" s="38"/>
      <c r="Y135" s="3"/>
      <c r="Z135" s="3"/>
      <c r="AD135" s="81"/>
      <c r="AE135" s="56"/>
      <c r="AF135" s="125"/>
      <c r="AG135" s="125"/>
      <c r="AJ135" s="127"/>
      <c r="AL135" s="125"/>
      <c r="AM135" s="128"/>
      <c r="AO135" s="125"/>
      <c r="AP135" s="128"/>
      <c r="AQ135" s="128"/>
      <c r="AR135" s="125"/>
      <c r="AS135" s="125"/>
      <c r="AT135" s="128"/>
      <c r="AU135" s="56"/>
      <c r="AV135" s="56"/>
      <c r="AZ135" s="3"/>
      <c r="BA135" s="3"/>
    </row>
    <row r="136" spans="2:53" hidden="1" x14ac:dyDescent="0.25">
      <c r="B136" s="1078"/>
      <c r="C136" s="1078"/>
      <c r="D136" s="648" t="s">
        <v>32</v>
      </c>
      <c r="E136" s="650">
        <v>25</v>
      </c>
      <c r="F136" s="1079">
        <f t="shared" si="3"/>
        <v>4.0387722132471729E-2</v>
      </c>
      <c r="G136" s="1080"/>
      <c r="H136" s="40"/>
      <c r="I136" s="168"/>
      <c r="J136" s="38"/>
      <c r="K136" s="38"/>
      <c r="Y136" s="3"/>
      <c r="Z136" s="3"/>
      <c r="AD136" s="81"/>
      <c r="AE136" s="56"/>
      <c r="AF136" s="125"/>
      <c r="AG136" s="125"/>
      <c r="AJ136" s="127"/>
      <c r="AL136" s="125"/>
      <c r="AM136" s="128"/>
      <c r="AO136" s="125"/>
      <c r="AP136" s="128"/>
      <c r="AQ136" s="128"/>
      <c r="AR136" s="125"/>
      <c r="AS136" s="125"/>
      <c r="AT136" s="128"/>
      <c r="AU136" s="56"/>
      <c r="AV136" s="56"/>
      <c r="AZ136" s="3"/>
      <c r="BA136" s="3"/>
    </row>
    <row r="137" spans="2:53" hidden="1" x14ac:dyDescent="0.25">
      <c r="B137" s="1078" t="s">
        <v>81</v>
      </c>
      <c r="C137" s="1078"/>
      <c r="D137" s="648" t="s">
        <v>31</v>
      </c>
      <c r="E137" s="649">
        <v>252.89</v>
      </c>
      <c r="F137" s="1079">
        <f t="shared" si="3"/>
        <v>0.40854604200323097</v>
      </c>
      <c r="G137" s="1080"/>
      <c r="H137" s="38"/>
      <c r="I137" s="38"/>
      <c r="J137" s="38"/>
      <c r="K137" s="38"/>
      <c r="W137" s="3"/>
      <c r="X137" s="3"/>
      <c r="Y137" s="3"/>
      <c r="Z137" s="3"/>
      <c r="AB137" s="81"/>
      <c r="AC137" s="56"/>
      <c r="AD137" s="125"/>
      <c r="AE137" s="125"/>
      <c r="AF137" s="125"/>
      <c r="AG137" s="125"/>
      <c r="AH137" s="127"/>
      <c r="AK137" s="128"/>
      <c r="AL137" s="125"/>
      <c r="AN137" s="128"/>
      <c r="AS137" s="56"/>
      <c r="AT137" s="56"/>
      <c r="AU137" s="56"/>
      <c r="AV137" s="56"/>
      <c r="AX137" s="3"/>
      <c r="AY137" s="3"/>
      <c r="AZ137" s="3"/>
      <c r="BA137" s="3"/>
    </row>
    <row r="138" spans="2:53" hidden="1" x14ac:dyDescent="0.25">
      <c r="B138" s="1078"/>
      <c r="C138" s="1078"/>
      <c r="D138" s="648" t="s">
        <v>32</v>
      </c>
      <c r="E138" s="650">
        <v>38</v>
      </c>
      <c r="F138" s="1079">
        <f t="shared" si="3"/>
        <v>6.1389337641357025E-2</v>
      </c>
      <c r="G138" s="1080"/>
      <c r="H138" s="38"/>
      <c r="I138" s="38"/>
      <c r="J138" s="38"/>
      <c r="K138" s="38"/>
      <c r="W138" s="3"/>
      <c r="X138" s="3"/>
      <c r="Y138" s="3"/>
      <c r="Z138" s="3"/>
      <c r="AB138" s="81"/>
      <c r="AC138" s="56"/>
      <c r="AD138" s="125"/>
      <c r="AE138" s="125"/>
      <c r="AF138" s="125"/>
      <c r="AG138" s="125"/>
      <c r="AH138" s="127"/>
      <c r="AK138" s="128"/>
      <c r="AL138" s="125"/>
      <c r="AN138" s="128"/>
      <c r="AS138" s="56"/>
      <c r="AT138" s="56"/>
      <c r="AU138" s="56"/>
      <c r="AV138" s="56"/>
      <c r="AX138" s="3"/>
      <c r="AY138" s="3"/>
      <c r="AZ138" s="3"/>
      <c r="BA138" s="3"/>
    </row>
    <row r="139" spans="2:53" hidden="1" x14ac:dyDescent="0.25">
      <c r="B139" s="1078" t="s">
        <v>60</v>
      </c>
      <c r="C139" s="1078"/>
      <c r="D139" s="648" t="s">
        <v>31</v>
      </c>
      <c r="E139" s="649">
        <v>137.53</v>
      </c>
      <c r="F139" s="1079">
        <f t="shared" si="3"/>
        <v>0.22218093699515348</v>
      </c>
      <c r="G139" s="1080"/>
    </row>
    <row r="140" spans="2:53" hidden="1" x14ac:dyDescent="0.25">
      <c r="B140" s="1078"/>
      <c r="C140" s="1078"/>
      <c r="D140" s="648" t="s">
        <v>32</v>
      </c>
      <c r="E140" s="650">
        <v>10</v>
      </c>
      <c r="F140" s="1079">
        <f t="shared" si="3"/>
        <v>1.6155088852988692E-2</v>
      </c>
      <c r="G140" s="1080"/>
    </row>
    <row r="141" spans="2:53" hidden="1" x14ac:dyDescent="0.25">
      <c r="B141" s="1078" t="s">
        <v>82</v>
      </c>
      <c r="C141" s="1078"/>
      <c r="D141" s="648" t="s">
        <v>31</v>
      </c>
      <c r="E141" s="651">
        <v>2029.67</v>
      </c>
      <c r="F141" s="1079">
        <f t="shared" si="3"/>
        <v>3.2789499192245559</v>
      </c>
      <c r="G141" s="1080"/>
      <c r="H141" s="40"/>
      <c r="I141" s="168"/>
      <c r="J141" s="38"/>
      <c r="K141" s="38"/>
      <c r="Y141" s="3"/>
      <c r="Z141" s="3"/>
      <c r="AD141" s="81"/>
      <c r="AE141" s="56"/>
      <c r="AF141" s="125"/>
      <c r="AG141" s="125"/>
      <c r="AJ141" s="127"/>
      <c r="AL141" s="125"/>
      <c r="AM141" s="128"/>
      <c r="AO141" s="125"/>
      <c r="AP141" s="128"/>
      <c r="AQ141" s="128"/>
      <c r="AR141" s="125"/>
      <c r="AS141" s="125"/>
      <c r="AT141" s="128"/>
      <c r="AU141" s="56"/>
      <c r="AV141" s="56"/>
      <c r="AZ141" s="3"/>
      <c r="BA141" s="3"/>
    </row>
    <row r="142" spans="2:53" hidden="1" x14ac:dyDescent="0.25">
      <c r="B142" s="1078"/>
      <c r="C142" s="1078"/>
      <c r="D142" s="648" t="s">
        <v>32</v>
      </c>
      <c r="E142" s="650">
        <v>12</v>
      </c>
      <c r="F142" s="1079">
        <f t="shared" si="3"/>
        <v>1.9386106623586429E-2</v>
      </c>
      <c r="G142" s="1080"/>
      <c r="H142" s="40"/>
      <c r="I142" s="168"/>
      <c r="J142" s="38"/>
      <c r="K142" s="38"/>
      <c r="Y142" s="3"/>
      <c r="Z142" s="3"/>
      <c r="AD142" s="81"/>
      <c r="AE142" s="56"/>
      <c r="AF142" s="125"/>
      <c r="AG142" s="125"/>
      <c r="AJ142" s="127"/>
      <c r="AL142" s="125"/>
      <c r="AM142" s="128"/>
      <c r="AO142" s="125"/>
      <c r="AP142" s="128"/>
      <c r="AQ142" s="128"/>
      <c r="AR142" s="125"/>
      <c r="AS142" s="125"/>
      <c r="AT142" s="128"/>
      <c r="AU142" s="56"/>
      <c r="AV142" s="56"/>
      <c r="AZ142" s="3"/>
      <c r="BA142" s="3"/>
    </row>
    <row r="143" spans="2:53" hidden="1" x14ac:dyDescent="0.25">
      <c r="B143" s="1078" t="s">
        <v>61</v>
      </c>
      <c r="C143" s="1078"/>
      <c r="D143" s="648" t="s">
        <v>31</v>
      </c>
      <c r="E143" s="649">
        <v>23.26</v>
      </c>
      <c r="F143" s="1079">
        <f t="shared" si="3"/>
        <v>3.7576736672051698E-2</v>
      </c>
      <c r="G143" s="1080"/>
    </row>
    <row r="144" spans="2:53" hidden="1" x14ac:dyDescent="0.25">
      <c r="B144" s="1078"/>
      <c r="C144" s="1078"/>
      <c r="D144" s="648" t="s">
        <v>32</v>
      </c>
      <c r="E144" s="650">
        <v>50</v>
      </c>
      <c r="F144" s="1079">
        <f t="shared" si="3"/>
        <v>8.0775444264943458E-2</v>
      </c>
      <c r="G144" s="1080"/>
    </row>
    <row r="145" spans="2:53" hidden="1" x14ac:dyDescent="0.25">
      <c r="B145" s="1078" t="s">
        <v>62</v>
      </c>
      <c r="C145" s="1078"/>
      <c r="D145" s="648" t="s">
        <v>31</v>
      </c>
      <c r="E145" s="649">
        <v>2309.91</v>
      </c>
      <c r="F145" s="1079">
        <f t="shared" si="3"/>
        <v>3.7316801292407105</v>
      </c>
      <c r="G145" s="1080"/>
    </row>
    <row r="146" spans="2:53" hidden="1" x14ac:dyDescent="0.25">
      <c r="B146" s="1078"/>
      <c r="C146" s="1078"/>
      <c r="D146" s="648" t="s">
        <v>32</v>
      </c>
      <c r="E146" s="650">
        <v>25</v>
      </c>
      <c r="F146" s="1079">
        <f t="shared" si="3"/>
        <v>4.0387722132471729E-2</v>
      </c>
      <c r="G146" s="1080"/>
    </row>
    <row r="147" spans="2:53" hidden="1" x14ac:dyDescent="0.25">
      <c r="B147" s="1078" t="s">
        <v>63</v>
      </c>
      <c r="C147" s="1078"/>
      <c r="D147" s="648" t="s">
        <v>31</v>
      </c>
      <c r="E147" s="651">
        <v>5482</v>
      </c>
      <c r="F147" s="1079">
        <f t="shared" ref="F147:F158" si="4">E147/619</f>
        <v>8.8562197092083998</v>
      </c>
      <c r="G147" s="1080"/>
    </row>
    <row r="148" spans="2:53" hidden="1" x14ac:dyDescent="0.25">
      <c r="B148" s="1078"/>
      <c r="C148" s="1078"/>
      <c r="D148" s="648" t="s">
        <v>32</v>
      </c>
      <c r="E148" s="650">
        <v>320</v>
      </c>
      <c r="F148" s="1079">
        <f t="shared" si="4"/>
        <v>0.51696284329563813</v>
      </c>
      <c r="G148" s="1080"/>
    </row>
    <row r="149" spans="2:53" hidden="1" x14ac:dyDescent="0.25">
      <c r="B149" s="1078" t="s">
        <v>64</v>
      </c>
      <c r="C149" s="1078"/>
      <c r="D149" s="648" t="s">
        <v>31</v>
      </c>
      <c r="E149" s="649">
        <v>26.14</v>
      </c>
      <c r="F149" s="1079">
        <f t="shared" si="4"/>
        <v>4.2229402261712443E-2</v>
      </c>
      <c r="G149" s="1080"/>
    </row>
    <row r="150" spans="2:53" hidden="1" x14ac:dyDescent="0.25">
      <c r="B150" s="1078"/>
      <c r="C150" s="1078"/>
      <c r="D150" s="648" t="s">
        <v>32</v>
      </c>
      <c r="E150" s="650">
        <v>100</v>
      </c>
      <c r="F150" s="1079">
        <f t="shared" si="4"/>
        <v>0.16155088852988692</v>
      </c>
      <c r="G150" s="1080"/>
    </row>
    <row r="151" spans="2:53" hidden="1" x14ac:dyDescent="0.25">
      <c r="B151" s="1078" t="s">
        <v>65</v>
      </c>
      <c r="C151" s="1078"/>
      <c r="D151" s="648" t="s">
        <v>31</v>
      </c>
      <c r="E151" s="649">
        <v>19.690000000000001</v>
      </c>
      <c r="F151" s="1079">
        <f t="shared" si="4"/>
        <v>3.1809369951534737E-2</v>
      </c>
      <c r="G151" s="1080"/>
    </row>
    <row r="152" spans="2:53" hidden="1" x14ac:dyDescent="0.25">
      <c r="B152" s="1078"/>
      <c r="C152" s="1078"/>
      <c r="D152" s="648" t="s">
        <v>32</v>
      </c>
      <c r="E152" s="650">
        <v>10</v>
      </c>
      <c r="F152" s="1079">
        <f t="shared" si="4"/>
        <v>1.6155088852988692E-2</v>
      </c>
      <c r="G152" s="1080"/>
    </row>
    <row r="153" spans="2:53" hidden="1" x14ac:dyDescent="0.25">
      <c r="B153" s="1078" t="s">
        <v>66</v>
      </c>
      <c r="C153" s="1078"/>
      <c r="D153" s="648" t="s">
        <v>31</v>
      </c>
      <c r="E153" s="651">
        <v>11287.41</v>
      </c>
      <c r="F153" s="1079">
        <f t="shared" si="4"/>
        <v>18.234911147011307</v>
      </c>
      <c r="G153" s="1080"/>
    </row>
    <row r="154" spans="2:53" hidden="1" x14ac:dyDescent="0.25">
      <c r="B154" s="1078"/>
      <c r="C154" s="1078"/>
      <c r="D154" s="648" t="s">
        <v>32</v>
      </c>
      <c r="E154" s="650">
        <v>150</v>
      </c>
      <c r="F154" s="1079">
        <f t="shared" si="4"/>
        <v>0.24232633279483037</v>
      </c>
      <c r="G154" s="1080"/>
    </row>
    <row r="155" spans="2:53" hidden="1" x14ac:dyDescent="0.25">
      <c r="B155" s="1078" t="s">
        <v>83</v>
      </c>
      <c r="C155" s="1078"/>
      <c r="D155" s="648" t="s">
        <v>31</v>
      </c>
      <c r="E155" s="651">
        <v>439.25</v>
      </c>
      <c r="F155" s="1079">
        <f t="shared" si="4"/>
        <v>0.70961227786752823</v>
      </c>
      <c r="G155" s="1080"/>
      <c r="H155" s="40"/>
      <c r="I155" s="168"/>
      <c r="J155" s="38"/>
      <c r="K155" s="38"/>
      <c r="Y155" s="3"/>
      <c r="Z155" s="3"/>
      <c r="AD155" s="81"/>
      <c r="AE155" s="56"/>
      <c r="AF155" s="125"/>
      <c r="AG155" s="125"/>
      <c r="AJ155" s="127"/>
      <c r="AL155" s="125"/>
      <c r="AM155" s="128"/>
      <c r="AO155" s="125"/>
      <c r="AP155" s="128"/>
      <c r="AQ155" s="128"/>
      <c r="AR155" s="125"/>
      <c r="AS155" s="125"/>
      <c r="AT155" s="128"/>
      <c r="AU155" s="56"/>
      <c r="AV155" s="56"/>
      <c r="AZ155" s="3"/>
      <c r="BA155" s="3"/>
    </row>
    <row r="156" spans="2:53" hidden="1" x14ac:dyDescent="0.25">
      <c r="B156" s="1078"/>
      <c r="C156" s="1078"/>
      <c r="D156" s="648" t="s">
        <v>32</v>
      </c>
      <c r="E156" s="650">
        <v>3</v>
      </c>
      <c r="F156" s="1079">
        <f t="shared" si="4"/>
        <v>4.8465266558966073E-3</v>
      </c>
      <c r="G156" s="1080"/>
      <c r="H156" s="40"/>
      <c r="I156" s="168"/>
      <c r="J156" s="38"/>
      <c r="K156" s="38"/>
      <c r="Y156" s="3"/>
      <c r="Z156" s="3"/>
      <c r="AD156" s="81"/>
      <c r="AE156" s="56"/>
      <c r="AF156" s="125"/>
      <c r="AG156" s="125"/>
      <c r="AJ156" s="127"/>
      <c r="AL156" s="125"/>
      <c r="AM156" s="128"/>
      <c r="AO156" s="125"/>
      <c r="AP156" s="128"/>
      <c r="AQ156" s="128"/>
      <c r="AR156" s="125"/>
      <c r="AS156" s="125"/>
      <c r="AT156" s="128"/>
      <c r="AU156" s="56"/>
      <c r="AV156" s="56"/>
      <c r="AZ156" s="3"/>
      <c r="BA156" s="3"/>
    </row>
    <row r="157" spans="2:53" hidden="1" x14ac:dyDescent="0.25">
      <c r="B157" s="1078" t="s">
        <v>67</v>
      </c>
      <c r="C157" s="1078"/>
      <c r="D157" s="648" t="s">
        <v>31</v>
      </c>
      <c r="E157" s="649">
        <v>31.95</v>
      </c>
      <c r="F157" s="1079">
        <f t="shared" si="4"/>
        <v>5.1615508885298866E-2</v>
      </c>
      <c r="G157" s="1080"/>
    </row>
    <row r="158" spans="2:53" hidden="1" x14ac:dyDescent="0.25">
      <c r="B158" s="1078"/>
      <c r="C158" s="1078"/>
      <c r="D158" s="648" t="s">
        <v>32</v>
      </c>
      <c r="E158" s="650">
        <v>20</v>
      </c>
      <c r="F158" s="1079">
        <f t="shared" si="4"/>
        <v>3.2310177705977383E-2</v>
      </c>
      <c r="G158" s="1080"/>
    </row>
    <row r="159" spans="2:53" hidden="1" x14ac:dyDescent="0.25">
      <c r="F159" s="1080">
        <f>F57+F59+F61+F63+F65+F67+F71+F75+F79+F85+F87+F89+F91+F97+F101+F109+F135+F137+F141+F155+F95+F99+F81+F83+F93+F103+F105+F77+F107+F111+F73+F113+F115+F69+F117+F119+F121+F123+F125+F127+F129+F131+F133+F139+F143+F145+F147+F149+F151+F153+F157</f>
        <v>154.86159935379644</v>
      </c>
      <c r="G159" s="1082"/>
    </row>
    <row r="160" spans="2:53" x14ac:dyDescent="0.25">
      <c r="F160" s="1082"/>
      <c r="G160" s="1082"/>
    </row>
  </sheetData>
  <mergeCells count="166">
    <mergeCell ref="B93:C94"/>
    <mergeCell ref="F152:G152"/>
    <mergeCell ref="F135:G135"/>
    <mergeCell ref="F136:G136"/>
    <mergeCell ref="F132:G132"/>
    <mergeCell ref="F133:G133"/>
    <mergeCell ref="F106:G106"/>
    <mergeCell ref="F107:G107"/>
    <mergeCell ref="F108:G108"/>
    <mergeCell ref="B101:C102"/>
    <mergeCell ref="F105:G105"/>
    <mergeCell ref="F101:G101"/>
    <mergeCell ref="F102:G102"/>
    <mergeCell ref="F151:G151"/>
    <mergeCell ref="B151:C152"/>
    <mergeCell ref="B123:C124"/>
    <mergeCell ref="B125:C126"/>
    <mergeCell ref="B127:C128"/>
    <mergeCell ref="B129:C130"/>
    <mergeCell ref="B131:C132"/>
    <mergeCell ref="B133:C134"/>
    <mergeCell ref="B135:C136"/>
    <mergeCell ref="B137:C138"/>
    <mergeCell ref="B139:C140"/>
    <mergeCell ref="F158:G158"/>
    <mergeCell ref="F159:G159"/>
    <mergeCell ref="F160:G160"/>
    <mergeCell ref="B95:C96"/>
    <mergeCell ref="F95:G95"/>
    <mergeCell ref="F96:G96"/>
    <mergeCell ref="B97:C98"/>
    <mergeCell ref="F97:G97"/>
    <mergeCell ref="F154:G154"/>
    <mergeCell ref="B109:C110"/>
    <mergeCell ref="F109:G109"/>
    <mergeCell ref="F110:G110"/>
    <mergeCell ref="F122:G122"/>
    <mergeCell ref="F123:G123"/>
    <mergeCell ref="F124:G124"/>
    <mergeCell ref="F125:G125"/>
    <mergeCell ref="F157:G157"/>
    <mergeCell ref="F144:G144"/>
    <mergeCell ref="F145:G145"/>
    <mergeCell ref="F146:G146"/>
    <mergeCell ref="F147:G147"/>
    <mergeCell ref="F148:G148"/>
    <mergeCell ref="F149:G149"/>
    <mergeCell ref="F150:G150"/>
    <mergeCell ref="F153:G153"/>
    <mergeCell ref="F140:G140"/>
    <mergeCell ref="F143:G143"/>
    <mergeCell ref="F126:G126"/>
    <mergeCell ref="F127:G127"/>
    <mergeCell ref="F128:G128"/>
    <mergeCell ref="F129:G129"/>
    <mergeCell ref="F130:G130"/>
    <mergeCell ref="F131:G131"/>
    <mergeCell ref="F141:G141"/>
    <mergeCell ref="F142:G142"/>
    <mergeCell ref="F134:G134"/>
    <mergeCell ref="F139:G139"/>
    <mergeCell ref="F137:G137"/>
    <mergeCell ref="F138:G138"/>
    <mergeCell ref="F89:G89"/>
    <mergeCell ref="F90:G90"/>
    <mergeCell ref="F91:G91"/>
    <mergeCell ref="F120:G120"/>
    <mergeCell ref="F121:G121"/>
    <mergeCell ref="F111:G111"/>
    <mergeCell ref="F112:G112"/>
    <mergeCell ref="F113:G113"/>
    <mergeCell ref="F92:G92"/>
    <mergeCell ref="F99:G99"/>
    <mergeCell ref="F100:G100"/>
    <mergeCell ref="F103:G103"/>
    <mergeCell ref="F104:G104"/>
    <mergeCell ref="F114:G114"/>
    <mergeCell ref="F115:G115"/>
    <mergeCell ref="F116:G116"/>
    <mergeCell ref="F117:G117"/>
    <mergeCell ref="F118:G118"/>
    <mergeCell ref="F119:G119"/>
    <mergeCell ref="B75:C76"/>
    <mergeCell ref="F75:G75"/>
    <mergeCell ref="F76:G76"/>
    <mergeCell ref="F74:G74"/>
    <mergeCell ref="F86:G86"/>
    <mergeCell ref="F87:G87"/>
    <mergeCell ref="F88:G88"/>
    <mergeCell ref="B83:C84"/>
    <mergeCell ref="F81:G81"/>
    <mergeCell ref="F82:G82"/>
    <mergeCell ref="F83:G83"/>
    <mergeCell ref="F84:G84"/>
    <mergeCell ref="B153:C154"/>
    <mergeCell ref="B157:C158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85:G85"/>
    <mergeCell ref="B69:C70"/>
    <mergeCell ref="F69:G69"/>
    <mergeCell ref="F70:G70"/>
    <mergeCell ref="B73:C74"/>
    <mergeCell ref="F73:G73"/>
    <mergeCell ref="F98:G98"/>
    <mergeCell ref="F93:G93"/>
    <mergeCell ref="F94:G94"/>
    <mergeCell ref="F71:G71"/>
    <mergeCell ref="B149:C150"/>
    <mergeCell ref="AB4:AB5"/>
    <mergeCell ref="AC4:AC5"/>
    <mergeCell ref="A6:A20"/>
    <mergeCell ref="E4:I5"/>
    <mergeCell ref="J4:N5"/>
    <mergeCell ref="O4:S5"/>
    <mergeCell ref="T4:Y5"/>
    <mergeCell ref="A1:M1"/>
    <mergeCell ref="B4:C4"/>
    <mergeCell ref="B143:C144"/>
    <mergeCell ref="B145:C146"/>
    <mergeCell ref="B147:C148"/>
    <mergeCell ref="B141:C142"/>
    <mergeCell ref="B99:C100"/>
    <mergeCell ref="B103:C104"/>
    <mergeCell ref="B105:C106"/>
    <mergeCell ref="B107:C108"/>
    <mergeCell ref="B111:C112"/>
    <mergeCell ref="B113:C114"/>
    <mergeCell ref="B115:C116"/>
    <mergeCell ref="B117:C118"/>
    <mergeCell ref="F72:G72"/>
    <mergeCell ref="B71:C72"/>
    <mergeCell ref="B155:C156"/>
    <mergeCell ref="F155:G155"/>
    <mergeCell ref="F156:G156"/>
    <mergeCell ref="AA4:AA5"/>
    <mergeCell ref="B65:C66"/>
    <mergeCell ref="B67:C68"/>
    <mergeCell ref="B63:C64"/>
    <mergeCell ref="B79:C80"/>
    <mergeCell ref="B85:C86"/>
    <mergeCell ref="B87:C88"/>
    <mergeCell ref="B56:C56"/>
    <mergeCell ref="B57:C58"/>
    <mergeCell ref="B59:C60"/>
    <mergeCell ref="B61:C62"/>
    <mergeCell ref="B77:C78"/>
    <mergeCell ref="F77:G77"/>
    <mergeCell ref="F78:G78"/>
    <mergeCell ref="B81:C82"/>
    <mergeCell ref="F79:G79"/>
    <mergeCell ref="F80:G80"/>
    <mergeCell ref="B119:C120"/>
    <mergeCell ref="B121:C122"/>
    <mergeCell ref="B89:C90"/>
    <mergeCell ref="B91:C92"/>
  </mergeCells>
  <phoneticPr fontId="2" type="noConversion"/>
  <pageMargins left="0.23" right="0.17" top="0.53" bottom="0.35" header="0.33" footer="0.18"/>
  <pageSetup paperSize="9" scale="59" orientation="landscape" r:id="rId1"/>
  <headerFooter alignWithMargins="0">
    <oddFooter>&amp;R&amp;P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workbookViewId="0">
      <selection activeCell="C28" sqref="C28"/>
    </sheetView>
  </sheetViews>
  <sheetFormatPr defaultColWidth="9.109375" defaultRowHeight="13.8" x14ac:dyDescent="0.25"/>
  <cols>
    <col min="1" max="1" width="36" style="404" customWidth="1"/>
    <col min="2" max="2" width="3.5546875" style="403" customWidth="1"/>
    <col min="3" max="3" width="34.109375" style="403" customWidth="1"/>
    <col min="4" max="4" width="9.88671875" style="404" customWidth="1"/>
    <col min="5" max="16384" width="9.109375" style="404"/>
  </cols>
  <sheetData>
    <row r="1" spans="1:3" x14ac:dyDescent="0.25">
      <c r="A1" s="401" t="s">
        <v>200</v>
      </c>
      <c r="B1" s="402"/>
    </row>
    <row r="2" spans="1:3" ht="12" customHeight="1" x14ac:dyDescent="0.25"/>
    <row r="3" spans="1:3" ht="17.25" customHeight="1" x14ac:dyDescent="0.25">
      <c r="A3" s="405" t="s">
        <v>201</v>
      </c>
      <c r="B3" s="235"/>
      <c r="C3" s="406">
        <v>10</v>
      </c>
    </row>
    <row r="4" spans="1:3" ht="33.75" customHeight="1" x14ac:dyDescent="0.25">
      <c r="A4" s="405" t="s">
        <v>966</v>
      </c>
      <c r="B4" s="235"/>
      <c r="C4" s="407">
        <v>350</v>
      </c>
    </row>
    <row r="5" spans="1:3" ht="45" customHeight="1" x14ac:dyDescent="0.25">
      <c r="A5" s="405" t="s">
        <v>202</v>
      </c>
      <c r="B5" s="235"/>
      <c r="C5" s="408">
        <v>0.92300000000000004</v>
      </c>
    </row>
    <row r="6" spans="1:3" ht="28.5" customHeight="1" x14ac:dyDescent="0.25">
      <c r="A6" s="388" t="s">
        <v>203</v>
      </c>
      <c r="B6" s="409"/>
      <c r="C6" s="410">
        <v>9584</v>
      </c>
    </row>
    <row r="8" spans="1:3" ht="86.25" customHeight="1" x14ac:dyDescent="0.25">
      <c r="A8" s="235" t="s">
        <v>204</v>
      </c>
      <c r="B8" s="411" t="s">
        <v>205</v>
      </c>
      <c r="C8" s="409" t="s">
        <v>206</v>
      </c>
    </row>
    <row r="9" spans="1:3" ht="18.75" customHeight="1" x14ac:dyDescent="0.25">
      <c r="A9" s="412" t="s">
        <v>207</v>
      </c>
      <c r="B9" s="413"/>
      <c r="C9" s="409"/>
    </row>
    <row r="10" spans="1:3" x14ac:dyDescent="0.25">
      <c r="A10" s="414" t="s">
        <v>208</v>
      </c>
      <c r="B10" s="637">
        <v>1</v>
      </c>
      <c r="C10" s="406">
        <f>$C$6*B10</f>
        <v>9584</v>
      </c>
    </row>
    <row r="11" spans="1:3" x14ac:dyDescent="0.25">
      <c r="A11" s="414" t="s">
        <v>208</v>
      </c>
      <c r="B11" s="410">
        <v>0</v>
      </c>
      <c r="C11" s="406">
        <f>$C$6*B11</f>
        <v>0</v>
      </c>
    </row>
    <row r="12" spans="1:3" x14ac:dyDescent="0.25">
      <c r="A12" s="414"/>
      <c r="B12" s="408"/>
      <c r="C12" s="406"/>
    </row>
    <row r="13" spans="1:3" ht="12.75" customHeight="1" x14ac:dyDescent="0.25">
      <c r="A13" s="414" t="s">
        <v>209</v>
      </c>
      <c r="B13" s="638">
        <f>SUM(B10:B12)</f>
        <v>1</v>
      </c>
      <c r="C13" s="408">
        <f>SUM(C10:C12)</f>
        <v>9584</v>
      </c>
    </row>
    <row r="14" spans="1:3" ht="12.75" customHeight="1" x14ac:dyDescent="0.25">
      <c r="A14" s="415"/>
      <c r="B14" s="16"/>
      <c r="C14" s="16"/>
    </row>
    <row r="15" spans="1:3" ht="12.75" customHeight="1" x14ac:dyDescent="0.25">
      <c r="A15" s="414" t="s">
        <v>210</v>
      </c>
      <c r="B15" s="406">
        <v>0</v>
      </c>
      <c r="C15" s="406">
        <f>$C$6*B15</f>
        <v>0</v>
      </c>
    </row>
    <row r="16" spans="1:3" ht="12" customHeight="1" x14ac:dyDescent="0.25"/>
    <row r="17" spans="1:3" ht="18" customHeight="1" x14ac:dyDescent="0.25">
      <c r="A17" s="405" t="s">
        <v>211</v>
      </c>
      <c r="B17" s="235"/>
      <c r="C17" s="416">
        <f>C13*C5/C4/10</f>
        <v>2.5274377142857145</v>
      </c>
    </row>
    <row r="18" spans="1:3" ht="32.25" customHeight="1" x14ac:dyDescent="0.25">
      <c r="A18" s="405" t="s">
        <v>212</v>
      </c>
      <c r="B18" s="235"/>
      <c r="C18" s="416">
        <f>C15*C5/C4/10</f>
        <v>0</v>
      </c>
    </row>
    <row r="19" spans="1:3" s="415" customFormat="1" ht="19.5" customHeight="1" x14ac:dyDescent="0.25">
      <c r="A19" s="417"/>
      <c r="B19" s="21"/>
      <c r="C19" s="418"/>
    </row>
    <row r="20" spans="1:3" ht="19.5" customHeight="1" x14ac:dyDescent="0.25">
      <c r="A20" s="412" t="s">
        <v>1199</v>
      </c>
      <c r="B20" s="408"/>
      <c r="C20" s="408"/>
    </row>
    <row r="21" spans="1:3" ht="15.75" customHeight="1" x14ac:dyDescent="0.25">
      <c r="A21" s="414" t="s">
        <v>213</v>
      </c>
      <c r="B21" s="406"/>
      <c r="C21" s="406">
        <f>$C$6*B21</f>
        <v>0</v>
      </c>
    </row>
    <row r="22" spans="1:3" ht="12.75" customHeight="1" x14ac:dyDescent="0.25">
      <c r="A22" s="414"/>
      <c r="B22" s="406"/>
      <c r="C22" s="406"/>
    </row>
    <row r="23" spans="1:3" x14ac:dyDescent="0.25">
      <c r="A23" s="414" t="s">
        <v>214</v>
      </c>
      <c r="B23" s="406">
        <v>1</v>
      </c>
      <c r="C23" s="406">
        <f>$C$6*B23</f>
        <v>9584</v>
      </c>
    </row>
    <row r="24" spans="1:3" x14ac:dyDescent="0.25">
      <c r="A24" s="414" t="s">
        <v>215</v>
      </c>
      <c r="B24" s="406"/>
      <c r="C24" s="406">
        <f>$C$6*B24</f>
        <v>0</v>
      </c>
    </row>
    <row r="25" spans="1:3" x14ac:dyDescent="0.25">
      <c r="A25" s="414" t="s">
        <v>216</v>
      </c>
      <c r="B25" s="406"/>
      <c r="C25" s="406">
        <f>$C$6*B25</f>
        <v>0</v>
      </c>
    </row>
    <row r="26" spans="1:3" ht="11.25" customHeight="1" x14ac:dyDescent="0.25"/>
    <row r="27" spans="1:3" ht="28.5" customHeight="1" x14ac:dyDescent="0.25">
      <c r="A27" s="419" t="s">
        <v>217</v>
      </c>
      <c r="B27" s="235"/>
      <c r="C27" s="416">
        <f>C21*C5/C4/10</f>
        <v>0</v>
      </c>
    </row>
    <row r="28" spans="1:3" ht="29.25" customHeight="1" x14ac:dyDescent="0.25">
      <c r="A28" s="419" t="s">
        <v>218</v>
      </c>
      <c r="B28" s="235"/>
      <c r="C28" s="416">
        <f>C23*C5/C4/10</f>
        <v>2.5274377142857145</v>
      </c>
    </row>
    <row r="29" spans="1:3" ht="30" customHeight="1" x14ac:dyDescent="0.25">
      <c r="A29" s="419" t="s">
        <v>219</v>
      </c>
      <c r="B29" s="235"/>
      <c r="C29" s="416">
        <f>C24*C5/C4/10</f>
        <v>0</v>
      </c>
    </row>
    <row r="30" spans="1:3" ht="28.5" customHeight="1" x14ac:dyDescent="0.25">
      <c r="A30" s="419" t="s">
        <v>220</v>
      </c>
      <c r="B30" s="235"/>
      <c r="C30" s="416">
        <f>C25*C5/C4/10</f>
        <v>0</v>
      </c>
    </row>
    <row r="32" spans="1:3" ht="25.5" customHeight="1" x14ac:dyDescent="0.25">
      <c r="A32" s="1087" t="s">
        <v>221</v>
      </c>
      <c r="B32" s="1087"/>
      <c r="C32" s="1087"/>
    </row>
    <row r="34" spans="1:2" ht="14.25" customHeight="1" x14ac:dyDescent="0.25"/>
    <row r="35" spans="1:2" ht="12.75" customHeight="1" x14ac:dyDescent="0.25">
      <c r="A35" s="420"/>
      <c r="B35" s="421"/>
    </row>
    <row r="36" spans="1:2" ht="12.75" customHeight="1" x14ac:dyDescent="0.25"/>
  </sheetData>
  <mergeCells count="1">
    <mergeCell ref="A32:C32"/>
  </mergeCells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773"/>
  <sheetViews>
    <sheetView workbookViewId="0">
      <selection activeCell="C57" sqref="C57"/>
    </sheetView>
  </sheetViews>
  <sheetFormatPr defaultRowHeight="13.2" x14ac:dyDescent="0.25"/>
  <cols>
    <col min="2" max="2" width="57.88671875" customWidth="1"/>
    <col min="3" max="3" width="23.109375" customWidth="1"/>
    <col min="4" max="4" width="12.33203125" customWidth="1"/>
  </cols>
  <sheetData>
    <row r="2" spans="1:4" ht="12.75" customHeight="1" x14ac:dyDescent="0.25">
      <c r="A2" s="1088" t="s">
        <v>1038</v>
      </c>
      <c r="B2" s="1088"/>
      <c r="C2" s="1088"/>
      <c r="D2" s="1088"/>
    </row>
    <row r="3" spans="1:4" x14ac:dyDescent="0.25">
      <c r="A3" s="1089" t="s">
        <v>340</v>
      </c>
      <c r="B3" s="1089"/>
      <c r="C3" s="1089"/>
      <c r="D3" s="1089"/>
    </row>
    <row r="4" spans="1:4" x14ac:dyDescent="0.25">
      <c r="A4" s="1089" t="s">
        <v>341</v>
      </c>
      <c r="B4" s="1089"/>
      <c r="C4" s="1089"/>
      <c r="D4" s="1089"/>
    </row>
    <row r="5" spans="1:4" ht="13.8" x14ac:dyDescent="0.3">
      <c r="A5" t="s">
        <v>342</v>
      </c>
      <c r="B5" s="397"/>
      <c r="C5" s="398"/>
      <c r="D5" s="397"/>
    </row>
    <row r="6" spans="1:4" x14ac:dyDescent="0.25">
      <c r="A6" s="1089" t="s">
        <v>343</v>
      </c>
      <c r="B6" s="1089"/>
      <c r="C6" s="1089"/>
      <c r="D6" s="1089"/>
    </row>
    <row r="7" spans="1:4" x14ac:dyDescent="0.25">
      <c r="B7" s="1092"/>
      <c r="C7" s="1093"/>
      <c r="D7" s="1093"/>
    </row>
    <row r="12" spans="1:4" ht="21.6" x14ac:dyDescent="0.4">
      <c r="A12" s="1094" t="s">
        <v>1041</v>
      </c>
      <c r="B12" s="1094"/>
      <c r="C12" s="1094"/>
    </row>
    <row r="13" spans="1:4" ht="13.8" x14ac:dyDescent="0.25">
      <c r="A13" s="1090" t="s">
        <v>194</v>
      </c>
      <c r="B13" s="1090"/>
      <c r="C13" s="1090"/>
    </row>
    <row r="14" spans="1:4" x14ac:dyDescent="0.25">
      <c r="A14" s="1091" t="s">
        <v>965</v>
      </c>
      <c r="B14" s="1091"/>
      <c r="C14" s="1091"/>
    </row>
    <row r="15" spans="1:4" x14ac:dyDescent="0.25">
      <c r="A15" s="1095" t="s">
        <v>90</v>
      </c>
      <c r="B15" s="1095"/>
      <c r="C15" s="1095"/>
    </row>
    <row r="16" spans="1:4" ht="12.75" customHeight="1" x14ac:dyDescent="0.25">
      <c r="A16" s="1097" t="s">
        <v>848</v>
      </c>
      <c r="B16" s="1098" t="s">
        <v>849</v>
      </c>
      <c r="C16" s="1098" t="s">
        <v>1042</v>
      </c>
      <c r="D16" s="1104"/>
    </row>
    <row r="17" spans="1:4" x14ac:dyDescent="0.25">
      <c r="A17" s="1097"/>
      <c r="B17" s="1099"/>
      <c r="C17" s="1099"/>
      <c r="D17" s="1104"/>
    </row>
    <row r="18" spans="1:4" ht="13.8" x14ac:dyDescent="0.3">
      <c r="A18" s="396" t="s">
        <v>600</v>
      </c>
      <c r="B18" s="248" t="s">
        <v>787</v>
      </c>
      <c r="C18" s="251">
        <f>'Сводный расчет стоимости'!M10</f>
        <v>260.66207699962888</v>
      </c>
    </row>
    <row r="19" spans="1:4" ht="13.8" x14ac:dyDescent="0.3">
      <c r="A19" s="396" t="s">
        <v>602</v>
      </c>
      <c r="B19" s="248" t="s">
        <v>789</v>
      </c>
      <c r="C19" s="251">
        <f>'Сводный расчет стоимости'!M12</f>
        <v>277.36681286401233</v>
      </c>
    </row>
    <row r="20" spans="1:4" ht="12" customHeight="1" x14ac:dyDescent="0.3">
      <c r="A20" s="396" t="s">
        <v>603</v>
      </c>
      <c r="B20" s="248" t="s">
        <v>790</v>
      </c>
      <c r="C20" s="251">
        <f>'Сводный расчет стоимости'!M13</f>
        <v>360.92241592167028</v>
      </c>
    </row>
    <row r="21" spans="1:4" ht="13.8" x14ac:dyDescent="0.3">
      <c r="A21" s="396" t="s">
        <v>1043</v>
      </c>
      <c r="B21" s="248" t="s">
        <v>91</v>
      </c>
      <c r="C21" s="251">
        <f>'Сводный расчет стоимости'!M14</f>
        <v>193.81120980635447</v>
      </c>
    </row>
    <row r="22" spans="1:4" ht="13.8" x14ac:dyDescent="0.3">
      <c r="A22" s="396" t="s">
        <v>1044</v>
      </c>
      <c r="B22" s="248" t="s">
        <v>92</v>
      </c>
      <c r="C22" s="251">
        <f>'Сводный расчет стоимости'!M15</f>
        <v>117.58607768428303</v>
      </c>
    </row>
    <row r="23" spans="1:4" ht="12.75" customHeight="1" x14ac:dyDescent="0.3">
      <c r="A23" s="396" t="s">
        <v>1045</v>
      </c>
      <c r="B23" s="248" t="s">
        <v>93</v>
      </c>
      <c r="C23" s="251">
        <f>'Сводный расчет стоимости'!M16</f>
        <v>277.36681286401233</v>
      </c>
    </row>
    <row r="24" spans="1:4" ht="14.25" customHeight="1" x14ac:dyDescent="0.3">
      <c r="A24" s="396"/>
      <c r="B24" s="248"/>
      <c r="C24" s="251"/>
    </row>
    <row r="25" spans="1:4" ht="13.8" x14ac:dyDescent="0.3">
      <c r="A25" s="396" t="s">
        <v>1046</v>
      </c>
      <c r="B25" s="248" t="s">
        <v>791</v>
      </c>
      <c r="C25" s="251">
        <f>'Сводный расчет стоимости'!M19</f>
        <v>210.52233041788608</v>
      </c>
    </row>
    <row r="26" spans="1:4" ht="13.8" x14ac:dyDescent="0.3">
      <c r="A26" s="396" t="s">
        <v>1048</v>
      </c>
      <c r="B26" s="248" t="s">
        <v>793</v>
      </c>
      <c r="C26" s="251">
        <f>'Сводный расчет стоимости'!M21</f>
        <v>197.50285189790407</v>
      </c>
    </row>
    <row r="27" spans="1:4" ht="13.5" customHeight="1" x14ac:dyDescent="0.3">
      <c r="A27" s="396" t="s">
        <v>604</v>
      </c>
      <c r="B27" s="248" t="s">
        <v>794</v>
      </c>
      <c r="C27" s="251">
        <f>'Сводный расчет стоимости'!M22</f>
        <v>294.07793347554394</v>
      </c>
    </row>
    <row r="28" spans="1:4" ht="13.8" x14ac:dyDescent="0.3">
      <c r="A28" s="396" t="s">
        <v>1049</v>
      </c>
      <c r="B28" s="248" t="s">
        <v>94</v>
      </c>
      <c r="C28" s="251">
        <f>'Сводный расчет стоимости'!M23</f>
        <v>126.96672736022813</v>
      </c>
    </row>
    <row r="29" spans="1:4" ht="13.8" x14ac:dyDescent="0.3">
      <c r="A29" s="396" t="s">
        <v>1050</v>
      </c>
      <c r="B29" s="248" t="s">
        <v>978</v>
      </c>
      <c r="C29" s="251">
        <f>'Сводный расчет стоимости'!M24</f>
        <v>101.30236503583669</v>
      </c>
    </row>
    <row r="30" spans="1:4" ht="13.8" x14ac:dyDescent="0.3">
      <c r="A30" s="396" t="s">
        <v>1051</v>
      </c>
      <c r="B30" s="248" t="s">
        <v>979</v>
      </c>
      <c r="C30" s="251">
        <f>'Сводный расчет стоимости'!M25</f>
        <v>193.81120980635447</v>
      </c>
    </row>
    <row r="31" spans="1:4" ht="14.25" customHeight="1" x14ac:dyDescent="0.3">
      <c r="A31" s="396"/>
      <c r="B31" s="248"/>
      <c r="C31" s="251"/>
    </row>
    <row r="32" spans="1:4" ht="13.8" x14ac:dyDescent="0.3">
      <c r="A32" s="396" t="s">
        <v>1052</v>
      </c>
      <c r="B32" s="248" t="s">
        <v>795</v>
      </c>
      <c r="C32" s="251">
        <f>'Сводный расчет стоимости'!M28</f>
        <v>193.81120980635447</v>
      </c>
    </row>
    <row r="33" spans="1:3" ht="13.8" x14ac:dyDescent="0.3">
      <c r="A33" s="396" t="s">
        <v>1054</v>
      </c>
      <c r="B33" s="248" t="s">
        <v>817</v>
      </c>
      <c r="C33" s="251">
        <f>'Сводный расчет стоимости'!M30</f>
        <v>163.44399655630636</v>
      </c>
    </row>
    <row r="34" spans="1:3" ht="13.8" x14ac:dyDescent="0.3">
      <c r="A34" s="396" t="s">
        <v>1055</v>
      </c>
      <c r="B34" s="248" t="s">
        <v>818</v>
      </c>
      <c r="C34" s="251">
        <f>'Сводный расчет стоимости'!M31</f>
        <v>129.38514121470868</v>
      </c>
    </row>
    <row r="35" spans="1:3" ht="13.8" x14ac:dyDescent="0.3">
      <c r="A35" s="396" t="s">
        <v>1056</v>
      </c>
      <c r="B35" s="248" t="s">
        <v>980</v>
      </c>
      <c r="C35" s="251">
        <f>'Сводный расчет стоимости'!M32</f>
        <v>129.38514121470868</v>
      </c>
    </row>
    <row r="36" spans="1:3" ht="13.5" customHeight="1" x14ac:dyDescent="0.3">
      <c r="A36" s="396" t="s">
        <v>1057</v>
      </c>
      <c r="B36" s="248" t="s">
        <v>981</v>
      </c>
      <c r="C36" s="251">
        <f>'Сводный расчет стоимости'!M33</f>
        <v>119.82581249731699</v>
      </c>
    </row>
    <row r="37" spans="1:3" ht="15" customHeight="1" x14ac:dyDescent="0.3">
      <c r="A37" s="396"/>
      <c r="B37" s="248"/>
      <c r="C37" s="251"/>
    </row>
    <row r="38" spans="1:3" ht="13.8" x14ac:dyDescent="0.3">
      <c r="A38" s="396" t="s">
        <v>1058</v>
      </c>
      <c r="B38" s="248" t="s">
        <v>819</v>
      </c>
      <c r="C38" s="251" t="e">
        <f>'Сводный расчет стоимости'!#REF!</f>
        <v>#REF!</v>
      </c>
    </row>
    <row r="39" spans="1:3" ht="13.8" x14ac:dyDescent="0.3">
      <c r="A39" s="396" t="s">
        <v>1060</v>
      </c>
      <c r="B39" s="248" t="s">
        <v>821</v>
      </c>
      <c r="C39" s="251" t="e">
        <f>'Сводный расчет стоимости'!#REF!</f>
        <v>#REF!</v>
      </c>
    </row>
    <row r="40" spans="1:3" ht="13.8" x14ac:dyDescent="0.3">
      <c r="A40" s="396" t="s">
        <v>1061</v>
      </c>
      <c r="B40" s="248" t="s">
        <v>822</v>
      </c>
      <c r="C40" s="251" t="e">
        <f>'Сводный расчет стоимости'!#REF!</f>
        <v>#REF!</v>
      </c>
    </row>
    <row r="41" spans="1:3" ht="15.75" customHeight="1" x14ac:dyDescent="0.25">
      <c r="A41" s="422"/>
      <c r="B41" s="247"/>
      <c r="C41" s="251"/>
    </row>
    <row r="42" spans="1:3" x14ac:dyDescent="0.25">
      <c r="A42" s="1105" t="s">
        <v>605</v>
      </c>
      <c r="B42" s="1105"/>
    </row>
    <row r="43" spans="1:3" ht="12.75" customHeight="1" x14ac:dyDescent="0.3">
      <c r="A43" s="396" t="s">
        <v>606</v>
      </c>
      <c r="B43" s="248" t="s">
        <v>607</v>
      </c>
      <c r="C43" s="251">
        <f>'Сводный расчет стоимости'!M45</f>
        <v>320.38466671068335</v>
      </c>
    </row>
    <row r="44" spans="1:3" ht="12.75" customHeight="1" x14ac:dyDescent="0.25">
      <c r="A44" s="1106" t="s">
        <v>1025</v>
      </c>
      <c r="B44" s="1106"/>
      <c r="C44" s="426"/>
    </row>
    <row r="45" spans="1:3" ht="12.75" customHeight="1" x14ac:dyDescent="0.25">
      <c r="A45" s="423" t="s">
        <v>1064</v>
      </c>
      <c r="B45" s="252" t="s">
        <v>1033</v>
      </c>
      <c r="C45" s="432" t="s">
        <v>339</v>
      </c>
    </row>
    <row r="46" spans="1:3" ht="12.75" customHeight="1" x14ac:dyDescent="0.25">
      <c r="A46" s="1095" t="s">
        <v>240</v>
      </c>
      <c r="B46" s="1095"/>
    </row>
    <row r="47" spans="1:3" ht="14.25" customHeight="1" x14ac:dyDescent="0.3">
      <c r="A47" s="396" t="s">
        <v>1026</v>
      </c>
      <c r="B47" s="248" t="s">
        <v>982</v>
      </c>
      <c r="C47" s="251">
        <f>'Сводный расчет стоимости'!M99</f>
        <v>230.96954590246028</v>
      </c>
    </row>
    <row r="48" spans="1:3" ht="12.75" customHeight="1" x14ac:dyDescent="0.3">
      <c r="A48" s="396" t="s">
        <v>612</v>
      </c>
      <c r="B48" s="248" t="s">
        <v>983</v>
      </c>
      <c r="C48" s="251">
        <f>'Сводный расчет стоимости'!M100</f>
        <v>210.95632943049492</v>
      </c>
    </row>
    <row r="49" spans="1:3" ht="12.75" customHeight="1" x14ac:dyDescent="0.3">
      <c r="A49" s="396" t="s">
        <v>1027</v>
      </c>
      <c r="B49" s="248" t="s">
        <v>984</v>
      </c>
      <c r="C49" s="251">
        <f>'Сводный расчет стоимости'!M101</f>
        <v>190.96786221289727</v>
      </c>
    </row>
    <row r="50" spans="1:3" ht="12.75" customHeight="1" x14ac:dyDescent="0.3">
      <c r="A50" s="396" t="s">
        <v>622</v>
      </c>
      <c r="B50" s="248" t="s">
        <v>1241</v>
      </c>
      <c r="C50" s="251">
        <f>'Сводный расчет стоимости'!M102</f>
        <v>94.755121709479582</v>
      </c>
    </row>
    <row r="51" spans="1:3" ht="12.75" customHeight="1" x14ac:dyDescent="0.3">
      <c r="A51" s="396" t="s">
        <v>1028</v>
      </c>
      <c r="B51" s="248" t="s">
        <v>683</v>
      </c>
      <c r="C51" s="251">
        <f>'Сводный расчет стоимости'!M103</f>
        <v>630.71414100004642</v>
      </c>
    </row>
    <row r="52" spans="1:3" ht="12.75" customHeight="1" x14ac:dyDescent="0.3">
      <c r="A52" s="396" t="s">
        <v>1029</v>
      </c>
      <c r="B52" s="248" t="s">
        <v>1255</v>
      </c>
      <c r="C52" s="251">
        <f>'Сводный расчет стоимости'!M104</f>
        <v>125.17841707788622</v>
      </c>
    </row>
    <row r="53" spans="1:3" ht="12.75" customHeight="1" x14ac:dyDescent="0.3">
      <c r="A53" s="396" t="s">
        <v>1070</v>
      </c>
      <c r="B53" s="248" t="s">
        <v>1252</v>
      </c>
      <c r="C53" s="251">
        <f>'Сводный расчет стоимости'!M105</f>
        <v>131.0024605601042</v>
      </c>
    </row>
    <row r="54" spans="1:3" ht="12.75" customHeight="1" x14ac:dyDescent="0.3">
      <c r="A54" s="396" t="s">
        <v>1071</v>
      </c>
      <c r="B54" s="248" t="s">
        <v>684</v>
      </c>
      <c r="C54" s="251">
        <f>'Сводный расчет стоимости'!M106</f>
        <v>115.89130996383986</v>
      </c>
    </row>
    <row r="55" spans="1:3" ht="12.75" customHeight="1" x14ac:dyDescent="0.3">
      <c r="A55" s="396" t="s">
        <v>1072</v>
      </c>
      <c r="B55" s="248" t="s">
        <v>768</v>
      </c>
      <c r="C55" s="251">
        <f>'Сводный расчет стоимости'!M107</f>
        <v>131.01483518728801</v>
      </c>
    </row>
    <row r="56" spans="1:3" ht="12.75" customHeight="1" x14ac:dyDescent="0.25">
      <c r="A56" s="1095" t="s">
        <v>692</v>
      </c>
      <c r="B56" s="1095"/>
      <c r="C56" s="427"/>
    </row>
    <row r="57" spans="1:3" ht="12.75" customHeight="1" x14ac:dyDescent="0.3">
      <c r="A57" s="396" t="s">
        <v>624</v>
      </c>
      <c r="B57" s="248" t="str">
        <f>'Сводный расчет стоимости'!C112</f>
        <v>Прием ( осмотр, консультация) врача-хирурга первичный</v>
      </c>
      <c r="C57" s="251">
        <f>'Сводный расчет стоимости'!M112</f>
        <v>109.64768485733667</v>
      </c>
    </row>
    <row r="58" spans="1:3" ht="12.75" customHeight="1" x14ac:dyDescent="0.3">
      <c r="A58" s="396" t="s">
        <v>625</v>
      </c>
      <c r="B58" s="248" t="str">
        <f>'Сводный расчет стоимости'!C113</f>
        <v>Прием ( осмотр, консультация) врача-хирурга повторный</v>
      </c>
      <c r="C58" s="251">
        <f>'Сводный расчет стоимости'!M113</f>
        <v>92.77741071617146</v>
      </c>
    </row>
    <row r="59" spans="1:3" ht="12.75" customHeight="1" x14ac:dyDescent="0.3">
      <c r="A59" s="396" t="s">
        <v>626</v>
      </c>
      <c r="B59" s="248" t="str">
        <f>'Сводный расчет стоимости'!C114</f>
        <v>Профилактический прием (осмотр, консультация) врача-хирурга</v>
      </c>
      <c r="C59" s="251">
        <f>'Сводный расчет стоимости'!M114</f>
        <v>92.77741071617146</v>
      </c>
    </row>
    <row r="60" spans="1:3" ht="12.75" customHeight="1" x14ac:dyDescent="0.3">
      <c r="A60" s="396" t="s">
        <v>627</v>
      </c>
      <c r="B60" s="248" t="str">
        <f>'Сводный расчет стоимости'!C115</f>
        <v>Вскрытие панариция</v>
      </c>
      <c r="C60" s="251">
        <f>'Сводный расчет стоимости'!M115</f>
        <v>659.27881089433276</v>
      </c>
    </row>
    <row r="61" spans="1:3" ht="12.75" customHeight="1" x14ac:dyDescent="0.3">
      <c r="A61" s="396" t="s">
        <v>628</v>
      </c>
      <c r="B61" s="248" t="str">
        <f>'Сводный расчет стоимости'!C116</f>
        <v>Вскрытие фурункула (карбункула)</v>
      </c>
      <c r="C61" s="251">
        <f>'Сводный расчет стоимости'!M116</f>
        <v>711.77950209306061</v>
      </c>
    </row>
    <row r="62" spans="1:3" ht="15" customHeight="1" x14ac:dyDescent="0.3">
      <c r="A62" s="396" t="s">
        <v>629</v>
      </c>
      <c r="B62" s="248" t="e">
        <f>'Сводный расчет стоимости'!#REF!</f>
        <v>#REF!</v>
      </c>
      <c r="C62" s="251" t="e">
        <f>'Сводный расчет стоимости'!#REF!</f>
        <v>#REF!</v>
      </c>
    </row>
    <row r="63" spans="1:3" ht="12.75" customHeight="1" x14ac:dyDescent="0.3">
      <c r="A63" s="396" t="s">
        <v>630</v>
      </c>
      <c r="B63" s="248" t="str">
        <f>'Сводный расчет стоимости'!C117</f>
        <v>Наложение повязки при переломах костей</v>
      </c>
      <c r="C63" s="251">
        <f>'Сводный расчет стоимости'!M117</f>
        <v>492.13764440845995</v>
      </c>
    </row>
    <row r="64" spans="1:3" ht="12.75" customHeight="1" x14ac:dyDescent="0.3">
      <c r="A64" s="396" t="s">
        <v>631</v>
      </c>
      <c r="B64" s="248" t="str">
        <f>'Сводный расчет стоимости'!C118</f>
        <v>Наложение повязки при гнойных заболеваниях кожи и подкожной клетчатки</v>
      </c>
      <c r="C64" s="251">
        <f>'Сводный расчет стоимости'!M118</f>
        <v>492.13764440845995</v>
      </c>
    </row>
    <row r="65" spans="1:3" ht="12.75" customHeight="1" x14ac:dyDescent="0.3">
      <c r="A65" s="396" t="s">
        <v>1501</v>
      </c>
      <c r="B65" s="248" t="str">
        <f>'Сводный расчет стоимости'!C119</f>
        <v>Внутрисуставное введение лекарственных препаратов</v>
      </c>
      <c r="C65" s="251">
        <f>'Сводный расчет стоимости'!M119</f>
        <v>164.28539390752164</v>
      </c>
    </row>
    <row r="66" spans="1:3" ht="12.75" customHeight="1" x14ac:dyDescent="0.3">
      <c r="A66" s="396" t="s">
        <v>1502</v>
      </c>
      <c r="B66" s="248" t="str">
        <f>'Сводный расчет стоимости'!C120</f>
        <v>Хирургическая обработка раны или инфицированной ткани</v>
      </c>
      <c r="C66" s="251">
        <f>'Сводный расчет стоимости'!M120</f>
        <v>492.13764440845995</v>
      </c>
    </row>
    <row r="67" spans="1:3" ht="12.75" customHeight="1" x14ac:dyDescent="0.25">
      <c r="A67" s="1095" t="s">
        <v>623</v>
      </c>
      <c r="B67" s="1095"/>
      <c r="C67" s="255"/>
    </row>
    <row r="68" spans="1:3" ht="12.75" customHeight="1" x14ac:dyDescent="0.25">
      <c r="A68" s="1095" t="s">
        <v>1561</v>
      </c>
      <c r="B68" s="1095"/>
      <c r="C68" s="255"/>
    </row>
    <row r="69" spans="1:3" ht="15" customHeight="1" x14ac:dyDescent="0.3">
      <c r="A69" s="396" t="s">
        <v>241</v>
      </c>
      <c r="B69" s="248" t="s">
        <v>1526</v>
      </c>
      <c r="C69" s="251">
        <f>'Сводный расчет стоимости'!M143</f>
        <v>301.34985217344246</v>
      </c>
    </row>
    <row r="70" spans="1:3" ht="13.5" customHeight="1" x14ac:dyDescent="0.3">
      <c r="A70" s="396" t="s">
        <v>1073</v>
      </c>
      <c r="B70" s="248" t="s">
        <v>1527</v>
      </c>
      <c r="C70" s="251">
        <f>'Сводный расчет стоимости'!M144</f>
        <v>209.114904557664</v>
      </c>
    </row>
    <row r="71" spans="1:3" ht="12.75" customHeight="1" x14ac:dyDescent="0.3">
      <c r="A71" s="396" t="s">
        <v>1074</v>
      </c>
      <c r="B71" s="248" t="s">
        <v>1275</v>
      </c>
      <c r="C71" s="251">
        <f>'Сводный расчет стоимости'!M145</f>
        <v>361.66081925219129</v>
      </c>
    </row>
    <row r="72" spans="1:3" ht="12.75" customHeight="1" x14ac:dyDescent="0.3">
      <c r="A72" s="396" t="s">
        <v>1075</v>
      </c>
      <c r="B72" s="248" t="s">
        <v>1276</v>
      </c>
      <c r="C72" s="251">
        <f>'Сводный расчет стоимости'!M146</f>
        <v>165.44505621129764</v>
      </c>
    </row>
    <row r="73" spans="1:3" ht="12.75" customHeight="1" x14ac:dyDescent="0.3">
      <c r="A73" s="396" t="s">
        <v>1076</v>
      </c>
      <c r="B73" s="248" t="s">
        <v>1565</v>
      </c>
      <c r="C73" s="251">
        <f>'Сводный расчет стоимости'!M147</f>
        <v>163.02676397997053</v>
      </c>
    </row>
    <row r="74" spans="1:3" ht="12.75" customHeight="1" x14ac:dyDescent="0.3">
      <c r="A74" s="396" t="s">
        <v>1525</v>
      </c>
      <c r="B74" s="248" t="s">
        <v>1573</v>
      </c>
      <c r="C74" s="251">
        <f>'Сводный расчет стоимости'!M148</f>
        <v>423.52101190512604</v>
      </c>
    </row>
    <row r="75" spans="1:3" ht="12.75" customHeight="1" x14ac:dyDescent="0.3">
      <c r="A75" s="396" t="s">
        <v>1077</v>
      </c>
      <c r="B75" s="248" t="s">
        <v>1277</v>
      </c>
      <c r="C75" s="251">
        <f>'Сводный расчет стоимости'!M149</f>
        <v>179.49145167123132</v>
      </c>
    </row>
    <row r="76" spans="1:3" ht="12.75" customHeight="1" x14ac:dyDescent="0.3">
      <c r="A76" s="396" t="s">
        <v>1078</v>
      </c>
      <c r="B76" s="248" t="s">
        <v>1282</v>
      </c>
      <c r="C76" s="251">
        <f>'Сводный расчет стоимости'!M150</f>
        <v>164.11713208984327</v>
      </c>
    </row>
    <row r="77" spans="1:3" ht="12.75" customHeight="1" x14ac:dyDescent="0.3">
      <c r="A77" s="396" t="s">
        <v>1079</v>
      </c>
      <c r="B77" s="248" t="s">
        <v>1280</v>
      </c>
      <c r="C77" s="251">
        <f>'Сводный расчет стоимости'!M151</f>
        <v>226.07457034260824</v>
      </c>
    </row>
    <row r="78" spans="1:3" ht="12.75" customHeight="1" x14ac:dyDescent="0.3">
      <c r="A78" s="396" t="s">
        <v>1080</v>
      </c>
      <c r="B78" s="248" t="s">
        <v>1279</v>
      </c>
      <c r="C78" s="251">
        <f>'Сводный расчет стоимости'!M152</f>
        <v>168.16166993367753</v>
      </c>
    </row>
    <row r="79" spans="1:3" ht="12.75" customHeight="1" x14ac:dyDescent="0.3">
      <c r="A79" s="396" t="s">
        <v>1081</v>
      </c>
      <c r="B79" s="248" t="s">
        <v>1563</v>
      </c>
      <c r="C79" s="251">
        <f>'Сводный расчет стоимости'!M153</f>
        <v>178.91838234810612</v>
      </c>
    </row>
    <row r="80" spans="1:3" ht="12.75" customHeight="1" x14ac:dyDescent="0.3">
      <c r="A80" s="396" t="s">
        <v>1082</v>
      </c>
      <c r="B80" s="248" t="s">
        <v>1008</v>
      </c>
      <c r="C80" s="251">
        <f>'Сводный расчет стоимости'!M154</f>
        <v>228.56069405580783</v>
      </c>
    </row>
    <row r="81" spans="1:20" ht="12.75" customHeight="1" x14ac:dyDescent="0.3">
      <c r="A81" s="396" t="s">
        <v>1083</v>
      </c>
      <c r="B81" s="248" t="s">
        <v>1571</v>
      </c>
      <c r="C81" s="251">
        <f>'Сводный расчет стоимости'!M155</f>
        <v>508.83011179516626</v>
      </c>
    </row>
    <row r="82" spans="1:20" ht="12.75" customHeight="1" x14ac:dyDescent="0.3">
      <c r="A82" s="396" t="s">
        <v>1084</v>
      </c>
      <c r="B82" s="248" t="s">
        <v>1572</v>
      </c>
      <c r="C82" s="251">
        <f>'Сводный расчет стоимости'!M156</f>
        <v>220.99040182448067</v>
      </c>
    </row>
    <row r="83" spans="1:20" ht="12.75" customHeight="1" x14ac:dyDescent="0.3">
      <c r="A83" s="396" t="s">
        <v>1085</v>
      </c>
      <c r="B83" s="248" t="s">
        <v>1562</v>
      </c>
      <c r="C83" s="251">
        <f>'Сводный расчет стоимости'!M157</f>
        <v>206.11389661060261</v>
      </c>
    </row>
    <row r="84" spans="1:20" ht="13.8" x14ac:dyDescent="0.3">
      <c r="A84" s="396" t="s">
        <v>1086</v>
      </c>
      <c r="B84" s="248" t="s">
        <v>1564</v>
      </c>
      <c r="C84" s="251">
        <f>'Сводный расчет стоимости'!M158</f>
        <v>196.98503472528898</v>
      </c>
    </row>
    <row r="85" spans="1:20" ht="27.6" x14ac:dyDescent="0.3">
      <c r="A85" s="396" t="s">
        <v>1087</v>
      </c>
      <c r="B85" s="248" t="s">
        <v>1281</v>
      </c>
      <c r="C85" s="251">
        <f>'Сводный расчет стоимости'!M159</f>
        <v>167.19084172913895</v>
      </c>
    </row>
    <row r="86" spans="1:20" ht="27.6" x14ac:dyDescent="0.3">
      <c r="A86" s="396" t="s">
        <v>1088</v>
      </c>
      <c r="B86" s="248" t="s">
        <v>1281</v>
      </c>
      <c r="C86" s="251">
        <f>'Сводный расчет стоимости'!M160</f>
        <v>167.4037654978118</v>
      </c>
    </row>
    <row r="87" spans="1:20" ht="13.8" x14ac:dyDescent="0.3">
      <c r="A87" s="396" t="s">
        <v>1089</v>
      </c>
      <c r="B87" s="248" t="s">
        <v>1570</v>
      </c>
      <c r="C87" s="251">
        <f>'Сводный расчет стоимости'!M161</f>
        <v>230.96118317055465</v>
      </c>
    </row>
    <row r="88" spans="1:20" ht="13.8" x14ac:dyDescent="0.3">
      <c r="A88" s="396" t="s">
        <v>1090</v>
      </c>
      <c r="B88" s="248" t="s">
        <v>1518</v>
      </c>
      <c r="C88" s="251">
        <f>'Сводный расчет стоимости'!M162</f>
        <v>230.57990405859698</v>
      </c>
    </row>
    <row r="89" spans="1:20" ht="13.8" x14ac:dyDescent="0.3">
      <c r="A89" s="396" t="s">
        <v>1091</v>
      </c>
      <c r="B89" s="248" t="s">
        <v>1278</v>
      </c>
      <c r="C89" s="251">
        <f>'Сводный расчет стоимости'!M163</f>
        <v>163.9858129387145</v>
      </c>
    </row>
    <row r="90" spans="1:20" ht="13.8" x14ac:dyDescent="0.3">
      <c r="A90" s="396" t="s">
        <v>1092</v>
      </c>
      <c r="B90" s="248" t="s">
        <v>1575</v>
      </c>
      <c r="C90" s="251">
        <f>'Сводный расчет стоимости'!M164</f>
        <v>206.20650374054424</v>
      </c>
    </row>
    <row r="91" spans="1:20" ht="13.8" x14ac:dyDescent="0.3">
      <c r="A91" s="396" t="s">
        <v>1093</v>
      </c>
      <c r="B91" s="248" t="s">
        <v>1574</v>
      </c>
      <c r="C91" s="251" t="e">
        <f>'Сводный расчет стоимости'!#REF!</f>
        <v>#REF!</v>
      </c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</row>
    <row r="92" spans="1:20" x14ac:dyDescent="0.25">
      <c r="A92" s="246"/>
      <c r="B92" s="430" t="s">
        <v>1576</v>
      </c>
      <c r="C92" s="431"/>
      <c r="D92" s="430"/>
      <c r="E92" s="430"/>
      <c r="F92" s="430"/>
      <c r="G92" s="430"/>
      <c r="H92" s="430"/>
      <c r="I92" s="430"/>
      <c r="J92" s="430"/>
      <c r="K92" s="430"/>
      <c r="L92" s="430"/>
      <c r="M92" s="430"/>
      <c r="N92" s="246"/>
      <c r="O92" s="246"/>
      <c r="P92" s="246"/>
      <c r="Q92" s="246"/>
      <c r="R92" s="246"/>
      <c r="S92" s="246"/>
      <c r="T92" s="246"/>
    </row>
    <row r="93" spans="1:20" ht="13.8" x14ac:dyDescent="0.3">
      <c r="A93" s="428" t="s">
        <v>150</v>
      </c>
      <c r="B93" s="428" t="s">
        <v>1552</v>
      </c>
      <c r="C93" s="251">
        <f>'Сводный расчет стоимости'!M166</f>
        <v>651.56583662090941</v>
      </c>
    </row>
    <row r="94" spans="1:20" ht="13.8" x14ac:dyDescent="0.3">
      <c r="A94" s="428" t="s">
        <v>1094</v>
      </c>
      <c r="B94" s="428" t="s">
        <v>1551</v>
      </c>
      <c r="C94" s="251">
        <f>'Сводный расчет стоимости'!M167</f>
        <v>441.45459230079462</v>
      </c>
    </row>
    <row r="95" spans="1:20" ht="13.8" x14ac:dyDescent="0.3">
      <c r="A95" s="428" t="s">
        <v>1095</v>
      </c>
      <c r="B95" s="248" t="s">
        <v>149</v>
      </c>
      <c r="C95" s="251">
        <f>'Сводный расчет стоимости'!M168</f>
        <v>159.13715803312135</v>
      </c>
    </row>
    <row r="96" spans="1:20" ht="13.8" x14ac:dyDescent="0.3">
      <c r="A96" s="428" t="s">
        <v>1096</v>
      </c>
      <c r="B96" s="248" t="s">
        <v>143</v>
      </c>
      <c r="C96" s="251">
        <f>'Сводный расчет стоимости'!M169</f>
        <v>440.55382039879464</v>
      </c>
    </row>
    <row r="97" spans="1:3" ht="13.5" customHeight="1" x14ac:dyDescent="0.3">
      <c r="A97" s="428" t="s">
        <v>1097</v>
      </c>
      <c r="B97" s="248" t="s">
        <v>132</v>
      </c>
      <c r="C97" s="251">
        <f>'Сводный расчет стоимости'!M170</f>
        <v>540.95818675033547</v>
      </c>
    </row>
    <row r="98" spans="1:3" ht="15.75" customHeight="1" x14ac:dyDescent="0.3">
      <c r="A98" s="428" t="s">
        <v>1098</v>
      </c>
      <c r="B98" s="248" t="s">
        <v>131</v>
      </c>
      <c r="C98" s="251">
        <f>'Сводный расчет стоимости'!M171</f>
        <v>255.37531268510094</v>
      </c>
    </row>
    <row r="99" spans="1:3" ht="17.25" customHeight="1" x14ac:dyDescent="0.3">
      <c r="A99" s="428" t="s">
        <v>1099</v>
      </c>
      <c r="B99" s="248" t="s">
        <v>140</v>
      </c>
      <c r="C99" s="251">
        <f>'Сводный расчет стоимости'!M172</f>
        <v>912.49336176230224</v>
      </c>
    </row>
    <row r="100" spans="1:3" ht="13.8" x14ac:dyDescent="0.3">
      <c r="A100" s="428" t="s">
        <v>1100</v>
      </c>
      <c r="B100" s="248" t="s">
        <v>1554</v>
      </c>
      <c r="C100" s="251">
        <f>'Сводный расчет стоимости'!M173</f>
        <v>394.19818898433419</v>
      </c>
    </row>
    <row r="101" spans="1:3" ht="27.6" x14ac:dyDescent="0.3">
      <c r="A101" s="428" t="s">
        <v>1101</v>
      </c>
      <c r="B101" s="248" t="s">
        <v>1590</v>
      </c>
      <c r="C101" s="251">
        <f>'Сводный расчет стоимости'!M174</f>
        <v>290.30823026294854</v>
      </c>
    </row>
    <row r="102" spans="1:3" ht="27.6" x14ac:dyDescent="0.3">
      <c r="A102" s="428" t="s">
        <v>1102</v>
      </c>
      <c r="B102" s="248" t="s">
        <v>881</v>
      </c>
      <c r="C102" s="251">
        <f>'Сводный расчет стоимости'!M175</f>
        <v>2007.5048465820037</v>
      </c>
    </row>
    <row r="103" spans="1:3" ht="27.6" x14ac:dyDescent="0.3">
      <c r="A103" s="428" t="s">
        <v>1103</v>
      </c>
      <c r="B103" s="248" t="s">
        <v>884</v>
      </c>
      <c r="C103" s="251">
        <f>'Сводный расчет стоимости'!M176</f>
        <v>2316.2895840716183</v>
      </c>
    </row>
    <row r="104" spans="1:3" ht="27.6" x14ac:dyDescent="0.3">
      <c r="A104" s="428" t="s">
        <v>1104</v>
      </c>
      <c r="B104" s="248" t="s">
        <v>882</v>
      </c>
      <c r="C104" s="251">
        <f>'Сводный расчет стоимости'!M177</f>
        <v>2774.2481143179507</v>
      </c>
    </row>
    <row r="105" spans="1:3" ht="27.6" x14ac:dyDescent="0.3">
      <c r="A105" s="428" t="s">
        <v>1105</v>
      </c>
      <c r="B105" s="248" t="s">
        <v>885</v>
      </c>
      <c r="C105" s="251">
        <f>'Сводный расчет стоимости'!M178</f>
        <v>3109.4130464057798</v>
      </c>
    </row>
    <row r="106" spans="1:3" ht="27.6" x14ac:dyDescent="0.3">
      <c r="A106" s="428" t="s">
        <v>1106</v>
      </c>
      <c r="B106" s="248" t="s">
        <v>883</v>
      </c>
      <c r="C106" s="251">
        <f>'Сводный расчет стоимости'!M179</f>
        <v>3521.6414687346487</v>
      </c>
    </row>
    <row r="107" spans="1:3" ht="27.6" x14ac:dyDescent="0.3">
      <c r="A107" s="428" t="s">
        <v>1107</v>
      </c>
      <c r="B107" s="248" t="s">
        <v>887</v>
      </c>
      <c r="C107" s="251">
        <f>'Сводный расчет стоимости'!M180</f>
        <v>3902.4429888395757</v>
      </c>
    </row>
    <row r="108" spans="1:3" ht="15.75" customHeight="1" x14ac:dyDescent="0.3">
      <c r="A108" s="428" t="s">
        <v>1108</v>
      </c>
      <c r="B108" s="248" t="s">
        <v>1591</v>
      </c>
      <c r="C108" s="251">
        <f>'Сводный расчет стоимости'!M181</f>
        <v>153.88803771065594</v>
      </c>
    </row>
    <row r="109" spans="1:3" ht="13.8" x14ac:dyDescent="0.3">
      <c r="A109" s="428" t="s">
        <v>1109</v>
      </c>
      <c r="B109" s="428" t="s">
        <v>616</v>
      </c>
      <c r="C109" s="251">
        <f>'Сводный расчет стоимости'!M182</f>
        <v>252.18751453171407</v>
      </c>
    </row>
    <row r="110" spans="1:3" ht="29.25" customHeight="1" x14ac:dyDescent="0.3">
      <c r="A110" s="428" t="s">
        <v>1110</v>
      </c>
      <c r="B110" s="248" t="s">
        <v>1135</v>
      </c>
      <c r="C110" s="251">
        <f>'Сводный расчет стоимости'!M183</f>
        <v>1377.2365308913063</v>
      </c>
    </row>
    <row r="111" spans="1:3" ht="30" customHeight="1" x14ac:dyDescent="0.3">
      <c r="A111" s="428" t="s">
        <v>1111</v>
      </c>
      <c r="B111" s="248" t="s">
        <v>1134</v>
      </c>
      <c r="C111" s="251">
        <f>'Сводный расчет стоимости'!M184</f>
        <v>1187.969453122226</v>
      </c>
    </row>
    <row r="112" spans="1:3" ht="29.25" customHeight="1" x14ac:dyDescent="0.3">
      <c r="A112" s="428" t="s">
        <v>1112</v>
      </c>
      <c r="B112" s="248" t="s">
        <v>137</v>
      </c>
      <c r="C112" s="251">
        <f>'Сводный расчет стоимости'!M185</f>
        <v>1282.6029920067663</v>
      </c>
    </row>
    <row r="113" spans="1:3" ht="26.25" customHeight="1" x14ac:dyDescent="0.3">
      <c r="A113" s="428" t="s">
        <v>1113</v>
      </c>
      <c r="B113" s="248" t="s">
        <v>135</v>
      </c>
      <c r="C113" s="251">
        <f>'Сводный расчет стоимости'!M186</f>
        <v>859.70828364935164</v>
      </c>
    </row>
    <row r="114" spans="1:3" ht="13.8" x14ac:dyDescent="0.3">
      <c r="A114" s="428" t="s">
        <v>1114</v>
      </c>
      <c r="B114" s="248" t="s">
        <v>550</v>
      </c>
      <c r="C114" s="251">
        <f>'Сводный расчет стоимости'!M187</f>
        <v>157.18717431373756</v>
      </c>
    </row>
    <row r="115" spans="1:3" ht="27.6" x14ac:dyDescent="0.3">
      <c r="A115" s="428" t="s">
        <v>1115</v>
      </c>
      <c r="B115" s="248" t="s">
        <v>101</v>
      </c>
      <c r="C115" s="251">
        <f>'Сводный расчет стоимости'!M188</f>
        <v>1614.6127183523095</v>
      </c>
    </row>
    <row r="116" spans="1:3" ht="27.6" x14ac:dyDescent="0.3">
      <c r="A116" s="428" t="s">
        <v>1116</v>
      </c>
      <c r="B116" s="248" t="s">
        <v>1139</v>
      </c>
      <c r="C116" s="251">
        <f>'Сводный расчет стоимости'!M189</f>
        <v>1876.3006374285512</v>
      </c>
    </row>
    <row r="117" spans="1:3" ht="27.6" x14ac:dyDescent="0.3">
      <c r="A117" s="428" t="s">
        <v>1117</v>
      </c>
      <c r="B117" s="248" t="s">
        <v>102</v>
      </c>
      <c r="C117" s="251">
        <f>'Сводный расчет стоимости'!M190</f>
        <v>2376.3640454605402</v>
      </c>
    </row>
    <row r="118" spans="1:3" ht="27.6" x14ac:dyDescent="0.3">
      <c r="A118" s="428" t="s">
        <v>1118</v>
      </c>
      <c r="B118" s="248" t="s">
        <v>1140</v>
      </c>
      <c r="C118" s="251">
        <f>'Сводный расчет стоимости'!M191</f>
        <v>2675.4304364268464</v>
      </c>
    </row>
    <row r="119" spans="1:3" ht="27.6" x14ac:dyDescent="0.3">
      <c r="A119" s="428" t="s">
        <v>1119</v>
      </c>
      <c r="B119" s="248" t="s">
        <v>103</v>
      </c>
      <c r="C119" s="251">
        <f>'Сводный расчет стоимости'!M192</f>
        <v>3143.1073131964872</v>
      </c>
    </row>
    <row r="120" spans="1:3" ht="27.6" x14ac:dyDescent="0.3">
      <c r="A120" s="428" t="s">
        <v>151</v>
      </c>
      <c r="B120" s="248" t="s">
        <v>1141</v>
      </c>
      <c r="C120" s="251">
        <f>'Сводный расчет стоимости'!M193</f>
        <v>3453.5294914641554</v>
      </c>
    </row>
    <row r="121" spans="1:3" ht="17.25" customHeight="1" x14ac:dyDescent="0.3">
      <c r="A121" s="428" t="s">
        <v>152</v>
      </c>
      <c r="B121" s="248" t="s">
        <v>147</v>
      </c>
      <c r="C121" s="251">
        <f>'Сводный расчет стоимости'!M194</f>
        <v>152.52126727770218</v>
      </c>
    </row>
    <row r="122" spans="1:3" ht="15" customHeight="1" x14ac:dyDescent="0.3">
      <c r="A122" s="428" t="s">
        <v>154</v>
      </c>
      <c r="B122" s="248" t="s">
        <v>148</v>
      </c>
      <c r="C122" s="251">
        <f>'Сводный расчет стоимости'!M195</f>
        <v>144.07296727770219</v>
      </c>
    </row>
    <row r="123" spans="1:3" ht="18" customHeight="1" x14ac:dyDescent="0.3">
      <c r="A123" s="428" t="s">
        <v>155</v>
      </c>
      <c r="B123" s="248" t="s">
        <v>146</v>
      </c>
      <c r="C123" s="251">
        <f>'Сводный расчет стоимости'!M196</f>
        <v>144.07296727770219</v>
      </c>
    </row>
    <row r="124" spans="1:3" ht="15" customHeight="1" x14ac:dyDescent="0.3">
      <c r="A124" s="428" t="s">
        <v>156</v>
      </c>
      <c r="B124" s="248" t="s">
        <v>145</v>
      </c>
      <c r="C124" s="251">
        <f>'Сводный расчет стоимости'!M197</f>
        <v>144.07296727770219</v>
      </c>
    </row>
    <row r="125" spans="1:3" ht="13.8" x14ac:dyDescent="0.3">
      <c r="A125" s="428" t="s">
        <v>157</v>
      </c>
      <c r="B125" s="248" t="s">
        <v>142</v>
      </c>
      <c r="C125" s="251">
        <f>'Сводный расчет стоимости'!M198</f>
        <v>128.69151093583258</v>
      </c>
    </row>
    <row r="126" spans="1:3" ht="24" customHeight="1" x14ac:dyDescent="0.3">
      <c r="A126" s="428" t="s">
        <v>158</v>
      </c>
      <c r="B126" s="248" t="s">
        <v>1197</v>
      </c>
      <c r="C126" s="251">
        <f>'Сводный расчет стоимости'!M199</f>
        <v>472.03647903589109</v>
      </c>
    </row>
    <row r="127" spans="1:3" ht="27.75" customHeight="1" x14ac:dyDescent="0.3">
      <c r="A127" s="428" t="s">
        <v>159</v>
      </c>
      <c r="B127" s="248" t="s">
        <v>376</v>
      </c>
      <c r="C127" s="251">
        <f>'Сводный расчет стоимости'!M200</f>
        <v>571.40169486465845</v>
      </c>
    </row>
    <row r="128" spans="1:3" ht="29.25" customHeight="1" x14ac:dyDescent="0.3">
      <c r="A128" s="428" t="s">
        <v>160</v>
      </c>
      <c r="B128" s="248" t="s">
        <v>377</v>
      </c>
      <c r="C128" s="251">
        <f>'Сводный расчет стоимости'!M201</f>
        <v>748.05096744913351</v>
      </c>
    </row>
    <row r="129" spans="1:3" ht="27.6" x14ac:dyDescent="0.3">
      <c r="A129" s="428" t="s">
        <v>161</v>
      </c>
      <c r="B129" s="248" t="s">
        <v>878</v>
      </c>
      <c r="C129" s="251">
        <f>'Сводный расчет стоимости'!M202</f>
        <v>265.70419366163452</v>
      </c>
    </row>
    <row r="130" spans="1:3" ht="27.6" x14ac:dyDescent="0.3">
      <c r="A130" s="428" t="s">
        <v>162</v>
      </c>
      <c r="B130" s="248" t="s">
        <v>879</v>
      </c>
      <c r="C130" s="251">
        <f>'Сводный расчет стоимости'!M203</f>
        <v>375.65142100282912</v>
      </c>
    </row>
    <row r="131" spans="1:3" ht="27.6" x14ac:dyDescent="0.3">
      <c r="A131" s="428" t="s">
        <v>163</v>
      </c>
      <c r="B131" s="248" t="s">
        <v>880</v>
      </c>
      <c r="C131" s="251">
        <f>'Сводный расчет стоимости'!M204</f>
        <v>478.6632112588934</v>
      </c>
    </row>
    <row r="132" spans="1:3" ht="27.6" x14ac:dyDescent="0.3">
      <c r="A132" s="428" t="s">
        <v>164</v>
      </c>
      <c r="B132" s="593" t="s">
        <v>1693</v>
      </c>
      <c r="C132" s="251">
        <f>'Сводный расчет стоимости'!M205</f>
        <v>586.52856945390431</v>
      </c>
    </row>
    <row r="133" spans="1:3" ht="27.6" x14ac:dyDescent="0.3">
      <c r="A133" s="428" t="s">
        <v>165</v>
      </c>
      <c r="B133" s="593" t="s">
        <v>1694</v>
      </c>
      <c r="C133" s="251">
        <f>'Сводный расчет стоимости'!M206</f>
        <v>687.73388187209309</v>
      </c>
    </row>
    <row r="134" spans="1:3" ht="27.6" x14ac:dyDescent="0.3">
      <c r="A134" s="428" t="s">
        <v>166</v>
      </c>
      <c r="B134" s="593" t="s">
        <v>1695</v>
      </c>
      <c r="C134" s="251">
        <f>'Сводный расчет стоимости'!M207</f>
        <v>890.144506708471</v>
      </c>
    </row>
    <row r="135" spans="1:3" ht="13.8" x14ac:dyDescent="0.3">
      <c r="A135" s="428" t="s">
        <v>167</v>
      </c>
      <c r="B135" s="248" t="s">
        <v>1556</v>
      </c>
      <c r="C135" s="251">
        <f>'Сводный расчет стоимости'!M208</f>
        <v>158.17041324182151</v>
      </c>
    </row>
    <row r="136" spans="1:3" ht="13.8" x14ac:dyDescent="0.3">
      <c r="A136" s="428" t="s">
        <v>168</v>
      </c>
      <c r="B136" s="248" t="s">
        <v>560</v>
      </c>
      <c r="C136" s="251">
        <f>'Сводный расчет стоимости'!M209</f>
        <v>166.96716978111129</v>
      </c>
    </row>
    <row r="137" spans="1:3" ht="13.8" x14ac:dyDescent="0.3">
      <c r="A137" s="428" t="s">
        <v>169</v>
      </c>
      <c r="B137" s="428" t="s">
        <v>615</v>
      </c>
      <c r="C137" s="251">
        <f>'Сводный расчет стоимости'!M210</f>
        <v>248.47016461889226</v>
      </c>
    </row>
    <row r="138" spans="1:3" ht="13.8" x14ac:dyDescent="0.3">
      <c r="A138" s="428" t="s">
        <v>172</v>
      </c>
      <c r="B138" s="428" t="s">
        <v>1548</v>
      </c>
      <c r="C138" s="251">
        <f>'Сводный расчет стоимости'!M211</f>
        <v>290.95229249571616</v>
      </c>
    </row>
    <row r="139" spans="1:3" ht="24" customHeight="1" x14ac:dyDescent="0.3">
      <c r="A139" s="428" t="s">
        <v>173</v>
      </c>
      <c r="B139" s="248" t="s">
        <v>133</v>
      </c>
      <c r="C139" s="251">
        <f>'Сводный расчет стоимости'!M212</f>
        <v>164.5121219518991</v>
      </c>
    </row>
    <row r="140" spans="1:3" ht="27.6" x14ac:dyDescent="0.3">
      <c r="A140" s="428" t="s">
        <v>174</v>
      </c>
      <c r="B140" s="248" t="s">
        <v>104</v>
      </c>
      <c r="C140" s="251">
        <f>'Сводный расчет стоимости'!M213</f>
        <v>466.21054064570353</v>
      </c>
    </row>
    <row r="141" spans="1:3" ht="13.8" x14ac:dyDescent="0.3">
      <c r="A141" s="428" t="s">
        <v>175</v>
      </c>
      <c r="B141" s="248" t="s">
        <v>1555</v>
      </c>
      <c r="C141" s="251">
        <f>'Сводный расчет стоимости'!M214</f>
        <v>351.22080653701033</v>
      </c>
    </row>
    <row r="142" spans="1:3" ht="13.8" x14ac:dyDescent="0.3">
      <c r="A142" s="428" t="s">
        <v>176</v>
      </c>
      <c r="B142" s="248" t="s">
        <v>139</v>
      </c>
      <c r="C142" s="251">
        <f>'Сводный расчет стоимости'!M215</f>
        <v>267.0855047144031</v>
      </c>
    </row>
    <row r="143" spans="1:3" ht="27.6" x14ac:dyDescent="0.3">
      <c r="A143" s="428" t="s">
        <v>177</v>
      </c>
      <c r="B143" s="248" t="s">
        <v>141</v>
      </c>
      <c r="C143" s="251">
        <f>'Сводный расчет стоимости'!M216</f>
        <v>431.53000125169802</v>
      </c>
    </row>
    <row r="144" spans="1:3" ht="13.8" x14ac:dyDescent="0.3">
      <c r="A144" s="428" t="s">
        <v>178</v>
      </c>
      <c r="B144" s="248" t="s">
        <v>1588</v>
      </c>
      <c r="C144" s="251">
        <f>'Сводный расчет стоимости'!M217</f>
        <v>154.71668142109019</v>
      </c>
    </row>
    <row r="145" spans="1:3" ht="27.6" x14ac:dyDescent="0.3">
      <c r="A145" s="428" t="s">
        <v>179</v>
      </c>
      <c r="B145" s="248" t="s">
        <v>545</v>
      </c>
      <c r="C145" s="251">
        <f>'Сводный расчет стоимости'!M218</f>
        <v>159.39656705141005</v>
      </c>
    </row>
    <row r="146" spans="1:3" ht="13.8" x14ac:dyDescent="0.3">
      <c r="A146" s="428" t="s">
        <v>180</v>
      </c>
      <c r="B146" s="428" t="s">
        <v>1553</v>
      </c>
      <c r="C146" s="251">
        <f>'Сводный расчет стоимости'!M219</f>
        <v>621.24422994690235</v>
      </c>
    </row>
    <row r="147" spans="1:3" ht="13.8" x14ac:dyDescent="0.3">
      <c r="A147" s="428" t="s">
        <v>181</v>
      </c>
      <c r="B147" s="428" t="s">
        <v>1583</v>
      </c>
      <c r="C147" s="251">
        <f>'Сводный расчет стоимости'!M220</f>
        <v>517.17889228126808</v>
      </c>
    </row>
    <row r="148" spans="1:3" ht="26.25" customHeight="1" x14ac:dyDescent="0.3">
      <c r="A148" s="428" t="s">
        <v>182</v>
      </c>
      <c r="B148" s="428" t="s">
        <v>618</v>
      </c>
      <c r="C148" s="251">
        <f>'Сводный расчет стоимости'!M221</f>
        <v>817.43559744148638</v>
      </c>
    </row>
    <row r="149" spans="1:3" ht="12" customHeight="1" x14ac:dyDescent="0.3">
      <c r="A149" s="428" t="s">
        <v>183</v>
      </c>
      <c r="B149" s="595" t="s">
        <v>1582</v>
      </c>
      <c r="C149" s="251">
        <f>'Сводный расчет стоимости'!M222</f>
        <v>384.98388542823199</v>
      </c>
    </row>
    <row r="150" spans="1:3" ht="12" customHeight="1" x14ac:dyDescent="0.3">
      <c r="A150" s="428" t="s">
        <v>184</v>
      </c>
      <c r="B150" s="596" t="s">
        <v>1557</v>
      </c>
      <c r="C150" s="251">
        <f>'Сводный расчет стоимости'!M223</f>
        <v>172.08672042628248</v>
      </c>
    </row>
    <row r="151" spans="1:3" ht="13.8" x14ac:dyDescent="0.3">
      <c r="A151" s="428" t="s">
        <v>505</v>
      </c>
      <c r="B151" s="596" t="s">
        <v>144</v>
      </c>
      <c r="C151" s="251">
        <f>'Сводный расчет стоимости'!M224</f>
        <v>107.23375087708239</v>
      </c>
    </row>
    <row r="152" spans="1:3" ht="12" customHeight="1" x14ac:dyDescent="0.3">
      <c r="A152" s="428" t="s">
        <v>771</v>
      </c>
      <c r="B152" s="595" t="s">
        <v>620</v>
      </c>
      <c r="C152" s="251">
        <f>'Сводный расчет стоимости'!M225</f>
        <v>166.68779661364692</v>
      </c>
    </row>
    <row r="153" spans="1:3" ht="26.25" customHeight="1" x14ac:dyDescent="0.3">
      <c r="A153" s="428" t="s">
        <v>1690</v>
      </c>
      <c r="B153" s="428" t="s">
        <v>621</v>
      </c>
      <c r="C153" s="251">
        <f>'Сводный расчет стоимости'!M226</f>
        <v>201.51792757399593</v>
      </c>
    </row>
    <row r="154" spans="1:3" ht="12" customHeight="1" x14ac:dyDescent="0.3">
      <c r="A154" s="428" t="s">
        <v>1691</v>
      </c>
      <c r="B154" s="428" t="s">
        <v>619</v>
      </c>
      <c r="C154" s="251">
        <f>'Сводный расчет стоимости'!M227</f>
        <v>287.39850251034824</v>
      </c>
    </row>
    <row r="155" spans="1:3" ht="13.8" x14ac:dyDescent="0.3">
      <c r="A155" s="428" t="s">
        <v>1692</v>
      </c>
      <c r="B155" s="428" t="s">
        <v>617</v>
      </c>
      <c r="C155" s="251">
        <f>'Сводный расчет стоимости'!M228</f>
        <v>1044.7605601537234</v>
      </c>
    </row>
    <row r="156" spans="1:3" x14ac:dyDescent="0.25">
      <c r="A156" s="1095" t="s">
        <v>242</v>
      </c>
      <c r="B156" s="1095"/>
      <c r="C156" s="429"/>
    </row>
    <row r="157" spans="1:3" ht="13.8" x14ac:dyDescent="0.3">
      <c r="A157" s="424" t="s">
        <v>243</v>
      </c>
      <c r="B157" s="253" t="s">
        <v>244</v>
      </c>
      <c r="C157" s="251">
        <f>Прейскурант!C235</f>
        <v>172.65592055641622</v>
      </c>
    </row>
    <row r="158" spans="1:3" ht="13.8" x14ac:dyDescent="0.3">
      <c r="A158" s="424" t="s">
        <v>245</v>
      </c>
      <c r="B158" s="248" t="s">
        <v>632</v>
      </c>
      <c r="C158" s="251">
        <f>Прейскурант!C236</f>
        <v>600.099131582533</v>
      </c>
    </row>
    <row r="159" spans="1:3" ht="13.8" x14ac:dyDescent="0.3">
      <c r="A159" s="424" t="s">
        <v>1120</v>
      </c>
      <c r="B159" s="248" t="s">
        <v>1036</v>
      </c>
      <c r="C159" s="251">
        <f>Прейскурант!C237</f>
        <v>413.16907105204729</v>
      </c>
    </row>
    <row r="160" spans="1:3" ht="13.8" x14ac:dyDescent="0.3">
      <c r="A160" s="424" t="s">
        <v>1121</v>
      </c>
      <c r="B160" s="248" t="s">
        <v>248</v>
      </c>
      <c r="C160" s="251" t="e">
        <f>Прейскурант!#REF!</f>
        <v>#REF!</v>
      </c>
    </row>
    <row r="161" spans="1:3" ht="13.8" x14ac:dyDescent="0.3">
      <c r="A161" s="424" t="s">
        <v>246</v>
      </c>
      <c r="B161" s="248" t="s">
        <v>633</v>
      </c>
      <c r="C161" s="251">
        <f>Прейскурант!C238</f>
        <v>463.01414737640204</v>
      </c>
    </row>
    <row r="162" spans="1:3" ht="13.8" x14ac:dyDescent="0.3">
      <c r="A162" s="424" t="s">
        <v>247</v>
      </c>
      <c r="B162" s="248" t="s">
        <v>634</v>
      </c>
      <c r="C162" s="251">
        <f>Прейскурант!C239</f>
        <v>444.60027266990733</v>
      </c>
    </row>
    <row r="163" spans="1:3" ht="13.8" x14ac:dyDescent="0.3">
      <c r="A163" s="424" t="s">
        <v>249</v>
      </c>
      <c r="B163" s="248" t="s">
        <v>1034</v>
      </c>
      <c r="C163" s="251">
        <f>Прейскурант!C240</f>
        <v>444.60027266990733</v>
      </c>
    </row>
    <row r="164" spans="1:3" ht="13.8" x14ac:dyDescent="0.3">
      <c r="A164" s="424" t="s">
        <v>250</v>
      </c>
      <c r="B164" s="248" t="s">
        <v>277</v>
      </c>
      <c r="C164" s="251">
        <f>Прейскурант!C241</f>
        <v>600.099131582533</v>
      </c>
    </row>
    <row r="165" spans="1:3" ht="13.8" x14ac:dyDescent="0.3">
      <c r="A165" s="424" t="s">
        <v>251</v>
      </c>
      <c r="B165" s="248" t="s">
        <v>635</v>
      </c>
      <c r="C165" s="251" t="e">
        <f>Прейскурант!#REF!</f>
        <v>#REF!</v>
      </c>
    </row>
    <row r="166" spans="1:3" ht="13.8" x14ac:dyDescent="0.3">
      <c r="A166" s="424" t="s">
        <v>252</v>
      </c>
      <c r="B166" s="248" t="s">
        <v>1037</v>
      </c>
      <c r="C166" s="251" t="e">
        <f>Прейскурант!#REF!</f>
        <v>#REF!</v>
      </c>
    </row>
    <row r="167" spans="1:3" ht="13.8" x14ac:dyDescent="0.3">
      <c r="A167" s="424" t="s">
        <v>253</v>
      </c>
      <c r="B167" s="248" t="s">
        <v>636</v>
      </c>
      <c r="C167" s="251" t="e">
        <f>Прейскурант!#REF!</f>
        <v>#REF!</v>
      </c>
    </row>
    <row r="168" spans="1:3" ht="13.8" x14ac:dyDescent="0.3">
      <c r="A168" s="424" t="s">
        <v>254</v>
      </c>
      <c r="B168" s="248" t="s">
        <v>637</v>
      </c>
      <c r="C168" s="251">
        <f>Прейскурант!C242</f>
        <v>413.16907105204729</v>
      </c>
    </row>
    <row r="169" spans="1:3" ht="13.8" x14ac:dyDescent="0.3">
      <c r="A169" s="424" t="s">
        <v>255</v>
      </c>
      <c r="B169" s="248" t="s">
        <v>638</v>
      </c>
      <c r="C169" s="251">
        <f>Прейскурант!C243</f>
        <v>413.16907105204729</v>
      </c>
    </row>
    <row r="170" spans="1:3" ht="13.8" x14ac:dyDescent="0.3">
      <c r="A170" s="424" t="s">
        <v>256</v>
      </c>
      <c r="B170" s="248" t="s">
        <v>402</v>
      </c>
      <c r="C170" s="251" t="e">
        <f>Прейскурант!#REF!</f>
        <v>#REF!</v>
      </c>
    </row>
    <row r="171" spans="1:3" ht="13.8" x14ac:dyDescent="0.3">
      <c r="A171" s="424" t="s">
        <v>257</v>
      </c>
      <c r="B171" s="248" t="s">
        <v>404</v>
      </c>
      <c r="C171" s="251" t="e">
        <f>Прейскурант!#REF!</f>
        <v>#REF!</v>
      </c>
    </row>
    <row r="172" spans="1:3" ht="13.8" x14ac:dyDescent="0.3">
      <c r="A172" s="424" t="s">
        <v>258</v>
      </c>
      <c r="B172" s="248" t="s">
        <v>1609</v>
      </c>
      <c r="C172" s="251" t="e">
        <f>Прейскурант!#REF!</f>
        <v>#REF!</v>
      </c>
    </row>
    <row r="173" spans="1:3" ht="13.8" x14ac:dyDescent="0.3">
      <c r="A173" s="424" t="s">
        <v>259</v>
      </c>
      <c r="B173" s="248" t="s">
        <v>1610</v>
      </c>
      <c r="C173" s="251">
        <f>Прейскурант!C244</f>
        <v>472.99407854431666</v>
      </c>
    </row>
    <row r="174" spans="1:3" ht="13.8" x14ac:dyDescent="0.3">
      <c r="A174" s="424" t="s">
        <v>260</v>
      </c>
      <c r="B174" s="248" t="s">
        <v>261</v>
      </c>
      <c r="C174" s="251" t="e">
        <f>Прейскурант!#REF!</f>
        <v>#REF!</v>
      </c>
    </row>
    <row r="175" spans="1:3" ht="13.8" x14ac:dyDescent="0.3">
      <c r="A175" s="424" t="s">
        <v>262</v>
      </c>
      <c r="B175" s="248" t="s">
        <v>1615</v>
      </c>
      <c r="C175" s="251" t="e">
        <f>Прейскурант!#REF!</f>
        <v>#REF!</v>
      </c>
    </row>
    <row r="176" spans="1:3" ht="13.8" x14ac:dyDescent="0.3">
      <c r="A176" s="424" t="s">
        <v>263</v>
      </c>
      <c r="B176" s="248" t="s">
        <v>1618</v>
      </c>
      <c r="C176" s="251" t="e">
        <f>Прейскурант!#REF!</f>
        <v>#REF!</v>
      </c>
    </row>
    <row r="177" spans="1:3" ht="13.8" x14ac:dyDescent="0.3">
      <c r="A177" s="424" t="s">
        <v>1122</v>
      </c>
      <c r="B177" s="248" t="s">
        <v>1645</v>
      </c>
      <c r="C177" s="251">
        <f>Прейскурант!C245</f>
        <v>413.16907105204729</v>
      </c>
    </row>
    <row r="178" spans="1:3" ht="13.8" x14ac:dyDescent="0.3">
      <c r="A178" s="424" t="s">
        <v>264</v>
      </c>
      <c r="B178" s="248" t="s">
        <v>1600</v>
      </c>
      <c r="C178" s="251" t="e">
        <f>Прейскурант!#REF!</f>
        <v>#REF!</v>
      </c>
    </row>
    <row r="179" spans="1:3" ht="13.8" x14ac:dyDescent="0.3">
      <c r="A179" s="424" t="s">
        <v>265</v>
      </c>
      <c r="B179" s="248" t="s">
        <v>1620</v>
      </c>
      <c r="C179" s="251">
        <f>Прейскурант!C246</f>
        <v>849.0630207604014</v>
      </c>
    </row>
    <row r="180" spans="1:3" ht="13.8" x14ac:dyDescent="0.3">
      <c r="A180" s="424" t="s">
        <v>266</v>
      </c>
      <c r="B180" s="248" t="s">
        <v>1622</v>
      </c>
      <c r="C180" s="251" t="e">
        <f>Прейскурант!#REF!</f>
        <v>#REF!</v>
      </c>
    </row>
    <row r="181" spans="1:3" ht="13.8" x14ac:dyDescent="0.3">
      <c r="A181" s="424" t="s">
        <v>267</v>
      </c>
      <c r="B181" s="248" t="s">
        <v>1143</v>
      </c>
      <c r="C181" s="251">
        <f>Прейскурант!C247</f>
        <v>410.24029758258746</v>
      </c>
    </row>
    <row r="182" spans="1:3" ht="13.8" x14ac:dyDescent="0.3">
      <c r="A182" s="424" t="s">
        <v>268</v>
      </c>
      <c r="B182" s="248" t="s">
        <v>1624</v>
      </c>
      <c r="C182" s="251" t="e">
        <f>Прейскурант!#REF!</f>
        <v>#REF!</v>
      </c>
    </row>
    <row r="183" spans="1:3" ht="13.8" x14ac:dyDescent="0.3">
      <c r="A183" s="424" t="s">
        <v>269</v>
      </c>
      <c r="B183" s="248" t="s">
        <v>1625</v>
      </c>
      <c r="C183" s="251">
        <f>Прейскурант!C248</f>
        <v>413.16907105204729</v>
      </c>
    </row>
    <row r="184" spans="1:3" ht="13.8" x14ac:dyDescent="0.3">
      <c r="A184" s="424" t="s">
        <v>270</v>
      </c>
      <c r="B184" s="248" t="s">
        <v>1626</v>
      </c>
      <c r="C184" s="251">
        <f>Прейскурант!C249</f>
        <v>413.16907105204729</v>
      </c>
    </row>
    <row r="185" spans="1:3" ht="13.8" x14ac:dyDescent="0.3">
      <c r="A185" s="424" t="s">
        <v>271</v>
      </c>
      <c r="B185" s="248" t="s">
        <v>274</v>
      </c>
      <c r="C185" s="251">
        <f>Прейскурант!C250</f>
        <v>600.099131582533</v>
      </c>
    </row>
    <row r="186" spans="1:3" ht="13.8" x14ac:dyDescent="0.3">
      <c r="A186" s="424" t="s">
        <v>272</v>
      </c>
      <c r="B186" s="248" t="s">
        <v>1628</v>
      </c>
      <c r="C186" s="251" t="e">
        <f>Прейскурант!#REF!</f>
        <v>#REF!</v>
      </c>
    </row>
    <row r="187" spans="1:3" ht="13.8" x14ac:dyDescent="0.3">
      <c r="A187" s="424" t="s">
        <v>273</v>
      </c>
      <c r="B187" s="248" t="s">
        <v>421</v>
      </c>
      <c r="C187" s="251" t="e">
        <f>Прейскурант!#REF!</f>
        <v>#REF!</v>
      </c>
    </row>
    <row r="188" spans="1:3" ht="13.8" x14ac:dyDescent="0.3">
      <c r="A188" s="424" t="s">
        <v>275</v>
      </c>
      <c r="B188" s="248" t="s">
        <v>1630</v>
      </c>
      <c r="C188" s="251">
        <f>Прейскурант!C251</f>
        <v>538.06530293515004</v>
      </c>
    </row>
    <row r="189" spans="1:3" ht="13.8" x14ac:dyDescent="0.3">
      <c r="A189" s="424" t="s">
        <v>276</v>
      </c>
      <c r="B189" s="248" t="s">
        <v>1632</v>
      </c>
      <c r="C189" s="251">
        <f>Прейскурант!C252</f>
        <v>600.099131582533</v>
      </c>
    </row>
    <row r="190" spans="1:3" ht="13.8" x14ac:dyDescent="0.3">
      <c r="A190" s="424" t="s">
        <v>278</v>
      </c>
      <c r="B190" s="248" t="s">
        <v>1633</v>
      </c>
      <c r="C190" s="251" t="e">
        <f>Прейскурант!#REF!</f>
        <v>#REF!</v>
      </c>
    </row>
    <row r="191" spans="1:3" ht="13.8" x14ac:dyDescent="0.3">
      <c r="A191" s="424" t="s">
        <v>639</v>
      </c>
      <c r="B191" s="248" t="s">
        <v>1634</v>
      </c>
      <c r="C191" s="251">
        <f>Прейскурант!C253</f>
        <v>413.16907105204729</v>
      </c>
    </row>
    <row r="192" spans="1:3" ht="13.8" x14ac:dyDescent="0.3">
      <c r="A192" s="424" t="s">
        <v>640</v>
      </c>
      <c r="B192" s="248" t="s">
        <v>1635</v>
      </c>
      <c r="C192" s="251">
        <f>Прейскурант!C254</f>
        <v>600.099131582533</v>
      </c>
    </row>
    <row r="193" spans="1:3" ht="13.8" x14ac:dyDescent="0.3">
      <c r="A193" s="424" t="s">
        <v>641</v>
      </c>
      <c r="B193" s="248" t="s">
        <v>644</v>
      </c>
      <c r="C193" s="251" t="e">
        <f>Прейскурант!#REF!</f>
        <v>#REF!</v>
      </c>
    </row>
    <row r="194" spans="1:3" ht="13.8" x14ac:dyDescent="0.3">
      <c r="A194" s="424" t="s">
        <v>642</v>
      </c>
      <c r="B194" s="248" t="s">
        <v>1035</v>
      </c>
      <c r="C194" s="251" t="e">
        <f>Прейскурант!#REF!</f>
        <v>#REF!</v>
      </c>
    </row>
    <row r="195" spans="1:3" ht="13.8" x14ac:dyDescent="0.3">
      <c r="A195" s="424" t="s">
        <v>643</v>
      </c>
      <c r="B195" s="248" t="s">
        <v>1637</v>
      </c>
      <c r="C195" s="251" t="e">
        <f>Прейскурант!#REF!</f>
        <v>#REF!</v>
      </c>
    </row>
    <row r="196" spans="1:3" ht="13.8" x14ac:dyDescent="0.3">
      <c r="A196" s="424" t="s">
        <v>645</v>
      </c>
      <c r="B196" s="248" t="s">
        <v>1638</v>
      </c>
      <c r="C196" s="251" t="e">
        <f>Прейскурант!#REF!</f>
        <v>#REF!</v>
      </c>
    </row>
    <row r="197" spans="1:3" ht="13.8" x14ac:dyDescent="0.3">
      <c r="A197" s="424" t="s">
        <v>646</v>
      </c>
      <c r="B197" s="248" t="s">
        <v>1639</v>
      </c>
      <c r="C197" s="251" t="e">
        <f>Прейскурант!#REF!</f>
        <v>#REF!</v>
      </c>
    </row>
    <row r="198" spans="1:3" ht="13.8" x14ac:dyDescent="0.3">
      <c r="A198" s="424" t="s">
        <v>647</v>
      </c>
      <c r="B198" s="248" t="s">
        <v>1640</v>
      </c>
      <c r="C198" s="251" t="e">
        <f>Прейскурант!#REF!</f>
        <v>#REF!</v>
      </c>
    </row>
    <row r="199" spans="1:3" ht="13.8" x14ac:dyDescent="0.3">
      <c r="A199" s="424" t="s">
        <v>648</v>
      </c>
      <c r="B199" s="248" t="s">
        <v>1641</v>
      </c>
      <c r="C199" s="251" t="e">
        <f>Прейскурант!#REF!</f>
        <v>#REF!</v>
      </c>
    </row>
    <row r="200" spans="1:3" ht="13.8" x14ac:dyDescent="0.3">
      <c r="A200" s="424" t="s">
        <v>649</v>
      </c>
      <c r="B200" s="248" t="s">
        <v>1642</v>
      </c>
      <c r="C200" s="251" t="e">
        <f>Прейскурант!#REF!</f>
        <v>#REF!</v>
      </c>
    </row>
    <row r="201" spans="1:3" ht="13.8" x14ac:dyDescent="0.3">
      <c r="A201" s="424" t="s">
        <v>650</v>
      </c>
      <c r="B201" s="248" t="s">
        <v>1643</v>
      </c>
      <c r="C201" s="251" t="e">
        <f>Прейскурант!#REF!</f>
        <v>#REF!</v>
      </c>
    </row>
    <row r="202" spans="1:3" ht="13.8" x14ac:dyDescent="0.3">
      <c r="A202" s="424" t="s">
        <v>651</v>
      </c>
      <c r="B202" s="248" t="s">
        <v>1644</v>
      </c>
      <c r="C202" s="251">
        <f>Прейскурант!C255</f>
        <v>600.099131582533</v>
      </c>
    </row>
    <row r="203" spans="1:3" ht="13.8" x14ac:dyDescent="0.3">
      <c r="A203" s="424" t="s">
        <v>652</v>
      </c>
      <c r="B203" s="248" t="s">
        <v>1649</v>
      </c>
      <c r="C203" s="251" t="e">
        <f>Прейскурант!#REF!</f>
        <v>#REF!</v>
      </c>
    </row>
    <row r="204" spans="1:3" ht="13.8" x14ac:dyDescent="0.3">
      <c r="A204" s="424" t="s">
        <v>653</v>
      </c>
      <c r="B204" s="248" t="s">
        <v>1673</v>
      </c>
      <c r="C204" s="251" t="e">
        <f>Прейскурант!#REF!</f>
        <v>#REF!</v>
      </c>
    </row>
    <row r="205" spans="1:3" ht="13.8" x14ac:dyDescent="0.3">
      <c r="A205" s="424" t="s">
        <v>654</v>
      </c>
      <c r="B205" s="248" t="s">
        <v>1674</v>
      </c>
      <c r="C205" s="251">
        <f>Прейскурант!C256</f>
        <v>413.16907105204729</v>
      </c>
    </row>
    <row r="206" spans="1:3" ht="13.8" x14ac:dyDescent="0.3">
      <c r="A206" s="424" t="s">
        <v>655</v>
      </c>
      <c r="B206" s="248" t="s">
        <v>1676</v>
      </c>
      <c r="C206" s="251">
        <f>Прейскурант!C257</f>
        <v>413.16907105204729</v>
      </c>
    </row>
    <row r="207" spans="1:3" ht="13.8" x14ac:dyDescent="0.3">
      <c r="A207" s="424" t="s">
        <v>675</v>
      </c>
      <c r="B207" s="248" t="s">
        <v>1675</v>
      </c>
      <c r="C207" s="251">
        <f>Прейскурант!C258</f>
        <v>413.16907105204729</v>
      </c>
    </row>
    <row r="208" spans="1:3" ht="13.8" x14ac:dyDescent="0.3">
      <c r="A208" s="424" t="s">
        <v>676</v>
      </c>
      <c r="B208" s="248" t="s">
        <v>1677</v>
      </c>
      <c r="C208" s="251" t="e">
        <f>Прейскурант!#REF!</f>
        <v>#REF!</v>
      </c>
    </row>
    <row r="209" spans="1:3" ht="13.8" x14ac:dyDescent="0.3">
      <c r="A209" s="424" t="s">
        <v>677</v>
      </c>
      <c r="B209" s="248" t="s">
        <v>1678</v>
      </c>
      <c r="C209" s="251" t="e">
        <f>Прейскурант!#REF!</f>
        <v>#REF!</v>
      </c>
    </row>
    <row r="210" spans="1:3" ht="13.8" x14ac:dyDescent="0.3">
      <c r="A210" s="424" t="s">
        <v>678</v>
      </c>
      <c r="B210" s="248" t="s">
        <v>1679</v>
      </c>
      <c r="C210" s="251">
        <f>Прейскурант!C259</f>
        <v>568.66792996467291</v>
      </c>
    </row>
    <row r="211" spans="1:3" ht="13.8" x14ac:dyDescent="0.3">
      <c r="A211" s="424" t="s">
        <v>679</v>
      </c>
      <c r="B211" s="248" t="s">
        <v>1680</v>
      </c>
      <c r="C211" s="251">
        <f>Прейскурант!C260</f>
        <v>413.16907105204729</v>
      </c>
    </row>
    <row r="212" spans="1:3" ht="15" customHeight="1" x14ac:dyDescent="0.3">
      <c r="A212" s="424" t="s">
        <v>680</v>
      </c>
      <c r="B212" s="248" t="s">
        <v>1681</v>
      </c>
      <c r="C212" s="251" t="e">
        <f>Прейскурант!#REF!</f>
        <v>#REF!</v>
      </c>
    </row>
    <row r="213" spans="1:3" ht="13.8" x14ac:dyDescent="0.3">
      <c r="A213" s="424" t="s">
        <v>681</v>
      </c>
      <c r="B213" s="248" t="s">
        <v>279</v>
      </c>
      <c r="C213" s="251">
        <f>Прейскурант!C261</f>
        <v>413.16907105204729</v>
      </c>
    </row>
    <row r="214" spans="1:3" ht="13.8" x14ac:dyDescent="0.3">
      <c r="A214" s="424" t="s">
        <v>682</v>
      </c>
      <c r="B214" s="248" t="s">
        <v>1683</v>
      </c>
      <c r="C214" s="251" t="e">
        <f>Прейскурант!#REF!</f>
        <v>#REF!</v>
      </c>
    </row>
    <row r="215" spans="1:3" ht="13.8" x14ac:dyDescent="0.3">
      <c r="A215" s="424" t="str">
        <f>'Сводный расчет стоимости'!A258</f>
        <v>A06.09.006.001</v>
      </c>
      <c r="B215" s="248" t="str">
        <f>'Сводный расчет стоимости'!C258</f>
        <v>Флюорография легких цифровая</v>
      </c>
      <c r="C215" s="251">
        <f>Прейскурант!C262</f>
        <v>381.32022042054206</v>
      </c>
    </row>
    <row r="216" spans="1:3" x14ac:dyDescent="0.25">
      <c r="A216" s="1096" t="s">
        <v>280</v>
      </c>
      <c r="B216" s="1096"/>
      <c r="C216" s="1096"/>
    </row>
    <row r="217" spans="1:3" ht="13.8" x14ac:dyDescent="0.3">
      <c r="A217" s="396" t="s">
        <v>281</v>
      </c>
      <c r="B217" s="248" t="s">
        <v>282</v>
      </c>
      <c r="C217" s="251">
        <f>'Сводный расчет стоимости'!M260</f>
        <v>120.09192011942234</v>
      </c>
    </row>
    <row r="218" spans="1:3" ht="13.8" x14ac:dyDescent="0.3">
      <c r="A218" s="396" t="s">
        <v>283</v>
      </c>
      <c r="B218" s="248" t="s">
        <v>105</v>
      </c>
      <c r="C218" s="251" t="e">
        <f>'Сводный расчет стоимости'!#REF!</f>
        <v>#REF!</v>
      </c>
    </row>
    <row r="219" spans="1:3" ht="13.8" x14ac:dyDescent="0.3">
      <c r="A219" s="396" t="s">
        <v>285</v>
      </c>
      <c r="B219" s="248" t="s">
        <v>107</v>
      </c>
      <c r="C219" s="251">
        <f>'Сводный расчет стоимости'!M261</f>
        <v>172.24731342888671</v>
      </c>
    </row>
    <row r="220" spans="1:3" ht="13.8" x14ac:dyDescent="0.3">
      <c r="A220" s="396" t="s">
        <v>286</v>
      </c>
      <c r="B220" s="248" t="s">
        <v>108</v>
      </c>
      <c r="C220" s="251" t="e">
        <f>'Сводный расчет стоимости'!#REF!</f>
        <v>#REF!</v>
      </c>
    </row>
    <row r="221" spans="1:3" ht="13.8" x14ac:dyDescent="0.3">
      <c r="A221" s="396" t="s">
        <v>287</v>
      </c>
      <c r="B221" s="248" t="s">
        <v>115</v>
      </c>
      <c r="C221" s="251">
        <f>'Сводный расчет стоимости'!M262</f>
        <v>99.100750854675709</v>
      </c>
    </row>
    <row r="222" spans="1:3" ht="27.6" x14ac:dyDescent="0.3">
      <c r="A222" s="396" t="s">
        <v>288</v>
      </c>
      <c r="B222" s="248" t="s">
        <v>284</v>
      </c>
      <c r="C222" s="251">
        <f>'Сводный расчет стоимости'!M263</f>
        <v>177.62545223686419</v>
      </c>
    </row>
    <row r="223" spans="1:3" ht="13.8" x14ac:dyDescent="0.3">
      <c r="A223" s="396" t="s">
        <v>289</v>
      </c>
      <c r="B223" s="248" t="s">
        <v>291</v>
      </c>
      <c r="C223" s="251">
        <f>'Сводный расчет стоимости'!M268</f>
        <v>152.09870734874943</v>
      </c>
    </row>
    <row r="224" spans="1:3" ht="13.8" x14ac:dyDescent="0.3">
      <c r="A224" s="396" t="s">
        <v>290</v>
      </c>
      <c r="B224" s="248" t="s">
        <v>111</v>
      </c>
      <c r="C224" s="251" t="e">
        <f>'Сводный расчет стоимости'!#REF!</f>
        <v>#REF!</v>
      </c>
    </row>
    <row r="225" spans="1:3" ht="13.8" x14ac:dyDescent="0.3">
      <c r="A225" s="396" t="s">
        <v>292</v>
      </c>
      <c r="B225" s="248" t="s">
        <v>1242</v>
      </c>
      <c r="C225" s="251">
        <f>'Сводный расчет стоимости'!M270</f>
        <v>234.73236582800271</v>
      </c>
    </row>
    <row r="226" spans="1:3" ht="13.8" x14ac:dyDescent="0.3">
      <c r="A226" s="396" t="s">
        <v>293</v>
      </c>
      <c r="B226" s="248" t="s">
        <v>106</v>
      </c>
      <c r="C226" s="251">
        <f>'Сводный расчет стоимости'!M271</f>
        <v>227.95896928819789</v>
      </c>
    </row>
    <row r="227" spans="1:3" ht="13.8" x14ac:dyDescent="0.3">
      <c r="A227" s="396" t="s">
        <v>294</v>
      </c>
      <c r="B227" s="248" t="s">
        <v>109</v>
      </c>
      <c r="C227" s="251">
        <f>'Сводный расчет стоимости'!M272</f>
        <v>137.16012325026963</v>
      </c>
    </row>
    <row r="228" spans="1:3" ht="13.8" x14ac:dyDescent="0.3">
      <c r="A228" s="396" t="s">
        <v>295</v>
      </c>
      <c r="B228" s="248" t="s">
        <v>113</v>
      </c>
      <c r="C228" s="251">
        <f>'Сводный расчет стоимости'!M273</f>
        <v>184.41598055556793</v>
      </c>
    </row>
    <row r="229" spans="1:3" ht="13.8" x14ac:dyDescent="0.3">
      <c r="A229" s="396" t="s">
        <v>297</v>
      </c>
      <c r="B229" s="248" t="s">
        <v>112</v>
      </c>
      <c r="C229" s="251">
        <f>'Сводный расчет стоимости'!M274</f>
        <v>116.86333885214991</v>
      </c>
    </row>
    <row r="230" spans="1:3" ht="13.8" x14ac:dyDescent="0.3">
      <c r="A230" s="396" t="s">
        <v>516</v>
      </c>
      <c r="B230" s="248" t="s">
        <v>296</v>
      </c>
      <c r="C230" s="251">
        <f>'Сводный расчет стоимости'!M275</f>
        <v>182.42593850593207</v>
      </c>
    </row>
    <row r="231" spans="1:3" x14ac:dyDescent="0.25">
      <c r="A231" s="1095" t="s">
        <v>1123</v>
      </c>
      <c r="B231" s="1095"/>
    </row>
    <row r="232" spans="1:3" ht="13.8" x14ac:dyDescent="0.3">
      <c r="A232" s="396" t="s">
        <v>298</v>
      </c>
      <c r="B232" s="248" t="s">
        <v>697</v>
      </c>
      <c r="C232" s="251">
        <f>'Сводный расчет стоимости'!M284</f>
        <v>289.03608828593781</v>
      </c>
    </row>
    <row r="233" spans="1:3" ht="13.8" x14ac:dyDescent="0.3">
      <c r="A233" s="396" t="s">
        <v>300</v>
      </c>
      <c r="B233" s="248" t="s">
        <v>301</v>
      </c>
      <c r="C233" s="251">
        <f>'Сводный расчет стоимости'!M285</f>
        <v>199.50931490539799</v>
      </c>
    </row>
    <row r="234" spans="1:3" ht="13.8" x14ac:dyDescent="0.3">
      <c r="A234" s="396" t="s">
        <v>302</v>
      </c>
      <c r="B234" s="248" t="s">
        <v>698</v>
      </c>
      <c r="C234" s="251">
        <f>'Сводный расчет стоимости'!M286</f>
        <v>199.51812851234757</v>
      </c>
    </row>
    <row r="235" spans="1:3" ht="13.8" x14ac:dyDescent="0.3">
      <c r="A235" s="396" t="s">
        <v>303</v>
      </c>
      <c r="B235" s="248" t="s">
        <v>686</v>
      </c>
      <c r="C235" s="251">
        <f>'Сводный расчет стоимости'!M287</f>
        <v>209.81794283657862</v>
      </c>
    </row>
    <row r="236" spans="1:3" ht="13.8" x14ac:dyDescent="0.3">
      <c r="A236" s="396" t="s">
        <v>304</v>
      </c>
      <c r="B236" s="248" t="s">
        <v>299</v>
      </c>
      <c r="C236" s="251">
        <f>'Сводный расчет стоимости'!M288</f>
        <v>199.51812851234757</v>
      </c>
    </row>
    <row r="237" spans="1:3" ht="13.8" x14ac:dyDescent="0.3">
      <c r="A237" s="396" t="s">
        <v>305</v>
      </c>
      <c r="B237" s="248" t="s">
        <v>690</v>
      </c>
      <c r="C237" s="251">
        <f>'Сводный расчет стоимости'!M289</f>
        <v>246.40055445071158</v>
      </c>
    </row>
    <row r="238" spans="1:3" ht="27.6" x14ac:dyDescent="0.3">
      <c r="A238" s="396" t="s">
        <v>306</v>
      </c>
      <c r="B238" s="248" t="s">
        <v>685</v>
      </c>
      <c r="C238" s="251">
        <f>'Сводный расчет стоимости'!M290</f>
        <v>199.51812851234757</v>
      </c>
    </row>
    <row r="239" spans="1:3" ht="13.8" x14ac:dyDescent="0.3">
      <c r="A239" s="396" t="s">
        <v>307</v>
      </c>
      <c r="B239" s="248" t="s">
        <v>696</v>
      </c>
      <c r="C239" s="251">
        <f>'Сводный расчет стоимости'!M291</f>
        <v>199.51812851234757</v>
      </c>
    </row>
    <row r="240" spans="1:3" ht="13.8" x14ac:dyDescent="0.3">
      <c r="A240" s="396" t="s">
        <v>308</v>
      </c>
      <c r="B240" s="248" t="s">
        <v>688</v>
      </c>
      <c r="C240" s="251">
        <f>'Сводный расчет стоимости'!M292</f>
        <v>199.51812851234757</v>
      </c>
    </row>
    <row r="241" spans="1:3" ht="13.8" x14ac:dyDescent="0.3">
      <c r="A241" s="396" t="s">
        <v>309</v>
      </c>
      <c r="B241" s="248" t="s">
        <v>694</v>
      </c>
      <c r="C241" s="251">
        <f>'Сводный расчет стоимости'!M293</f>
        <v>199.51812851234757</v>
      </c>
    </row>
    <row r="242" spans="1:3" ht="13.8" x14ac:dyDescent="0.3">
      <c r="A242" s="396" t="s">
        <v>310</v>
      </c>
      <c r="B242" s="248" t="s">
        <v>695</v>
      </c>
      <c r="C242" s="251">
        <f>'Сводный расчет стоимости'!M294</f>
        <v>199.51812851234757</v>
      </c>
    </row>
    <row r="243" spans="1:3" ht="13.8" x14ac:dyDescent="0.3">
      <c r="A243" s="396" t="s">
        <v>311</v>
      </c>
      <c r="B243" s="248" t="s">
        <v>693</v>
      </c>
      <c r="C243" s="251">
        <f>'Сводный расчет стоимости'!M295</f>
        <v>199.51812851234757</v>
      </c>
    </row>
    <row r="244" spans="1:3" ht="13.8" x14ac:dyDescent="0.3">
      <c r="A244" s="396" t="s">
        <v>312</v>
      </c>
      <c r="B244" s="248" t="s">
        <v>687</v>
      </c>
      <c r="C244" s="251">
        <f>'Сводный расчет стоимости'!M296</f>
        <v>199.51812851234757</v>
      </c>
    </row>
    <row r="245" spans="1:3" ht="13.8" x14ac:dyDescent="0.3">
      <c r="A245" s="396" t="s">
        <v>1124</v>
      </c>
      <c r="B245" s="248" t="s">
        <v>689</v>
      </c>
      <c r="C245" s="251">
        <f>'Сводный расчет стоимости'!M297</f>
        <v>199.51812851234757</v>
      </c>
    </row>
    <row r="246" spans="1:3" ht="13.8" x14ac:dyDescent="0.3">
      <c r="A246" s="396" t="s">
        <v>313</v>
      </c>
      <c r="B246" s="248" t="s">
        <v>1686</v>
      </c>
      <c r="C246" s="251">
        <f>'Сводный расчет стоимости'!M298</f>
        <v>199.51812851234757</v>
      </c>
    </row>
    <row r="247" spans="1:3" ht="13.8" x14ac:dyDescent="0.3">
      <c r="A247" s="396" t="s">
        <v>314</v>
      </c>
      <c r="B247" s="248" t="s">
        <v>691</v>
      </c>
      <c r="C247" s="251">
        <f>'Сводный расчет стоимости'!M299</f>
        <v>291.87492542599603</v>
      </c>
    </row>
    <row r="248" spans="1:3" x14ac:dyDescent="0.25">
      <c r="A248" s="1095" t="s">
        <v>315</v>
      </c>
      <c r="B248" s="1095"/>
    </row>
    <row r="249" spans="1:3" ht="13.8" x14ac:dyDescent="0.3">
      <c r="A249" s="425" t="s">
        <v>316</v>
      </c>
      <c r="B249" s="248" t="s">
        <v>577</v>
      </c>
      <c r="C249" s="251">
        <f>'Сводный расчет стоимости'!M303</f>
        <v>154.62076208323012</v>
      </c>
    </row>
    <row r="250" spans="1:3" ht="13.8" x14ac:dyDescent="0.3">
      <c r="A250" s="425" t="s">
        <v>317</v>
      </c>
      <c r="B250" s="248" t="s">
        <v>530</v>
      </c>
      <c r="C250" s="251">
        <f>'Сводный расчет стоимости'!M304</f>
        <v>116.56883662274606</v>
      </c>
    </row>
    <row r="251" spans="1:3" ht="13.8" x14ac:dyDescent="0.3">
      <c r="A251" s="425" t="s">
        <v>319</v>
      </c>
      <c r="B251" s="248" t="s">
        <v>527</v>
      </c>
      <c r="C251" s="251">
        <f>'Сводный расчет стоимости'!M305</f>
        <v>84.858898739009362</v>
      </c>
    </row>
    <row r="252" spans="1:3" ht="13.8" x14ac:dyDescent="0.3">
      <c r="A252" s="425" t="s">
        <v>320</v>
      </c>
      <c r="B252" s="248" t="s">
        <v>318</v>
      </c>
      <c r="C252" s="251">
        <f>'Сводный расчет стоимости'!M306</f>
        <v>136.99031967738068</v>
      </c>
    </row>
    <row r="253" spans="1:3" ht="13.8" x14ac:dyDescent="0.3">
      <c r="A253" s="425" t="s">
        <v>321</v>
      </c>
      <c r="B253" s="248" t="s">
        <v>1023</v>
      </c>
      <c r="C253" s="251">
        <f>'Сводный расчет стоимости'!M307</f>
        <v>92.350520124615528</v>
      </c>
    </row>
    <row r="254" spans="1:3" ht="13.8" x14ac:dyDescent="0.3">
      <c r="A254" s="425" t="s">
        <v>322</v>
      </c>
      <c r="B254" s="248" t="s">
        <v>589</v>
      </c>
      <c r="C254" s="251">
        <f>'Сводный расчет стоимости'!M308</f>
        <v>129.25281177624075</v>
      </c>
    </row>
    <row r="255" spans="1:3" ht="13.8" x14ac:dyDescent="0.3">
      <c r="A255" s="425" t="s">
        <v>323</v>
      </c>
      <c r="B255" s="248" t="s">
        <v>590</v>
      </c>
      <c r="C255" s="251">
        <f>'Сводный расчет стоимости'!M309</f>
        <v>97.542873892504034</v>
      </c>
    </row>
    <row r="256" spans="1:3" ht="13.8" x14ac:dyDescent="0.3">
      <c r="A256" s="425" t="s">
        <v>324</v>
      </c>
      <c r="B256" s="248" t="s">
        <v>517</v>
      </c>
      <c r="C256" s="251">
        <f>'Сводный расчет стоимости'!M310</f>
        <v>254.17638806530385</v>
      </c>
    </row>
    <row r="257" spans="1:3" ht="13.8" x14ac:dyDescent="0.3">
      <c r="A257" s="425" t="s">
        <v>325</v>
      </c>
      <c r="B257" s="248" t="s">
        <v>333</v>
      </c>
      <c r="C257" s="251">
        <f>'Сводный расчет стоимости'!M311</f>
        <v>260.5222265122361</v>
      </c>
    </row>
    <row r="258" spans="1:3" ht="13.5" customHeight="1" x14ac:dyDescent="0.3">
      <c r="A258" s="425" t="s">
        <v>327</v>
      </c>
      <c r="B258" s="248" t="s">
        <v>334</v>
      </c>
      <c r="C258" s="251">
        <f>'Сводный расчет стоимости'!M312</f>
        <v>305.16105975372773</v>
      </c>
    </row>
    <row r="259" spans="1:3" ht="13.5" customHeight="1" x14ac:dyDescent="0.3">
      <c r="A259" s="425" t="s">
        <v>519</v>
      </c>
      <c r="B259" s="248" t="s">
        <v>326</v>
      </c>
      <c r="C259" s="251">
        <f>'Сводный расчет стоимости'!M313</f>
        <v>124.15834505158313</v>
      </c>
    </row>
    <row r="260" spans="1:3" ht="13.8" x14ac:dyDescent="0.3">
      <c r="A260" s="425" t="s">
        <v>328</v>
      </c>
      <c r="B260" s="248" t="s">
        <v>1024</v>
      </c>
      <c r="C260" s="251">
        <f>'Сводный расчет стоимости'!M314</f>
        <v>156.73637377058054</v>
      </c>
    </row>
    <row r="261" spans="1:3" ht="13.8" x14ac:dyDescent="0.3">
      <c r="A261" s="425" t="s">
        <v>520</v>
      </c>
      <c r="B261" s="248" t="s">
        <v>591</v>
      </c>
      <c r="C261" s="251">
        <f>'Сводный расчет стоимости'!M315</f>
        <v>149.53648120161137</v>
      </c>
    </row>
    <row r="262" spans="1:3" ht="13.8" x14ac:dyDescent="0.3">
      <c r="A262" s="425" t="s">
        <v>329</v>
      </c>
      <c r="B262" s="248" t="s">
        <v>526</v>
      </c>
      <c r="C262" s="251">
        <f>'Сводный расчет стоимости'!M316</f>
        <v>260.53377912279075</v>
      </c>
    </row>
    <row r="263" spans="1:3" ht="13.8" x14ac:dyDescent="0.3">
      <c r="A263" s="425" t="s">
        <v>521</v>
      </c>
      <c r="B263" s="248" t="s">
        <v>578</v>
      </c>
      <c r="C263" s="251">
        <f>'Сводный расчет стоимости'!M318</f>
        <v>146.36452469569147</v>
      </c>
    </row>
    <row r="264" spans="1:3" ht="13.8" x14ac:dyDescent="0.3">
      <c r="A264" s="425" t="s">
        <v>522</v>
      </c>
      <c r="B264" s="248" t="s">
        <v>587</v>
      </c>
      <c r="C264" s="251">
        <f>'Сводный расчет стоимости'!M319</f>
        <v>108.30874836502251</v>
      </c>
    </row>
    <row r="265" spans="1:3" ht="13.8" x14ac:dyDescent="0.3">
      <c r="A265" s="425" t="s">
        <v>523</v>
      </c>
      <c r="B265" s="248" t="s">
        <v>518</v>
      </c>
      <c r="C265" s="251">
        <f>'Сводный расчет стоимости'!M320</f>
        <v>44.883096292271745</v>
      </c>
    </row>
    <row r="266" spans="1:3" ht="13.8" x14ac:dyDescent="0.3">
      <c r="A266" s="425" t="s">
        <v>524</v>
      </c>
      <c r="B266" s="248" t="s">
        <v>127</v>
      </c>
      <c r="C266" s="251">
        <f>'Сводный расчет стоимости'!M321</f>
        <v>60.400608346092852</v>
      </c>
    </row>
    <row r="267" spans="1:3" ht="13.8" x14ac:dyDescent="0.3">
      <c r="A267" s="425" t="s">
        <v>525</v>
      </c>
      <c r="B267" s="248" t="s">
        <v>335</v>
      </c>
      <c r="C267" s="251">
        <f>'Сводный расчет стоимости'!M323</f>
        <v>131.32275322539022</v>
      </c>
    </row>
    <row r="268" spans="1:3" ht="13.8" x14ac:dyDescent="0.3">
      <c r="A268" s="425" t="s">
        <v>330</v>
      </c>
      <c r="B268" s="248" t="s">
        <v>529</v>
      </c>
      <c r="C268" s="251">
        <f>'Сводный расчет стоимости'!M324</f>
        <v>119.39555702382887</v>
      </c>
    </row>
    <row r="269" spans="1:3" ht="13.8" x14ac:dyDescent="0.3">
      <c r="A269" s="425" t="s">
        <v>331</v>
      </c>
      <c r="B269" s="248" t="s">
        <v>336</v>
      </c>
      <c r="C269" s="251">
        <f>'Сводный расчет стоимости'!M325</f>
        <v>95.893269209058047</v>
      </c>
    </row>
    <row r="270" spans="1:3" ht="13.8" x14ac:dyDescent="0.3">
      <c r="A270" s="425" t="s">
        <v>332</v>
      </c>
      <c r="B270" s="248" t="s">
        <v>528</v>
      </c>
      <c r="C270" s="251">
        <f>'Сводный расчет стоимости'!M326</f>
        <v>62.964304662324622</v>
      </c>
    </row>
    <row r="271" spans="1:3" x14ac:dyDescent="0.25">
      <c r="A271" s="1095" t="s">
        <v>337</v>
      </c>
      <c r="B271" s="1095"/>
    </row>
    <row r="272" spans="1:3" ht="13.8" x14ac:dyDescent="0.3">
      <c r="A272" s="425" t="s">
        <v>1284</v>
      </c>
      <c r="B272" s="248" t="s">
        <v>171</v>
      </c>
      <c r="C272" s="251">
        <f>'Сводный расчет стоимости'!M330</f>
        <v>979.01902244754012</v>
      </c>
    </row>
    <row r="273" spans="1:4" ht="12.75" customHeight="1" x14ac:dyDescent="0.25">
      <c r="A273" s="1101" t="s">
        <v>961</v>
      </c>
      <c r="B273" s="1102"/>
      <c r="C273" s="1103"/>
    </row>
    <row r="274" spans="1:4" ht="13.5" customHeight="1" x14ac:dyDescent="0.25">
      <c r="A274" s="584" t="s">
        <v>970</v>
      </c>
      <c r="B274" s="635" t="s">
        <v>995</v>
      </c>
      <c r="C274" s="636">
        <f>Прейскурант!C53</f>
        <v>2442.1998393972272</v>
      </c>
      <c r="D274" s="634"/>
    </row>
    <row r="275" spans="1:4" ht="12.75" customHeight="1" x14ac:dyDescent="0.25"/>
    <row r="276" spans="1:4" ht="12.75" customHeight="1" x14ac:dyDescent="0.25"/>
    <row r="277" spans="1:4" ht="12.75" customHeight="1" x14ac:dyDescent="0.3">
      <c r="A277" s="1100" t="s">
        <v>964</v>
      </c>
      <c r="B277" s="1100"/>
      <c r="C277" s="1100"/>
    </row>
    <row r="278" spans="1:4" ht="12.75" customHeight="1" x14ac:dyDescent="0.25"/>
    <row r="279" spans="1:4" ht="12.75" customHeight="1" x14ac:dyDescent="0.25"/>
    <row r="280" spans="1:4" ht="12.75" customHeight="1" x14ac:dyDescent="0.25"/>
    <row r="281" spans="1:4" ht="12.75" customHeight="1" x14ac:dyDescent="0.25"/>
    <row r="282" spans="1:4" ht="12.75" customHeight="1" x14ac:dyDescent="0.25"/>
    <row r="283" spans="1:4" ht="12.75" customHeight="1" x14ac:dyDescent="0.25"/>
    <row r="284" spans="1:4" ht="12.75" customHeight="1" x14ac:dyDescent="0.25"/>
    <row r="285" spans="1:4" ht="12.75" customHeight="1" x14ac:dyDescent="0.25"/>
    <row r="286" spans="1:4" ht="12.75" customHeight="1" x14ac:dyDescent="0.25"/>
    <row r="287" spans="1:4" ht="12.75" customHeight="1" x14ac:dyDescent="0.25"/>
    <row r="288" spans="1:4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9" ht="12.75" customHeight="1" x14ac:dyDescent="0.25"/>
    <row r="330" ht="12.75" customHeight="1" x14ac:dyDescent="0.25"/>
    <row r="331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5.75" customHeight="1" x14ac:dyDescent="0.25"/>
    <row r="459" ht="12.75" customHeight="1" x14ac:dyDescent="0.25"/>
    <row r="460" ht="25.5" customHeight="1" x14ac:dyDescent="0.25"/>
    <row r="461" ht="24" customHeight="1" x14ac:dyDescent="0.25"/>
    <row r="462" ht="24.75" customHeight="1" x14ac:dyDescent="0.25"/>
    <row r="463" ht="26.2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8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8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29.2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4.2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5" ht="12.75" customHeight="1" x14ac:dyDescent="0.25"/>
    <row r="716" ht="12.75" customHeight="1" x14ac:dyDescent="0.25"/>
    <row r="717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29.25" customHeight="1" x14ac:dyDescent="0.25"/>
    <row r="754" ht="12.75" customHeight="1" x14ac:dyDescent="0.25"/>
    <row r="756" ht="30" customHeight="1" x14ac:dyDescent="0.25"/>
    <row r="762" ht="19.5" customHeight="1" x14ac:dyDescent="0.25"/>
    <row r="764" ht="12.75" customHeight="1" x14ac:dyDescent="0.25"/>
    <row r="766" ht="12.75" customHeight="1" x14ac:dyDescent="0.25"/>
    <row r="767" ht="12.75" customHeight="1" x14ac:dyDescent="0.25"/>
    <row r="768" ht="24" customHeight="1" x14ac:dyDescent="0.25"/>
    <row r="769" ht="27.75" customHeight="1" x14ac:dyDescent="0.25"/>
    <row r="770" ht="12.75" customHeight="1" x14ac:dyDescent="0.25"/>
    <row r="771" ht="12.75" customHeight="1" x14ac:dyDescent="0.25"/>
    <row r="773" ht="24.75" customHeight="1" x14ac:dyDescent="0.25"/>
  </sheetData>
  <mergeCells count="26">
    <mergeCell ref="A277:C277"/>
    <mergeCell ref="A273:C273"/>
    <mergeCell ref="D16:D17"/>
    <mergeCell ref="A42:B42"/>
    <mergeCell ref="A44:B44"/>
    <mergeCell ref="A46:B46"/>
    <mergeCell ref="A248:B248"/>
    <mergeCell ref="A271:B271"/>
    <mergeCell ref="A56:B56"/>
    <mergeCell ref="A67:B67"/>
    <mergeCell ref="A14:C14"/>
    <mergeCell ref="B7:D7"/>
    <mergeCell ref="A12:C12"/>
    <mergeCell ref="A231:B231"/>
    <mergeCell ref="A68:B68"/>
    <mergeCell ref="A156:B156"/>
    <mergeCell ref="A216:C216"/>
    <mergeCell ref="A15:C15"/>
    <mergeCell ref="A16:A17"/>
    <mergeCell ref="B16:B17"/>
    <mergeCell ref="C16:C17"/>
    <mergeCell ref="A2:D2"/>
    <mergeCell ref="A3:D3"/>
    <mergeCell ref="A4:D4"/>
    <mergeCell ref="A6:D6"/>
    <mergeCell ref="A13:C13"/>
  </mergeCells>
  <phoneticPr fontId="2" type="noConversion"/>
  <pageMargins left="0.75" right="0.75" top="1" bottom="1" header="0.5" footer="0.5"/>
  <pageSetup paperSize="9" scale="97" orientation="portrait" verticalDpi="0" r:id="rId1"/>
  <headerFooter alignWithMargins="0"/>
  <rowBreaks count="1" manualBreakCount="1">
    <brk id="55" max="16383" man="1"/>
  </rowBreaks>
  <colBreaks count="1" manualBreakCount="1">
    <brk id="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4</vt:i4>
      </vt:variant>
    </vt:vector>
  </HeadingPairs>
  <TitlesOfParts>
    <vt:vector size="26" baseType="lpstr">
      <vt:lpstr>Титул</vt:lpstr>
      <vt:lpstr>Исп. коэффициенты</vt:lpstr>
      <vt:lpstr>Заработная плата</vt:lpstr>
      <vt:lpstr>КМУ гинекол.каб.</vt:lpstr>
      <vt:lpstr>КМУ массаж</vt:lpstr>
      <vt:lpstr>медосмотр</vt:lpstr>
      <vt:lpstr>КМУ дневной стационар</vt:lpstr>
      <vt:lpstr>Расчет 1УЕТ</vt:lpstr>
      <vt:lpstr>Прейскурант ЖАСО</vt:lpstr>
      <vt:lpstr>Лист1</vt:lpstr>
      <vt:lpstr>КМУ поликл. прием</vt:lpstr>
      <vt:lpstr>КМУ рентгенкабинет</vt:lpstr>
      <vt:lpstr>КМУ хирург.каб.</vt:lpstr>
      <vt:lpstr>КМУ параклиника </vt:lpstr>
      <vt:lpstr>КМУ стом.</vt:lpstr>
      <vt:lpstr>КМУ УЗИ</vt:lpstr>
      <vt:lpstr>КМУ рефлексотерапия</vt:lpstr>
      <vt:lpstr>Прейскурант</vt:lpstr>
      <vt:lpstr>Сводный расчет стоимости</vt:lpstr>
      <vt:lpstr>по нов. номенкл</vt:lpstr>
      <vt:lpstr>нет в номен.</vt:lpstr>
      <vt:lpstr>Лист3</vt:lpstr>
      <vt:lpstr>'Заработная плата'!Область_печати</vt:lpstr>
      <vt:lpstr>'Исп. коэффициенты'!Область_печати</vt:lpstr>
      <vt:lpstr>'Сводный расчет стоимости'!Область_печати</vt:lpstr>
      <vt:lpstr>Титул!Область_печати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Глав Бух</cp:lastModifiedBy>
  <cp:lastPrinted>2019-09-18T23:59:05Z</cp:lastPrinted>
  <dcterms:created xsi:type="dcterms:W3CDTF">2008-06-24T11:31:21Z</dcterms:created>
  <dcterms:modified xsi:type="dcterms:W3CDTF">2019-12-25T02:47:50Z</dcterms:modified>
</cp:coreProperties>
</file>